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成绩" sheetId="3" r:id="rId1"/>
  </sheets>
  <definedNames>
    <definedName name="_xlnm._FilterDatabase" localSheetId="0" hidden="1">成绩!$A$2:$H$138</definedName>
  </definedNames>
  <calcPr calcId="144525"/>
</workbook>
</file>

<file path=xl/sharedStrings.xml><?xml version="1.0" encoding="utf-8"?>
<sst xmlns="http://schemas.openxmlformats.org/spreadsheetml/2006/main" count="418" uniqueCount="149">
  <si>
    <t>2020年度颍上县公开招聘编外幼儿园教师体检人员名单</t>
  </si>
  <si>
    <t>报考号</t>
  </si>
  <si>
    <t>职位代码</t>
  </si>
  <si>
    <t>姓名</t>
  </si>
  <si>
    <t>准考证号</t>
  </si>
  <si>
    <t>教育综合</t>
  </si>
  <si>
    <t>专业成绩</t>
  </si>
  <si>
    <t>笔试成绩</t>
  </si>
  <si>
    <t>是否有学前教育经历</t>
  </si>
  <si>
    <t>体检时间</t>
  </si>
  <si>
    <t>01-幼儿教师</t>
  </si>
  <si>
    <t>江晴晴</t>
  </si>
  <si>
    <t>无</t>
  </si>
  <si>
    <t>胡圆圆</t>
  </si>
  <si>
    <t>有</t>
  </si>
  <si>
    <t>孙荣荣</t>
  </si>
  <si>
    <t>冯雅雅</t>
  </si>
  <si>
    <t>王楠</t>
  </si>
  <si>
    <t>蒋洋洋</t>
  </si>
  <si>
    <t>孙妮妮</t>
  </si>
  <si>
    <t>韩呤</t>
  </si>
  <si>
    <t>杨甲甲</t>
  </si>
  <si>
    <t>杨培月</t>
  </si>
  <si>
    <t>李娜</t>
  </si>
  <si>
    <t>高路路</t>
  </si>
  <si>
    <t>李泯锐</t>
  </si>
  <si>
    <t>邵梦梦</t>
  </si>
  <si>
    <t>魏宇坤</t>
  </si>
  <si>
    <t>余露露</t>
  </si>
  <si>
    <t>余晴晴</t>
  </si>
  <si>
    <t>郑云凤</t>
  </si>
  <si>
    <t>许雅雪</t>
  </si>
  <si>
    <t>王莹</t>
  </si>
  <si>
    <t>郑雨露</t>
  </si>
  <si>
    <t>侯颖萍</t>
  </si>
  <si>
    <t>聂婷婷</t>
  </si>
  <si>
    <t>蔡蕊</t>
  </si>
  <si>
    <t>刘兰兰</t>
  </si>
  <si>
    <t>张宗娟</t>
  </si>
  <si>
    <t>陈钱形</t>
  </si>
  <si>
    <t>程潇潇</t>
  </si>
  <si>
    <t>罗贝贝</t>
  </si>
  <si>
    <t>杨文芸</t>
  </si>
  <si>
    <t>汪丹丹</t>
  </si>
  <si>
    <t>陈浔</t>
  </si>
  <si>
    <t>姚蕾</t>
  </si>
  <si>
    <t>刘寅</t>
  </si>
  <si>
    <t>陈静静</t>
  </si>
  <si>
    <t>马姝琪</t>
  </si>
  <si>
    <t>唐蕊</t>
  </si>
  <si>
    <t>彭曼利</t>
  </si>
  <si>
    <t>王韦洁</t>
  </si>
  <si>
    <t>丁莉</t>
  </si>
  <si>
    <t>路玲玲</t>
  </si>
  <si>
    <t>胡冰清</t>
  </si>
  <si>
    <t>武萧</t>
  </si>
  <si>
    <t>莫利</t>
  </si>
  <si>
    <t>姚娟娟</t>
  </si>
  <si>
    <t>王梦</t>
  </si>
  <si>
    <t>乔娜娜</t>
  </si>
  <si>
    <t>储亚洁</t>
  </si>
  <si>
    <t>江如盼</t>
  </si>
  <si>
    <t>刘慧</t>
  </si>
  <si>
    <t>高晴</t>
  </si>
  <si>
    <t>张夏青</t>
  </si>
  <si>
    <t>吴情</t>
  </si>
  <si>
    <t>沈明侠</t>
  </si>
  <si>
    <t>梅燕妮</t>
  </si>
  <si>
    <t>李娟</t>
  </si>
  <si>
    <t>王彦儒</t>
  </si>
  <si>
    <t>吴其平</t>
  </si>
  <si>
    <t>赵颍</t>
  </si>
  <si>
    <t>张明雪</t>
  </si>
  <si>
    <t>马田田</t>
  </si>
  <si>
    <t>吴其勤</t>
  </si>
  <si>
    <t>王宁</t>
  </si>
  <si>
    <t>郭艳昀</t>
  </si>
  <si>
    <t>时倩倩</t>
  </si>
  <si>
    <t>江倩</t>
  </si>
  <si>
    <t>谢鑫璐</t>
  </si>
  <si>
    <t>郭行锦</t>
  </si>
  <si>
    <t>马思伟</t>
  </si>
  <si>
    <t>王雪梅</t>
  </si>
  <si>
    <t>刘星</t>
  </si>
  <si>
    <t>程盼盼</t>
  </si>
  <si>
    <t>郭华华</t>
  </si>
  <si>
    <t>陈梦梦</t>
  </si>
  <si>
    <t>莫茜</t>
  </si>
  <si>
    <t>吴敬贤</t>
  </si>
  <si>
    <t>孙益倩</t>
  </si>
  <si>
    <t>陈雪</t>
  </si>
  <si>
    <t>崔菊</t>
  </si>
  <si>
    <t>马彩梦</t>
  </si>
  <si>
    <t>奚静</t>
  </si>
  <si>
    <t>范越越</t>
  </si>
  <si>
    <t>李南</t>
  </si>
  <si>
    <t>王婷婷</t>
  </si>
  <si>
    <t>霍殿芳</t>
  </si>
  <si>
    <t>何丽娟</t>
  </si>
  <si>
    <t>周双</t>
  </si>
  <si>
    <t>李培培</t>
  </si>
  <si>
    <t>何术术</t>
  </si>
  <si>
    <t>吴祥雪</t>
  </si>
  <si>
    <t>王曼</t>
  </si>
  <si>
    <t>王化勤</t>
  </si>
  <si>
    <t>裴云云</t>
  </si>
  <si>
    <t>顾琴琴</t>
  </si>
  <si>
    <t>余孝玲</t>
  </si>
  <si>
    <t>何园园</t>
  </si>
  <si>
    <t>明梦婷</t>
  </si>
  <si>
    <t>刘雪联</t>
  </si>
  <si>
    <t>李冬雪</t>
  </si>
  <si>
    <t>蔡梦</t>
  </si>
  <si>
    <t>张璇</t>
  </si>
  <si>
    <t>郭悦</t>
  </si>
  <si>
    <t>张倩倩</t>
  </si>
  <si>
    <t>张华</t>
  </si>
  <si>
    <t>周娜</t>
  </si>
  <si>
    <t>郑倩倩</t>
  </si>
  <si>
    <t>张楠楠</t>
  </si>
  <si>
    <t>姜婉莹</t>
  </si>
  <si>
    <t>郑玉凤</t>
  </si>
  <si>
    <t>陈莹莹</t>
  </si>
  <si>
    <t>郭孟奇</t>
  </si>
  <si>
    <t>黄喜讯</t>
  </si>
  <si>
    <t>周孝利</t>
  </si>
  <si>
    <t>赵梦婷</t>
  </si>
  <si>
    <t>郑雯月</t>
  </si>
  <si>
    <t>刘盈盈</t>
  </si>
  <si>
    <t>刘丹</t>
  </si>
  <si>
    <t>汝桂影</t>
  </si>
  <si>
    <t>彭莹莹</t>
  </si>
  <si>
    <t>莫宁</t>
  </si>
  <si>
    <t>王晨晨</t>
  </si>
  <si>
    <t>高立新</t>
  </si>
  <si>
    <t>田娜</t>
  </si>
  <si>
    <t>彭程程</t>
  </si>
  <si>
    <t>王倩倩</t>
  </si>
  <si>
    <t>金慧修</t>
  </si>
  <si>
    <t>刘国云</t>
  </si>
  <si>
    <t>童树影</t>
  </si>
  <si>
    <t>闫金金</t>
  </si>
  <si>
    <t>赵丹维</t>
  </si>
  <si>
    <t>徐静</t>
  </si>
  <si>
    <t>盛男</t>
  </si>
  <si>
    <t>汪海燕</t>
  </si>
  <si>
    <t>李娇</t>
  </si>
  <si>
    <t>王冬菊</t>
  </si>
  <si>
    <t>马如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</si>
</sst>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;[Red]0.00"/>
  </numFmts>
  <fonts count="25">
    <font>
      <sz val="12"/>
      <name val="宋体"/>
      <charset val="134"/>
    </font>
    <font>
      <sz val="11"/>
      <name val="宋体"/>
      <charset val="134"/>
    </font>
    <font>
      <b/>
      <sz val="14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15" borderId="7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3" fillId="23" borderId="7" applyNumberFormat="0" applyAlignment="0" applyProtection="0">
      <alignment vertical="center"/>
    </xf>
    <xf numFmtId="0" fontId="17" fillId="18" borderId="8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" fillId="0" borderId="0"/>
  </cellStyleXfs>
  <cellXfs count="1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3" fillId="0" borderId="2" xfId="49" applyNumberFormat="1" applyFont="1" applyFill="1" applyBorder="1" applyAlignment="1">
      <alignment horizontal="center" vertical="center"/>
    </xf>
    <xf numFmtId="176" fontId="4" fillId="0" borderId="2" xfId="49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58" fontId="3" fillId="0" borderId="2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8"/>
  <sheetViews>
    <sheetView tabSelected="1" topLeftCell="B1" workbookViewId="0">
      <selection activeCell="L10" sqref="L10"/>
    </sheetView>
  </sheetViews>
  <sheetFormatPr defaultColWidth="9" defaultRowHeight="15" customHeight="1"/>
  <cols>
    <col min="1" max="1" width="21.875" style="1" hidden="1" customWidth="1"/>
    <col min="2" max="2" width="10.625" style="1" customWidth="1"/>
    <col min="3" max="3" width="6.25" style="1" customWidth="1"/>
    <col min="4" max="4" width="14.375" style="1" customWidth="1"/>
    <col min="5" max="5" width="8.5" style="2" customWidth="1"/>
    <col min="6" max="7" width="7.875" style="2" customWidth="1"/>
    <col min="8" max="8" width="17.25" style="2" customWidth="1"/>
    <col min="9" max="16384" width="9" style="3"/>
  </cols>
  <sheetData>
    <row r="1" ht="36.75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customHeight="1" spans="1:9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9" t="s">
        <v>9</v>
      </c>
    </row>
    <row r="3" customHeight="1" spans="1:9">
      <c r="A3" s="6" t="str">
        <f>"257820200819093947193"</f>
        <v>257820200819093947193</v>
      </c>
      <c r="B3" s="6" t="s">
        <v>10</v>
      </c>
      <c r="C3" s="6" t="s">
        <v>11</v>
      </c>
      <c r="D3" s="6" t="str">
        <f>"236000010318"</f>
        <v>236000010318</v>
      </c>
      <c r="E3" s="8">
        <v>64</v>
      </c>
      <c r="F3" s="8">
        <v>64</v>
      </c>
      <c r="G3" s="8">
        <f>E3*1.2*0.4+F3*1.2*0.6</f>
        <v>76.8</v>
      </c>
      <c r="H3" s="7" t="s">
        <v>12</v>
      </c>
      <c r="I3" s="10">
        <v>44097</v>
      </c>
    </row>
    <row r="4" customHeight="1" spans="1:9">
      <c r="A4" s="6" t="str">
        <f>"257820200819124014499"</f>
        <v>257820200819124014499</v>
      </c>
      <c r="B4" s="6" t="s">
        <v>10</v>
      </c>
      <c r="C4" s="6" t="s">
        <v>13</v>
      </c>
      <c r="D4" s="6" t="str">
        <f>"236000012401"</f>
        <v>236000012401</v>
      </c>
      <c r="E4" s="8">
        <v>58</v>
      </c>
      <c r="F4" s="8">
        <v>68</v>
      </c>
      <c r="G4" s="8">
        <f>E4*1.2*0.4+F4*1.2*0.6</f>
        <v>76.8</v>
      </c>
      <c r="H4" s="7" t="s">
        <v>14</v>
      </c>
      <c r="I4" s="10">
        <v>44097</v>
      </c>
    </row>
    <row r="5" customHeight="1" spans="1:9">
      <c r="A5" s="6" t="str">
        <f>"2578202008210845161277"</f>
        <v>2578202008210845161277</v>
      </c>
      <c r="B5" s="6" t="s">
        <v>10</v>
      </c>
      <c r="C5" s="6" t="s">
        <v>15</v>
      </c>
      <c r="D5" s="6" t="str">
        <f>"236000012422"</f>
        <v>236000012422</v>
      </c>
      <c r="E5" s="8">
        <v>55</v>
      </c>
      <c r="F5" s="8">
        <v>70</v>
      </c>
      <c r="G5" s="8">
        <f>E5*1.2*0.4+F5*1.2*0.6</f>
        <v>76.8</v>
      </c>
      <c r="H5" s="7" t="s">
        <v>14</v>
      </c>
      <c r="I5" s="10">
        <v>44097</v>
      </c>
    </row>
    <row r="6" customHeight="1" spans="1:9">
      <c r="A6" s="6" t="str">
        <f>"257820200819200620781"</f>
        <v>257820200819200620781</v>
      </c>
      <c r="B6" s="6" t="s">
        <v>10</v>
      </c>
      <c r="C6" s="6" t="s">
        <v>16</v>
      </c>
      <c r="D6" s="6" t="str">
        <f>"236000010903"</f>
        <v>236000010903</v>
      </c>
      <c r="E6" s="8">
        <v>57</v>
      </c>
      <c r="F6" s="8">
        <v>68.5</v>
      </c>
      <c r="G6" s="8">
        <f>E6*1.2*0.4+F6*1.2*0.6</f>
        <v>76.68</v>
      </c>
      <c r="H6" s="7" t="s">
        <v>14</v>
      </c>
      <c r="I6" s="10">
        <v>44097</v>
      </c>
    </row>
    <row r="7" customHeight="1" spans="1:9">
      <c r="A7" s="6" t="str">
        <f>"257820200819153816618"</f>
        <v>257820200819153816618</v>
      </c>
      <c r="B7" s="6" t="s">
        <v>10</v>
      </c>
      <c r="C7" s="6" t="s">
        <v>17</v>
      </c>
      <c r="D7" s="6" t="str">
        <f>"236000012310"</f>
        <v>236000012310</v>
      </c>
      <c r="E7" s="8">
        <v>64.5</v>
      </c>
      <c r="F7" s="8">
        <v>63.5</v>
      </c>
      <c r="G7" s="8">
        <f>E7*1.2*0.4+F7*1.2*0.6</f>
        <v>76.68</v>
      </c>
      <c r="H7" s="7" t="s">
        <v>12</v>
      </c>
      <c r="I7" s="10">
        <v>44097</v>
      </c>
    </row>
    <row r="8" customHeight="1" spans="1:9">
      <c r="A8" s="6" t="str">
        <f>"257820200820103329966"</f>
        <v>257820200820103329966</v>
      </c>
      <c r="B8" s="6" t="s">
        <v>10</v>
      </c>
      <c r="C8" s="6" t="s">
        <v>18</v>
      </c>
      <c r="D8" s="6" t="str">
        <f>"236000012019"</f>
        <v>236000012019</v>
      </c>
      <c r="E8" s="8">
        <v>60.5</v>
      </c>
      <c r="F8" s="8">
        <v>66</v>
      </c>
      <c r="G8" s="8">
        <f t="shared" ref="G8:G58" si="0">E8*1.2*0.4+F8*1.2*0.6</f>
        <v>76.56</v>
      </c>
      <c r="H8" s="7" t="s">
        <v>14</v>
      </c>
      <c r="I8" s="10">
        <v>44097</v>
      </c>
    </row>
    <row r="9" customHeight="1" spans="1:9">
      <c r="A9" s="6" t="str">
        <f>"257820200819145602604"</f>
        <v>257820200819145602604</v>
      </c>
      <c r="B9" s="6" t="s">
        <v>10</v>
      </c>
      <c r="C9" s="6" t="s">
        <v>19</v>
      </c>
      <c r="D9" s="6" t="str">
        <f>"236000010120"</f>
        <v>236000010120</v>
      </c>
      <c r="E9" s="8">
        <v>57.5</v>
      </c>
      <c r="F9" s="8">
        <v>68</v>
      </c>
      <c r="G9" s="8">
        <f t="shared" si="0"/>
        <v>76.56</v>
      </c>
      <c r="H9" s="7" t="s">
        <v>14</v>
      </c>
      <c r="I9" s="10">
        <v>44097</v>
      </c>
    </row>
    <row r="10" customHeight="1" spans="1:9">
      <c r="A10" s="6" t="str">
        <f>"257820200819155848634"</f>
        <v>257820200819155848634</v>
      </c>
      <c r="B10" s="6" t="s">
        <v>10</v>
      </c>
      <c r="C10" s="6" t="s">
        <v>20</v>
      </c>
      <c r="D10" s="6" t="str">
        <f>"236000010216"</f>
        <v>236000010216</v>
      </c>
      <c r="E10" s="8">
        <v>62</v>
      </c>
      <c r="F10" s="8">
        <v>65</v>
      </c>
      <c r="G10" s="8">
        <f t="shared" si="0"/>
        <v>76.56</v>
      </c>
      <c r="H10" s="7" t="s">
        <v>14</v>
      </c>
      <c r="I10" s="10">
        <v>44097</v>
      </c>
    </row>
    <row r="11" customHeight="1" spans="1:9">
      <c r="A11" s="6" t="str">
        <f>"2578202008201953051185"</f>
        <v>2578202008201953051185</v>
      </c>
      <c r="B11" s="6" t="s">
        <v>10</v>
      </c>
      <c r="C11" s="6" t="s">
        <v>21</v>
      </c>
      <c r="D11" s="6" t="str">
        <f>"236000011123"</f>
        <v>236000011123</v>
      </c>
      <c r="E11" s="8">
        <v>59</v>
      </c>
      <c r="F11" s="8">
        <v>67</v>
      </c>
      <c r="G11" s="8">
        <f t="shared" si="0"/>
        <v>76.56</v>
      </c>
      <c r="H11" s="7" t="s">
        <v>12</v>
      </c>
      <c r="I11" s="10">
        <v>44097</v>
      </c>
    </row>
    <row r="12" customHeight="1" spans="1:9">
      <c r="A12" s="6" t="str">
        <f>"257820200819143659593"</f>
        <v>257820200819143659593</v>
      </c>
      <c r="B12" s="6" t="s">
        <v>10</v>
      </c>
      <c r="C12" s="6" t="s">
        <v>22</v>
      </c>
      <c r="D12" s="6" t="str">
        <f>"236000011510"</f>
        <v>236000011510</v>
      </c>
      <c r="E12" s="8">
        <v>56</v>
      </c>
      <c r="F12" s="8">
        <v>69</v>
      </c>
      <c r="G12" s="8">
        <f t="shared" si="0"/>
        <v>76.56</v>
      </c>
      <c r="H12" s="7" t="s">
        <v>14</v>
      </c>
      <c r="I12" s="10">
        <v>44097</v>
      </c>
    </row>
    <row r="13" customHeight="1" spans="1:9">
      <c r="A13" s="6" t="str">
        <f>"257820200820112245997"</f>
        <v>257820200820112245997</v>
      </c>
      <c r="B13" s="6" t="s">
        <v>10</v>
      </c>
      <c r="C13" s="6" t="s">
        <v>23</v>
      </c>
      <c r="D13" s="6" t="str">
        <f>"236000011813"</f>
        <v>236000011813</v>
      </c>
      <c r="E13" s="8">
        <v>63.5</v>
      </c>
      <c r="F13" s="8">
        <v>64</v>
      </c>
      <c r="G13" s="8">
        <f t="shared" si="0"/>
        <v>76.56</v>
      </c>
      <c r="H13" s="7" t="s">
        <v>14</v>
      </c>
      <c r="I13" s="10">
        <v>44097</v>
      </c>
    </row>
    <row r="14" customHeight="1" spans="1:9">
      <c r="A14" s="6" t="str">
        <f>"257820200819113838439"</f>
        <v>257820200819113838439</v>
      </c>
      <c r="B14" s="6" t="s">
        <v>10</v>
      </c>
      <c r="C14" s="6" t="s">
        <v>24</v>
      </c>
      <c r="D14" s="6" t="str">
        <f>"236000010408"</f>
        <v>236000010408</v>
      </c>
      <c r="E14" s="8">
        <v>64</v>
      </c>
      <c r="F14" s="8">
        <v>63.5</v>
      </c>
      <c r="G14" s="8">
        <f t="shared" si="0"/>
        <v>76.44</v>
      </c>
      <c r="H14" s="7" t="s">
        <v>14</v>
      </c>
      <c r="I14" s="10">
        <v>44097</v>
      </c>
    </row>
    <row r="15" customHeight="1" spans="1:9">
      <c r="A15" s="6" t="str">
        <f>"257820200819102845318"</f>
        <v>257820200819102845318</v>
      </c>
      <c r="B15" s="6" t="s">
        <v>10</v>
      </c>
      <c r="C15" s="6" t="s">
        <v>25</v>
      </c>
      <c r="D15" s="6" t="str">
        <f>"236000010624"</f>
        <v>236000010624</v>
      </c>
      <c r="E15" s="8">
        <v>65.5</v>
      </c>
      <c r="F15" s="8">
        <v>62.5</v>
      </c>
      <c r="G15" s="8">
        <f t="shared" si="0"/>
        <v>76.44</v>
      </c>
      <c r="H15" s="7" t="s">
        <v>12</v>
      </c>
      <c r="I15" s="10">
        <v>44097</v>
      </c>
    </row>
    <row r="16" customHeight="1" spans="1:9">
      <c r="A16" s="6" t="str">
        <f>"257820200819184519724"</f>
        <v>257820200819184519724</v>
      </c>
      <c r="B16" s="6" t="s">
        <v>10</v>
      </c>
      <c r="C16" s="6" t="s">
        <v>26</v>
      </c>
      <c r="D16" s="6" t="str">
        <f>"236000010907"</f>
        <v>236000010907</v>
      </c>
      <c r="E16" s="8">
        <v>58</v>
      </c>
      <c r="F16" s="8">
        <v>67.5</v>
      </c>
      <c r="G16" s="8">
        <f t="shared" si="0"/>
        <v>76.44</v>
      </c>
      <c r="H16" s="7" t="s">
        <v>12</v>
      </c>
      <c r="I16" s="10">
        <v>44097</v>
      </c>
    </row>
    <row r="17" customHeight="1" spans="1:9">
      <c r="A17" s="6" t="str">
        <f>"257820200819155008629"</f>
        <v>257820200819155008629</v>
      </c>
      <c r="B17" s="6" t="s">
        <v>10</v>
      </c>
      <c r="C17" s="6" t="s">
        <v>27</v>
      </c>
      <c r="D17" s="6" t="str">
        <f>"236000012013"</f>
        <v>236000012013</v>
      </c>
      <c r="E17" s="8">
        <v>58</v>
      </c>
      <c r="F17" s="8">
        <v>67.5</v>
      </c>
      <c r="G17" s="8">
        <f t="shared" si="0"/>
        <v>76.44</v>
      </c>
      <c r="H17" s="7" t="s">
        <v>12</v>
      </c>
      <c r="I17" s="10">
        <v>44097</v>
      </c>
    </row>
    <row r="18" customHeight="1" spans="1:9">
      <c r="A18" s="6" t="str">
        <f>"2578202008201701161130"</f>
        <v>2578202008201701161130</v>
      </c>
      <c r="B18" s="6" t="s">
        <v>10</v>
      </c>
      <c r="C18" s="6" t="s">
        <v>28</v>
      </c>
      <c r="D18" s="6" t="str">
        <f>"236000010320"</f>
        <v>236000010320</v>
      </c>
      <c r="E18" s="8">
        <v>52.5</v>
      </c>
      <c r="F18" s="8">
        <v>71</v>
      </c>
      <c r="G18" s="8">
        <f t="shared" si="0"/>
        <v>76.32</v>
      </c>
      <c r="H18" s="7" t="s">
        <v>14</v>
      </c>
      <c r="I18" s="10">
        <v>44097</v>
      </c>
    </row>
    <row r="19" customHeight="1" spans="1:9">
      <c r="A19" s="6" t="str">
        <f>"257820200819122819491"</f>
        <v>257820200819122819491</v>
      </c>
      <c r="B19" s="6" t="s">
        <v>10</v>
      </c>
      <c r="C19" s="6" t="s">
        <v>29</v>
      </c>
      <c r="D19" s="6" t="str">
        <f>"236000011104"</f>
        <v>236000011104</v>
      </c>
      <c r="E19" s="8">
        <v>65</v>
      </c>
      <c r="F19" s="8">
        <v>62.5</v>
      </c>
      <c r="G19" s="8">
        <f t="shared" si="0"/>
        <v>76.2</v>
      </c>
      <c r="H19" s="7" t="s">
        <v>14</v>
      </c>
      <c r="I19" s="10">
        <v>44097</v>
      </c>
    </row>
    <row r="20" customHeight="1" spans="1:9">
      <c r="A20" s="6" t="str">
        <f>"2578202008211333191376"</f>
        <v>2578202008211333191376</v>
      </c>
      <c r="B20" s="6" t="s">
        <v>10</v>
      </c>
      <c r="C20" s="6" t="s">
        <v>30</v>
      </c>
      <c r="D20" s="6" t="str">
        <f>"236000011912"</f>
        <v>236000011912</v>
      </c>
      <c r="E20" s="8">
        <v>59</v>
      </c>
      <c r="F20" s="8">
        <v>66.5</v>
      </c>
      <c r="G20" s="8">
        <f t="shared" si="0"/>
        <v>76.2</v>
      </c>
      <c r="H20" s="7" t="s">
        <v>14</v>
      </c>
      <c r="I20" s="10">
        <v>44097</v>
      </c>
    </row>
    <row r="21" customHeight="1" spans="1:9">
      <c r="A21" s="6" t="str">
        <f>"2578202008211201101342"</f>
        <v>2578202008211201101342</v>
      </c>
      <c r="B21" s="6" t="s">
        <v>10</v>
      </c>
      <c r="C21" s="6" t="s">
        <v>31</v>
      </c>
      <c r="D21" s="6" t="str">
        <f>"236000012030"</f>
        <v>236000012030</v>
      </c>
      <c r="E21" s="8">
        <v>59</v>
      </c>
      <c r="F21" s="8">
        <v>66.5</v>
      </c>
      <c r="G21" s="8">
        <f t="shared" si="0"/>
        <v>76.2</v>
      </c>
      <c r="H21" s="7" t="s">
        <v>12</v>
      </c>
      <c r="I21" s="10">
        <v>44097</v>
      </c>
    </row>
    <row r="22" customHeight="1" spans="1:9">
      <c r="A22" s="6" t="str">
        <f>"2578202008201503081078"</f>
        <v>2578202008201503081078</v>
      </c>
      <c r="B22" s="6" t="s">
        <v>10</v>
      </c>
      <c r="C22" s="6" t="s">
        <v>32</v>
      </c>
      <c r="D22" s="6" t="str">
        <f>"236000011330"</f>
        <v>236000011330</v>
      </c>
      <c r="E22" s="8">
        <v>58</v>
      </c>
      <c r="F22" s="8">
        <v>67</v>
      </c>
      <c r="G22" s="8">
        <f t="shared" si="0"/>
        <v>76.08</v>
      </c>
      <c r="H22" s="7" t="s">
        <v>14</v>
      </c>
      <c r="I22" s="10">
        <v>44097</v>
      </c>
    </row>
    <row r="23" customHeight="1" spans="1:9">
      <c r="A23" s="6" t="str">
        <f>"2578202008210922431285"</f>
        <v>2578202008210922431285</v>
      </c>
      <c r="B23" s="6" t="s">
        <v>10</v>
      </c>
      <c r="C23" s="6" t="s">
        <v>33</v>
      </c>
      <c r="D23" s="6" t="str">
        <f>"236000011003"</f>
        <v>236000011003</v>
      </c>
      <c r="E23" s="8">
        <v>63</v>
      </c>
      <c r="F23" s="8">
        <v>63.5</v>
      </c>
      <c r="G23" s="8">
        <f t="shared" si="0"/>
        <v>75.96</v>
      </c>
      <c r="H23" s="7" t="s">
        <v>12</v>
      </c>
      <c r="I23" s="10">
        <v>44097</v>
      </c>
    </row>
    <row r="24" customHeight="1" spans="1:9">
      <c r="A24" s="6" t="str">
        <f>"2578202008211657301423"</f>
        <v>2578202008211657301423</v>
      </c>
      <c r="B24" s="6" t="s">
        <v>10</v>
      </c>
      <c r="C24" s="6" t="s">
        <v>34</v>
      </c>
      <c r="D24" s="6" t="str">
        <f>"236000011424"</f>
        <v>236000011424</v>
      </c>
      <c r="E24" s="8">
        <v>57</v>
      </c>
      <c r="F24" s="8">
        <v>67.5</v>
      </c>
      <c r="G24" s="8">
        <f t="shared" si="0"/>
        <v>75.96</v>
      </c>
      <c r="H24" s="7" t="s">
        <v>12</v>
      </c>
      <c r="I24" s="10">
        <v>44097</v>
      </c>
    </row>
    <row r="25" customHeight="1" spans="1:9">
      <c r="A25" s="6" t="str">
        <f>"257820200820105155977"</f>
        <v>257820200820105155977</v>
      </c>
      <c r="B25" s="6" t="s">
        <v>10</v>
      </c>
      <c r="C25" s="6" t="s">
        <v>35</v>
      </c>
      <c r="D25" s="6" t="str">
        <f>"236000010803"</f>
        <v>236000010803</v>
      </c>
      <c r="E25" s="8">
        <v>68</v>
      </c>
      <c r="F25" s="8">
        <v>60</v>
      </c>
      <c r="G25" s="8">
        <f t="shared" si="0"/>
        <v>75.84</v>
      </c>
      <c r="H25" s="7" t="s">
        <v>12</v>
      </c>
      <c r="I25" s="10">
        <v>44097</v>
      </c>
    </row>
    <row r="26" customHeight="1" spans="1:9">
      <c r="A26" s="6" t="str">
        <f>"257820200819163559659"</f>
        <v>257820200819163559659</v>
      </c>
      <c r="B26" s="6" t="s">
        <v>10</v>
      </c>
      <c r="C26" s="6" t="s">
        <v>36</v>
      </c>
      <c r="D26" s="6" t="str">
        <f>"236000011519"</f>
        <v>236000011519</v>
      </c>
      <c r="E26" s="8">
        <v>57.5</v>
      </c>
      <c r="F26" s="8">
        <v>67</v>
      </c>
      <c r="G26" s="8">
        <f t="shared" si="0"/>
        <v>75.84</v>
      </c>
      <c r="H26" s="7" t="s">
        <v>14</v>
      </c>
      <c r="I26" s="10">
        <v>44097</v>
      </c>
    </row>
    <row r="27" customHeight="1" spans="1:9">
      <c r="A27" s="6" t="str">
        <f>"2578202008211057491321"</f>
        <v>2578202008211057491321</v>
      </c>
      <c r="B27" s="6" t="s">
        <v>10</v>
      </c>
      <c r="C27" s="6" t="s">
        <v>37</v>
      </c>
      <c r="D27" s="6" t="str">
        <f>"236000012204"</f>
        <v>236000012204</v>
      </c>
      <c r="E27" s="8">
        <v>63.5</v>
      </c>
      <c r="F27" s="8">
        <v>62.5</v>
      </c>
      <c r="G27" s="8">
        <f t="shared" si="0"/>
        <v>75.48</v>
      </c>
      <c r="H27" s="7" t="s">
        <v>12</v>
      </c>
      <c r="I27" s="10">
        <v>44097</v>
      </c>
    </row>
    <row r="28" customHeight="1" spans="1:9">
      <c r="A28" s="6" t="str">
        <f>"2578202008201820461157"</f>
        <v>2578202008201820461157</v>
      </c>
      <c r="B28" s="6" t="s">
        <v>10</v>
      </c>
      <c r="C28" s="6" t="s">
        <v>38</v>
      </c>
      <c r="D28" s="6" t="str">
        <f>"236000010304"</f>
        <v>236000010304</v>
      </c>
      <c r="E28" s="8">
        <v>58</v>
      </c>
      <c r="F28" s="8">
        <v>66</v>
      </c>
      <c r="G28" s="8">
        <f t="shared" si="0"/>
        <v>75.36</v>
      </c>
      <c r="H28" s="7" t="s">
        <v>14</v>
      </c>
      <c r="I28" s="10">
        <v>44097</v>
      </c>
    </row>
    <row r="29" customHeight="1" spans="1:9">
      <c r="A29" s="6" t="str">
        <f>"257820200819092543147"</f>
        <v>257820200819092543147</v>
      </c>
      <c r="B29" s="6" t="s">
        <v>10</v>
      </c>
      <c r="C29" s="6" t="s">
        <v>39</v>
      </c>
      <c r="D29" s="6" t="str">
        <f>"236000010303"</f>
        <v>236000010303</v>
      </c>
      <c r="E29" s="8">
        <v>56.5</v>
      </c>
      <c r="F29" s="8">
        <v>67</v>
      </c>
      <c r="G29" s="8">
        <f t="shared" si="0"/>
        <v>75.36</v>
      </c>
      <c r="H29" s="7" t="s">
        <v>14</v>
      </c>
      <c r="I29" s="10">
        <v>44097</v>
      </c>
    </row>
    <row r="30" customHeight="1" spans="1:9">
      <c r="A30" s="6" t="str">
        <f>"257820200819091852117"</f>
        <v>257820200819091852117</v>
      </c>
      <c r="B30" s="6" t="s">
        <v>10</v>
      </c>
      <c r="C30" s="6" t="s">
        <v>40</v>
      </c>
      <c r="D30" s="6" t="str">
        <f>"236000011502"</f>
        <v>236000011502</v>
      </c>
      <c r="E30" s="8">
        <v>60</v>
      </c>
      <c r="F30" s="8">
        <v>64.5</v>
      </c>
      <c r="G30" s="8">
        <f t="shared" si="0"/>
        <v>75.24</v>
      </c>
      <c r="H30" s="7" t="s">
        <v>14</v>
      </c>
      <c r="I30" s="10">
        <v>44097</v>
      </c>
    </row>
    <row r="31" customHeight="1" spans="1:9">
      <c r="A31" s="6" t="str">
        <f>"257820200819172835688"</f>
        <v>257820200819172835688</v>
      </c>
      <c r="B31" s="6" t="s">
        <v>10</v>
      </c>
      <c r="C31" s="6" t="s">
        <v>41</v>
      </c>
      <c r="D31" s="6" t="str">
        <f>"236000011708"</f>
        <v>236000011708</v>
      </c>
      <c r="E31" s="8">
        <v>57.5</v>
      </c>
      <c r="F31" s="8">
        <v>66</v>
      </c>
      <c r="G31" s="8">
        <f t="shared" si="0"/>
        <v>75.12</v>
      </c>
      <c r="H31" s="7" t="s">
        <v>12</v>
      </c>
      <c r="I31" s="10">
        <v>44097</v>
      </c>
    </row>
    <row r="32" customHeight="1" spans="1:9">
      <c r="A32" s="6" t="str">
        <f>"2578202008201600511101"</f>
        <v>2578202008201600511101</v>
      </c>
      <c r="B32" s="6" t="s">
        <v>10</v>
      </c>
      <c r="C32" s="6" t="s">
        <v>42</v>
      </c>
      <c r="D32" s="6" t="str">
        <f>"236000011721"</f>
        <v>236000011721</v>
      </c>
      <c r="E32" s="8">
        <v>60.5</v>
      </c>
      <c r="F32" s="8">
        <v>64</v>
      </c>
      <c r="G32" s="8">
        <f t="shared" si="0"/>
        <v>75.12</v>
      </c>
      <c r="H32" s="7" t="s">
        <v>14</v>
      </c>
      <c r="I32" s="10">
        <v>44097</v>
      </c>
    </row>
    <row r="33" customHeight="1" spans="1:9">
      <c r="A33" s="6" t="str">
        <f>"257820200819202435791"</f>
        <v>257820200819202435791</v>
      </c>
      <c r="B33" s="6" t="s">
        <v>10</v>
      </c>
      <c r="C33" s="6" t="s">
        <v>43</v>
      </c>
      <c r="D33" s="6" t="str">
        <f>"236000010121"</f>
        <v>236000010121</v>
      </c>
      <c r="E33" s="8">
        <v>55</v>
      </c>
      <c r="F33" s="8">
        <v>67.5</v>
      </c>
      <c r="G33" s="8">
        <f t="shared" si="0"/>
        <v>75</v>
      </c>
      <c r="H33" s="7" t="s">
        <v>12</v>
      </c>
      <c r="I33" s="10">
        <v>44097</v>
      </c>
    </row>
    <row r="34" customHeight="1" spans="1:9">
      <c r="A34" s="6" t="str">
        <f>"257820200819105237373"</f>
        <v>257820200819105237373</v>
      </c>
      <c r="B34" s="6" t="s">
        <v>10</v>
      </c>
      <c r="C34" s="6" t="s">
        <v>44</v>
      </c>
      <c r="D34" s="6" t="str">
        <f>"236000010420"</f>
        <v>236000010420</v>
      </c>
      <c r="E34" s="8">
        <v>55</v>
      </c>
      <c r="F34" s="8">
        <v>67.5</v>
      </c>
      <c r="G34" s="8">
        <f t="shared" si="0"/>
        <v>75</v>
      </c>
      <c r="H34" s="7" t="s">
        <v>14</v>
      </c>
      <c r="I34" s="10">
        <v>44097</v>
      </c>
    </row>
    <row r="35" customHeight="1" spans="1:9">
      <c r="A35" s="6" t="str">
        <f>"2578202008211730471431"</f>
        <v>2578202008211730471431</v>
      </c>
      <c r="B35" s="6" t="s">
        <v>10</v>
      </c>
      <c r="C35" s="6" t="s">
        <v>45</v>
      </c>
      <c r="D35" s="6" t="str">
        <f>"236000010816"</f>
        <v>236000010816</v>
      </c>
      <c r="E35" s="8">
        <v>64</v>
      </c>
      <c r="F35" s="8">
        <v>61.5</v>
      </c>
      <c r="G35" s="8">
        <f t="shared" si="0"/>
        <v>75</v>
      </c>
      <c r="H35" s="7" t="s">
        <v>14</v>
      </c>
      <c r="I35" s="10">
        <v>44097</v>
      </c>
    </row>
    <row r="36" customHeight="1" spans="1:9">
      <c r="A36" s="6" t="str">
        <f>"2578202008212153351488"</f>
        <v>2578202008212153351488</v>
      </c>
      <c r="B36" s="6" t="s">
        <v>10</v>
      </c>
      <c r="C36" s="6" t="s">
        <v>46</v>
      </c>
      <c r="D36" s="6" t="str">
        <f>"236000011503"</f>
        <v>236000011503</v>
      </c>
      <c r="E36" s="8">
        <v>59.5</v>
      </c>
      <c r="F36" s="8">
        <v>64.5</v>
      </c>
      <c r="G36" s="8">
        <f t="shared" si="0"/>
        <v>75</v>
      </c>
      <c r="H36" s="7" t="s">
        <v>14</v>
      </c>
      <c r="I36" s="10">
        <v>44097</v>
      </c>
    </row>
    <row r="37" customHeight="1" spans="1:9">
      <c r="A37" s="6" t="str">
        <f>"257820200819115145452"</f>
        <v>257820200819115145452</v>
      </c>
      <c r="B37" s="6" t="s">
        <v>10</v>
      </c>
      <c r="C37" s="6" t="s">
        <v>47</v>
      </c>
      <c r="D37" s="6" t="str">
        <f>"236000011915"</f>
        <v>236000011915</v>
      </c>
      <c r="E37" s="8">
        <v>61.5</v>
      </c>
      <c r="F37" s="8">
        <v>63</v>
      </c>
      <c r="G37" s="8">
        <f t="shared" si="0"/>
        <v>74.88</v>
      </c>
      <c r="H37" s="7" t="s">
        <v>14</v>
      </c>
      <c r="I37" s="10">
        <v>44097</v>
      </c>
    </row>
    <row r="38" customHeight="1" spans="1:9">
      <c r="A38" s="6" t="str">
        <f>"2578202008201515541084"</f>
        <v>2578202008201515541084</v>
      </c>
      <c r="B38" s="6" t="s">
        <v>10</v>
      </c>
      <c r="C38" s="6" t="s">
        <v>48</v>
      </c>
      <c r="D38" s="6" t="str">
        <f>"236000011230"</f>
        <v>236000011230</v>
      </c>
      <c r="E38" s="8">
        <v>60.5</v>
      </c>
      <c r="F38" s="8">
        <v>63.5</v>
      </c>
      <c r="G38" s="8">
        <f t="shared" si="0"/>
        <v>74.76</v>
      </c>
      <c r="H38" s="7" t="s">
        <v>12</v>
      </c>
      <c r="I38" s="10">
        <v>44097</v>
      </c>
    </row>
    <row r="39" customHeight="1" spans="1:9">
      <c r="A39" s="6" t="str">
        <f>"257820200820003150872"</f>
        <v>257820200820003150872</v>
      </c>
      <c r="B39" s="6" t="s">
        <v>10</v>
      </c>
      <c r="C39" s="6" t="s">
        <v>49</v>
      </c>
      <c r="D39" s="6" t="str">
        <f>"236000010208"</f>
        <v>236000010208</v>
      </c>
      <c r="E39" s="8">
        <v>54.5</v>
      </c>
      <c r="F39" s="8">
        <v>67.5</v>
      </c>
      <c r="G39" s="8">
        <f t="shared" si="0"/>
        <v>74.76</v>
      </c>
      <c r="H39" s="7" t="s">
        <v>14</v>
      </c>
      <c r="I39" s="10">
        <v>44097</v>
      </c>
    </row>
    <row r="40" customHeight="1" spans="1:9">
      <c r="A40" s="6" t="str">
        <f>"2578202008201535051091"</f>
        <v>2578202008201535051091</v>
      </c>
      <c r="B40" s="6" t="s">
        <v>10</v>
      </c>
      <c r="C40" s="6" t="s">
        <v>50</v>
      </c>
      <c r="D40" s="6" t="str">
        <f>"236000010523"</f>
        <v>236000010523</v>
      </c>
      <c r="E40" s="8">
        <v>51.5</v>
      </c>
      <c r="F40" s="8">
        <v>69.5</v>
      </c>
      <c r="G40" s="8">
        <f t="shared" si="0"/>
        <v>74.76</v>
      </c>
      <c r="H40" s="7" t="s">
        <v>14</v>
      </c>
      <c r="I40" s="10">
        <v>44097</v>
      </c>
    </row>
    <row r="41" customHeight="1" spans="1:9">
      <c r="A41" s="6" t="str">
        <f>"257820200819211434820"</f>
        <v>257820200819211434820</v>
      </c>
      <c r="B41" s="6" t="s">
        <v>10</v>
      </c>
      <c r="C41" s="6" t="s">
        <v>51</v>
      </c>
      <c r="D41" s="6" t="str">
        <f>"236000010610"</f>
        <v>236000010610</v>
      </c>
      <c r="E41" s="8">
        <v>65</v>
      </c>
      <c r="F41" s="8">
        <v>60.5</v>
      </c>
      <c r="G41" s="8">
        <f t="shared" si="0"/>
        <v>74.76</v>
      </c>
      <c r="H41" s="7" t="s">
        <v>14</v>
      </c>
      <c r="I41" s="10">
        <v>44097</v>
      </c>
    </row>
    <row r="42" customHeight="1" spans="1:9">
      <c r="A42" s="6" t="str">
        <f>"2578202008210941511290"</f>
        <v>2578202008210941511290</v>
      </c>
      <c r="B42" s="6" t="s">
        <v>10</v>
      </c>
      <c r="C42" s="6" t="s">
        <v>52</v>
      </c>
      <c r="D42" s="6" t="str">
        <f>"236000010818"</f>
        <v>236000010818</v>
      </c>
      <c r="E42" s="8">
        <v>65</v>
      </c>
      <c r="F42" s="8">
        <v>60.5</v>
      </c>
      <c r="G42" s="8">
        <f t="shared" si="0"/>
        <v>74.76</v>
      </c>
      <c r="H42" s="7" t="s">
        <v>14</v>
      </c>
      <c r="I42" s="10">
        <v>44097</v>
      </c>
    </row>
    <row r="43" customHeight="1" spans="1:9">
      <c r="A43" s="6" t="str">
        <f>"2578202008211840091444"</f>
        <v>2578202008211840091444</v>
      </c>
      <c r="B43" s="6" t="s">
        <v>10</v>
      </c>
      <c r="C43" s="6" t="s">
        <v>53</v>
      </c>
      <c r="D43" s="6" t="str">
        <f>"236000012326"</f>
        <v>236000012326</v>
      </c>
      <c r="E43" s="8">
        <v>59</v>
      </c>
      <c r="F43" s="8">
        <v>64.5</v>
      </c>
      <c r="G43" s="8">
        <f t="shared" si="0"/>
        <v>74.76</v>
      </c>
      <c r="H43" s="7" t="s">
        <v>14</v>
      </c>
      <c r="I43" s="10">
        <v>44097</v>
      </c>
    </row>
    <row r="44" customHeight="1" spans="1:9">
      <c r="A44" s="6" t="str">
        <f>"257820200819101943294"</f>
        <v>257820200819101943294</v>
      </c>
      <c r="B44" s="6" t="s">
        <v>10</v>
      </c>
      <c r="C44" s="6" t="s">
        <v>54</v>
      </c>
      <c r="D44" s="6" t="str">
        <f>"236000010406"</f>
        <v>236000010406</v>
      </c>
      <c r="E44" s="8">
        <v>49</v>
      </c>
      <c r="F44" s="8">
        <v>71</v>
      </c>
      <c r="G44" s="8">
        <f t="shared" si="0"/>
        <v>74.64</v>
      </c>
      <c r="H44" s="7" t="s">
        <v>14</v>
      </c>
      <c r="I44" s="10">
        <v>44097</v>
      </c>
    </row>
    <row r="45" customHeight="1" spans="1:9">
      <c r="A45" s="6" t="str">
        <f>"257820200819100137250"</f>
        <v>257820200819100137250</v>
      </c>
      <c r="B45" s="6" t="s">
        <v>10</v>
      </c>
      <c r="C45" s="6" t="s">
        <v>55</v>
      </c>
      <c r="D45" s="6" t="str">
        <f>"236000011218"</f>
        <v>236000011218</v>
      </c>
      <c r="E45" s="8">
        <v>56.5</v>
      </c>
      <c r="F45" s="8">
        <v>66</v>
      </c>
      <c r="G45" s="8">
        <f t="shared" si="0"/>
        <v>74.64</v>
      </c>
      <c r="H45" s="7" t="s">
        <v>14</v>
      </c>
      <c r="I45" s="10">
        <v>44097</v>
      </c>
    </row>
    <row r="46" customHeight="1" spans="1:9">
      <c r="A46" s="6" t="str">
        <f>"2578202008202309421245"</f>
        <v>2578202008202309421245</v>
      </c>
      <c r="B46" s="6" t="s">
        <v>10</v>
      </c>
      <c r="C46" s="6" t="s">
        <v>56</v>
      </c>
      <c r="D46" s="6" t="str">
        <f>"236000010608"</f>
        <v>236000010608</v>
      </c>
      <c r="E46" s="8">
        <v>55.5</v>
      </c>
      <c r="F46" s="8">
        <v>66.5</v>
      </c>
      <c r="G46" s="8">
        <f t="shared" si="0"/>
        <v>74.52</v>
      </c>
      <c r="H46" s="7" t="s">
        <v>14</v>
      </c>
      <c r="I46" s="10">
        <v>44097</v>
      </c>
    </row>
    <row r="47" customHeight="1" spans="1:9">
      <c r="A47" s="6" t="str">
        <f>"257820200819101827292"</f>
        <v>257820200819101827292</v>
      </c>
      <c r="B47" s="6" t="s">
        <v>10</v>
      </c>
      <c r="C47" s="6" t="s">
        <v>57</v>
      </c>
      <c r="D47" s="6" t="str">
        <f>"236000011113"</f>
        <v>236000011113</v>
      </c>
      <c r="E47" s="8">
        <v>60</v>
      </c>
      <c r="F47" s="8">
        <v>63.5</v>
      </c>
      <c r="G47" s="8">
        <f t="shared" si="0"/>
        <v>74.52</v>
      </c>
      <c r="H47" s="7" t="s">
        <v>12</v>
      </c>
      <c r="I47" s="10">
        <v>44097</v>
      </c>
    </row>
    <row r="48" customHeight="1" spans="1:9">
      <c r="A48" s="6" t="str">
        <f>"257820200819115750459"</f>
        <v>257820200819115750459</v>
      </c>
      <c r="B48" s="6" t="s">
        <v>10</v>
      </c>
      <c r="C48" s="6" t="s">
        <v>58</v>
      </c>
      <c r="D48" s="6" t="str">
        <f>"236000012415"</f>
        <v>236000012415</v>
      </c>
      <c r="E48" s="8">
        <v>52.5</v>
      </c>
      <c r="F48" s="8">
        <v>68.5</v>
      </c>
      <c r="G48" s="8">
        <f t="shared" si="0"/>
        <v>74.52</v>
      </c>
      <c r="H48" s="7" t="s">
        <v>12</v>
      </c>
      <c r="I48" s="10">
        <v>44097</v>
      </c>
    </row>
    <row r="49" customHeight="1" spans="1:9">
      <c r="A49" s="6" t="str">
        <f>"25782020081909013016"</f>
        <v>25782020081909013016</v>
      </c>
      <c r="B49" s="6" t="s">
        <v>10</v>
      </c>
      <c r="C49" s="6" t="s">
        <v>59</v>
      </c>
      <c r="D49" s="6" t="str">
        <f>"236000010205"</f>
        <v>236000010205</v>
      </c>
      <c r="E49" s="8">
        <v>56</v>
      </c>
      <c r="F49" s="8">
        <v>66</v>
      </c>
      <c r="G49" s="8">
        <f t="shared" si="0"/>
        <v>74.4</v>
      </c>
      <c r="H49" s="7" t="s">
        <v>14</v>
      </c>
      <c r="I49" s="10">
        <v>44097</v>
      </c>
    </row>
    <row r="50" customHeight="1" spans="1:9">
      <c r="A50" s="6" t="str">
        <f>"257820200819111319412"</f>
        <v>257820200819111319412</v>
      </c>
      <c r="B50" s="6" t="s">
        <v>10</v>
      </c>
      <c r="C50" s="6" t="s">
        <v>60</v>
      </c>
      <c r="D50" s="6" t="str">
        <f>"236000011605"</f>
        <v>236000011605</v>
      </c>
      <c r="E50" s="8">
        <v>56</v>
      </c>
      <c r="F50" s="8">
        <v>66</v>
      </c>
      <c r="G50" s="8">
        <f t="shared" si="0"/>
        <v>74.4</v>
      </c>
      <c r="H50" s="7" t="s">
        <v>14</v>
      </c>
      <c r="I50" s="10">
        <v>44097</v>
      </c>
    </row>
    <row r="51" customHeight="1" spans="1:9">
      <c r="A51" s="6" t="str">
        <f>"2578202008201146471006"</f>
        <v>2578202008201146471006</v>
      </c>
      <c r="B51" s="6" t="s">
        <v>10</v>
      </c>
      <c r="C51" s="6" t="s">
        <v>61</v>
      </c>
      <c r="D51" s="6" t="str">
        <f>"236000010904"</f>
        <v>236000010904</v>
      </c>
      <c r="E51" s="8">
        <v>59.5</v>
      </c>
      <c r="F51" s="8">
        <v>63.5</v>
      </c>
      <c r="G51" s="8">
        <f t="shared" si="0"/>
        <v>74.28</v>
      </c>
      <c r="H51" s="7" t="s">
        <v>12</v>
      </c>
      <c r="I51" s="10">
        <v>44097</v>
      </c>
    </row>
    <row r="52" customHeight="1" spans="1:9">
      <c r="A52" s="6" t="str">
        <f>"257820200819202451792"</f>
        <v>257820200819202451792</v>
      </c>
      <c r="B52" s="6" t="s">
        <v>10</v>
      </c>
      <c r="C52" s="6" t="s">
        <v>62</v>
      </c>
      <c r="D52" s="6" t="str">
        <f>"236000011603"</f>
        <v>236000011603</v>
      </c>
      <c r="E52" s="8">
        <v>59.5</v>
      </c>
      <c r="F52" s="8">
        <v>63.5</v>
      </c>
      <c r="G52" s="8">
        <f t="shared" si="0"/>
        <v>74.28</v>
      </c>
      <c r="H52" s="7" t="s">
        <v>12</v>
      </c>
      <c r="I52" s="10">
        <v>44097</v>
      </c>
    </row>
    <row r="53" customHeight="1" spans="1:9">
      <c r="A53" s="6" t="str">
        <f>"257820200819203629798"</f>
        <v>257820200819203629798</v>
      </c>
      <c r="B53" s="6" t="s">
        <v>10</v>
      </c>
      <c r="C53" s="6" t="s">
        <v>63</v>
      </c>
      <c r="D53" s="6" t="str">
        <f>"236000012010"</f>
        <v>236000012010</v>
      </c>
      <c r="E53" s="8">
        <v>62.5</v>
      </c>
      <c r="F53" s="8">
        <v>61.5</v>
      </c>
      <c r="G53" s="8">
        <f t="shared" si="0"/>
        <v>74.28</v>
      </c>
      <c r="H53" s="7" t="s">
        <v>14</v>
      </c>
      <c r="I53" s="10">
        <v>44097</v>
      </c>
    </row>
    <row r="54" customHeight="1" spans="1:9">
      <c r="A54" s="6" t="str">
        <f>"257820200819184017719"</f>
        <v>257820200819184017719</v>
      </c>
      <c r="B54" s="6" t="s">
        <v>10</v>
      </c>
      <c r="C54" s="6" t="s">
        <v>64</v>
      </c>
      <c r="D54" s="6" t="str">
        <f>"236000011712"</f>
        <v>236000011712</v>
      </c>
      <c r="E54" s="8">
        <v>55.5</v>
      </c>
      <c r="F54" s="8">
        <v>66</v>
      </c>
      <c r="G54" s="8">
        <f t="shared" si="0"/>
        <v>74.16</v>
      </c>
      <c r="H54" s="7" t="s">
        <v>14</v>
      </c>
      <c r="I54" s="10">
        <v>44097</v>
      </c>
    </row>
    <row r="55" customHeight="1" spans="1:9">
      <c r="A55" s="6" t="str">
        <f>"257820200819135132563"</f>
        <v>257820200819135132563</v>
      </c>
      <c r="B55" s="6" t="s">
        <v>10</v>
      </c>
      <c r="C55" s="6" t="s">
        <v>65</v>
      </c>
      <c r="D55" s="6" t="str">
        <f>"236000010422"</f>
        <v>236000010422</v>
      </c>
      <c r="E55" s="8">
        <v>58.5</v>
      </c>
      <c r="F55" s="8">
        <v>64</v>
      </c>
      <c r="G55" s="8">
        <f t="shared" si="0"/>
        <v>74.16</v>
      </c>
      <c r="H55" s="7" t="s">
        <v>14</v>
      </c>
      <c r="I55" s="10">
        <v>44097</v>
      </c>
    </row>
    <row r="56" customHeight="1" spans="1:9">
      <c r="A56" s="6" t="str">
        <f>"257820200819092127127"</f>
        <v>257820200819092127127</v>
      </c>
      <c r="B56" s="6" t="s">
        <v>10</v>
      </c>
      <c r="C56" s="6" t="s">
        <v>66</v>
      </c>
      <c r="D56" s="6" t="str">
        <f>"236000010327"</f>
        <v>236000010327</v>
      </c>
      <c r="E56" s="8">
        <v>62.5</v>
      </c>
      <c r="F56" s="8">
        <v>61</v>
      </c>
      <c r="G56" s="8">
        <f t="shared" si="0"/>
        <v>73.92</v>
      </c>
      <c r="H56" s="7" t="s">
        <v>14</v>
      </c>
      <c r="I56" s="10">
        <v>44097</v>
      </c>
    </row>
    <row r="57" customHeight="1" spans="1:9">
      <c r="A57" s="6" t="str">
        <f>"25782020081909050754"</f>
        <v>25782020081909050754</v>
      </c>
      <c r="B57" s="6" t="s">
        <v>10</v>
      </c>
      <c r="C57" s="6" t="s">
        <v>67</v>
      </c>
      <c r="D57" s="6" t="str">
        <f>"236000012424"</f>
        <v>236000012424</v>
      </c>
      <c r="E57" s="8">
        <v>56.5</v>
      </c>
      <c r="F57" s="8">
        <v>65</v>
      </c>
      <c r="G57" s="8">
        <f t="shared" si="0"/>
        <v>73.92</v>
      </c>
      <c r="H57" s="7" t="s">
        <v>14</v>
      </c>
      <c r="I57" s="10">
        <v>44097</v>
      </c>
    </row>
    <row r="58" customHeight="1" spans="1:9">
      <c r="A58" s="6" t="str">
        <f>"257820200820095920944"</f>
        <v>257820200820095920944</v>
      </c>
      <c r="B58" s="6" t="s">
        <v>10</v>
      </c>
      <c r="C58" s="6" t="s">
        <v>68</v>
      </c>
      <c r="D58" s="6" t="str">
        <f>"236000010826"</f>
        <v>236000010826</v>
      </c>
      <c r="E58" s="8">
        <v>52</v>
      </c>
      <c r="F58" s="8">
        <v>68</v>
      </c>
      <c r="G58" s="8">
        <f t="shared" si="0"/>
        <v>73.92</v>
      </c>
      <c r="H58" s="7" t="s">
        <v>14</v>
      </c>
      <c r="I58" s="10">
        <v>44097</v>
      </c>
    </row>
    <row r="59" customHeight="1" spans="1:9">
      <c r="A59" s="6" t="str">
        <f>"257820200819095508237"</f>
        <v>257820200819095508237</v>
      </c>
      <c r="B59" s="6" t="s">
        <v>10</v>
      </c>
      <c r="C59" s="6" t="s">
        <v>69</v>
      </c>
      <c r="D59" s="6" t="str">
        <f>"236000010502"</f>
        <v>236000010502</v>
      </c>
      <c r="E59" s="8">
        <v>60</v>
      </c>
      <c r="F59" s="8">
        <v>62.5</v>
      </c>
      <c r="G59" s="8">
        <f t="shared" ref="G59:G122" si="1">E59*1.2*0.4+F59*1.2*0.6</f>
        <v>73.8</v>
      </c>
      <c r="H59" s="7" t="s">
        <v>14</v>
      </c>
      <c r="I59" s="10">
        <v>44097</v>
      </c>
    </row>
    <row r="60" customHeight="1" spans="1:9">
      <c r="A60" s="6" t="str">
        <f>"257820200820092510922"</f>
        <v>257820200820092510922</v>
      </c>
      <c r="B60" s="6" t="s">
        <v>10</v>
      </c>
      <c r="C60" s="6" t="s">
        <v>70</v>
      </c>
      <c r="D60" s="6" t="str">
        <f>"236000010613"</f>
        <v>236000010613</v>
      </c>
      <c r="E60" s="8">
        <v>54</v>
      </c>
      <c r="F60" s="8">
        <v>66.5</v>
      </c>
      <c r="G60" s="8">
        <f t="shared" si="1"/>
        <v>73.8</v>
      </c>
      <c r="H60" s="7" t="s">
        <v>14</v>
      </c>
      <c r="I60" s="10">
        <v>44097</v>
      </c>
    </row>
    <row r="61" customHeight="1" spans="1:9">
      <c r="A61" s="6" t="str">
        <f>"2578202008211032421309"</f>
        <v>2578202008211032421309</v>
      </c>
      <c r="B61" s="6" t="s">
        <v>10</v>
      </c>
      <c r="C61" s="6" t="s">
        <v>71</v>
      </c>
      <c r="D61" s="6" t="str">
        <f>"236000010622"</f>
        <v>236000010622</v>
      </c>
      <c r="E61" s="8">
        <v>63</v>
      </c>
      <c r="F61" s="8">
        <v>60.5</v>
      </c>
      <c r="G61" s="8">
        <f t="shared" si="1"/>
        <v>73.8</v>
      </c>
      <c r="H61" s="7" t="s">
        <v>12</v>
      </c>
      <c r="I61" s="10">
        <v>44097</v>
      </c>
    </row>
    <row r="62" customHeight="1" spans="1:9">
      <c r="A62" s="6" t="str">
        <f>"2578202008201641451116"</f>
        <v>2578202008201641451116</v>
      </c>
      <c r="B62" s="6" t="s">
        <v>10</v>
      </c>
      <c r="C62" s="6" t="s">
        <v>72</v>
      </c>
      <c r="D62" s="6" t="str">
        <f>"236000010821"</f>
        <v>236000010821</v>
      </c>
      <c r="E62" s="8">
        <v>55.5</v>
      </c>
      <c r="F62" s="8">
        <v>65.5</v>
      </c>
      <c r="G62" s="8">
        <f t="shared" si="1"/>
        <v>73.8</v>
      </c>
      <c r="H62" s="7" t="s">
        <v>14</v>
      </c>
      <c r="I62" s="10">
        <v>44097</v>
      </c>
    </row>
    <row r="63" customHeight="1" spans="1:9">
      <c r="A63" s="6" t="str">
        <f>"257820200819141034578"</f>
        <v>257820200819141034578</v>
      </c>
      <c r="B63" s="6" t="s">
        <v>10</v>
      </c>
      <c r="C63" s="6" t="s">
        <v>73</v>
      </c>
      <c r="D63" s="6" t="str">
        <f>"236000011221"</f>
        <v>236000011221</v>
      </c>
      <c r="E63" s="8">
        <v>55.5</v>
      </c>
      <c r="F63" s="8">
        <v>65.5</v>
      </c>
      <c r="G63" s="8">
        <f t="shared" si="1"/>
        <v>73.8</v>
      </c>
      <c r="H63" s="7" t="s">
        <v>12</v>
      </c>
      <c r="I63" s="10">
        <v>44097</v>
      </c>
    </row>
    <row r="64" customHeight="1" spans="1:9">
      <c r="A64" s="6" t="str">
        <f>"2578202008201316211046"</f>
        <v>2578202008201316211046</v>
      </c>
      <c r="B64" s="6" t="s">
        <v>10</v>
      </c>
      <c r="C64" s="6" t="s">
        <v>74</v>
      </c>
      <c r="D64" s="6" t="str">
        <f>"236000011309"</f>
        <v>236000011309</v>
      </c>
      <c r="E64" s="8">
        <v>60</v>
      </c>
      <c r="F64" s="8">
        <v>62.5</v>
      </c>
      <c r="G64" s="8">
        <f t="shared" si="1"/>
        <v>73.8</v>
      </c>
      <c r="H64" s="7" t="s">
        <v>12</v>
      </c>
      <c r="I64" s="10">
        <v>44097</v>
      </c>
    </row>
    <row r="65" customHeight="1" spans="1:9">
      <c r="A65" s="6" t="str">
        <f>"257820200819104225346"</f>
        <v>257820200819104225346</v>
      </c>
      <c r="B65" s="6" t="s">
        <v>10</v>
      </c>
      <c r="C65" s="6" t="s">
        <v>75</v>
      </c>
      <c r="D65" s="6" t="str">
        <f>"236000011626"</f>
        <v>236000011626</v>
      </c>
      <c r="E65" s="8">
        <v>60</v>
      </c>
      <c r="F65" s="8">
        <v>62.5</v>
      </c>
      <c r="G65" s="8">
        <f t="shared" si="1"/>
        <v>73.8</v>
      </c>
      <c r="H65" s="7" t="s">
        <v>14</v>
      </c>
      <c r="I65" s="10">
        <v>44097</v>
      </c>
    </row>
    <row r="66" customHeight="1" spans="1:9">
      <c r="A66" s="6" t="str">
        <f>"257820200820100655947"</f>
        <v>257820200820100655947</v>
      </c>
      <c r="B66" s="6" t="s">
        <v>10</v>
      </c>
      <c r="C66" s="6" t="s">
        <v>76</v>
      </c>
      <c r="D66" s="6" t="str">
        <f>"236000011715"</f>
        <v>236000011715</v>
      </c>
      <c r="E66" s="8">
        <v>61.5</v>
      </c>
      <c r="F66" s="8">
        <v>61.5</v>
      </c>
      <c r="G66" s="8">
        <f t="shared" si="1"/>
        <v>73.8</v>
      </c>
      <c r="H66" s="7" t="s">
        <v>14</v>
      </c>
      <c r="I66" s="10">
        <v>44097</v>
      </c>
    </row>
    <row r="67" customHeight="1" spans="1:9">
      <c r="A67" s="6" t="str">
        <f>"2578202008201437011064"</f>
        <v>2578202008201437011064</v>
      </c>
      <c r="B67" s="6" t="s">
        <v>10</v>
      </c>
      <c r="C67" s="6" t="s">
        <v>77</v>
      </c>
      <c r="D67" s="6" t="str">
        <f>"236000011815"</f>
        <v>236000011815</v>
      </c>
      <c r="E67" s="8">
        <v>60</v>
      </c>
      <c r="F67" s="8">
        <v>62.5</v>
      </c>
      <c r="G67" s="8">
        <f t="shared" si="1"/>
        <v>73.8</v>
      </c>
      <c r="H67" s="7" t="s">
        <v>14</v>
      </c>
      <c r="I67" s="10">
        <v>44097</v>
      </c>
    </row>
    <row r="68" customHeight="1" spans="1:9">
      <c r="A68" s="6" t="str">
        <f>"2578202008201637141112"</f>
        <v>2578202008201637141112</v>
      </c>
      <c r="B68" s="6" t="s">
        <v>10</v>
      </c>
      <c r="C68" s="6" t="s">
        <v>78</v>
      </c>
      <c r="D68" s="6" t="str">
        <f>"236000011428"</f>
        <v>236000011428</v>
      </c>
      <c r="E68" s="8">
        <v>54.5</v>
      </c>
      <c r="F68" s="8">
        <v>66</v>
      </c>
      <c r="G68" s="8">
        <f t="shared" si="1"/>
        <v>73.68</v>
      </c>
      <c r="H68" s="7" t="s">
        <v>14</v>
      </c>
      <c r="I68" s="10">
        <v>44097</v>
      </c>
    </row>
    <row r="69" customHeight="1" spans="1:9">
      <c r="A69" s="6" t="str">
        <f>"257820200820094149932"</f>
        <v>257820200820094149932</v>
      </c>
      <c r="B69" s="6" t="s">
        <v>10</v>
      </c>
      <c r="C69" s="6" t="s">
        <v>79</v>
      </c>
      <c r="D69" s="6" t="str">
        <f>"236000011610"</f>
        <v>236000011610</v>
      </c>
      <c r="E69" s="8">
        <v>54.5</v>
      </c>
      <c r="F69" s="8">
        <v>66</v>
      </c>
      <c r="G69" s="8">
        <f t="shared" si="1"/>
        <v>73.68</v>
      </c>
      <c r="H69" s="7" t="s">
        <v>14</v>
      </c>
      <c r="I69" s="10">
        <v>44097</v>
      </c>
    </row>
    <row r="70" customHeight="1" spans="1:9">
      <c r="A70" s="6" t="str">
        <f>"257820200819125358515"</f>
        <v>257820200819125358515</v>
      </c>
      <c r="B70" s="6" t="s">
        <v>10</v>
      </c>
      <c r="C70" s="6" t="s">
        <v>80</v>
      </c>
      <c r="D70" s="6" t="str">
        <f>"236000011121"</f>
        <v>236000011121</v>
      </c>
      <c r="E70" s="8">
        <v>59</v>
      </c>
      <c r="F70" s="8">
        <v>63</v>
      </c>
      <c r="G70" s="8">
        <f t="shared" si="1"/>
        <v>73.68</v>
      </c>
      <c r="H70" s="7" t="s">
        <v>14</v>
      </c>
      <c r="I70" s="10">
        <v>44097</v>
      </c>
    </row>
    <row r="71" customHeight="1" spans="1:9">
      <c r="A71" s="6" t="str">
        <f>"2578202008211228421359"</f>
        <v>2578202008211228421359</v>
      </c>
      <c r="B71" s="6" t="s">
        <v>10</v>
      </c>
      <c r="C71" s="6" t="s">
        <v>81</v>
      </c>
      <c r="D71" s="6" t="str">
        <f>"236000011320"</f>
        <v>236000011320</v>
      </c>
      <c r="E71" s="8">
        <v>58</v>
      </c>
      <c r="F71" s="8">
        <v>63.5</v>
      </c>
      <c r="G71" s="8">
        <f t="shared" si="1"/>
        <v>73.56</v>
      </c>
      <c r="H71" s="7" t="s">
        <v>14</v>
      </c>
      <c r="I71" s="10">
        <v>44097</v>
      </c>
    </row>
    <row r="72" customHeight="1" spans="1:9">
      <c r="A72" s="6" t="str">
        <f>"257820200819195231776"</f>
        <v>257820200819195231776</v>
      </c>
      <c r="B72" s="6" t="s">
        <v>10</v>
      </c>
      <c r="C72" s="6" t="s">
        <v>82</v>
      </c>
      <c r="D72" s="6" t="str">
        <f>"236000010129"</f>
        <v>236000010129</v>
      </c>
      <c r="E72" s="8">
        <v>56.5</v>
      </c>
      <c r="F72" s="8">
        <v>64.5</v>
      </c>
      <c r="G72" s="8">
        <f t="shared" si="1"/>
        <v>73.56</v>
      </c>
      <c r="H72" s="7" t="s">
        <v>14</v>
      </c>
      <c r="I72" s="10">
        <v>44097</v>
      </c>
    </row>
    <row r="73" customHeight="1" spans="1:9">
      <c r="A73" s="6" t="str">
        <f>"257820200819120208462"</f>
        <v>257820200819120208462</v>
      </c>
      <c r="B73" s="6" t="s">
        <v>10</v>
      </c>
      <c r="C73" s="6" t="s">
        <v>83</v>
      </c>
      <c r="D73" s="6" t="str">
        <f>"236000011903"</f>
        <v>236000011903</v>
      </c>
      <c r="E73" s="8">
        <v>56.5</v>
      </c>
      <c r="F73" s="8">
        <v>64.5</v>
      </c>
      <c r="G73" s="8">
        <f t="shared" si="1"/>
        <v>73.56</v>
      </c>
      <c r="H73" s="7" t="s">
        <v>14</v>
      </c>
      <c r="I73" s="10">
        <v>44097</v>
      </c>
    </row>
    <row r="74" customHeight="1" spans="1:9">
      <c r="A74" s="6" t="str">
        <f>"257820200820094432933"</f>
        <v>257820200820094432933</v>
      </c>
      <c r="B74" s="6" t="s">
        <v>10</v>
      </c>
      <c r="C74" s="6" t="s">
        <v>84</v>
      </c>
      <c r="D74" s="6" t="str">
        <f>"236000012302"</f>
        <v>236000012302</v>
      </c>
      <c r="E74" s="8">
        <v>57</v>
      </c>
      <c r="F74" s="8">
        <v>64</v>
      </c>
      <c r="G74" s="8">
        <f t="shared" si="1"/>
        <v>73.44</v>
      </c>
      <c r="H74" s="7" t="s">
        <v>14</v>
      </c>
      <c r="I74" s="10">
        <v>44097</v>
      </c>
    </row>
    <row r="75" customHeight="1" spans="1:9">
      <c r="A75" s="6" t="str">
        <f>"2578202008201212441015"</f>
        <v>2578202008201212441015</v>
      </c>
      <c r="B75" s="6" t="s">
        <v>10</v>
      </c>
      <c r="C75" s="6" t="s">
        <v>85</v>
      </c>
      <c r="D75" s="6" t="str">
        <f>"236000010614"</f>
        <v>236000010614</v>
      </c>
      <c r="E75" s="8">
        <v>56</v>
      </c>
      <c r="F75" s="8">
        <v>64.5</v>
      </c>
      <c r="G75" s="8">
        <f t="shared" si="1"/>
        <v>73.32</v>
      </c>
      <c r="H75" s="7" t="s">
        <v>14</v>
      </c>
      <c r="I75" s="10">
        <v>44097</v>
      </c>
    </row>
    <row r="76" customHeight="1" spans="1:9">
      <c r="A76" s="6" t="str">
        <f>"257820200819124616506"</f>
        <v>257820200819124616506</v>
      </c>
      <c r="B76" s="6" t="s">
        <v>10</v>
      </c>
      <c r="C76" s="6" t="s">
        <v>86</v>
      </c>
      <c r="D76" s="6" t="str">
        <f>"236000010115"</f>
        <v>236000010115</v>
      </c>
      <c r="E76" s="8">
        <v>52</v>
      </c>
      <c r="F76" s="8">
        <v>67</v>
      </c>
      <c r="G76" s="8">
        <f t="shared" si="1"/>
        <v>73.2</v>
      </c>
      <c r="H76" s="7" t="s">
        <v>14</v>
      </c>
      <c r="I76" s="10">
        <v>44097</v>
      </c>
    </row>
    <row r="77" customHeight="1" spans="1:9">
      <c r="A77" s="6" t="str">
        <f>"2578202008201401011058"</f>
        <v>2578202008201401011058</v>
      </c>
      <c r="B77" s="6" t="s">
        <v>10</v>
      </c>
      <c r="C77" s="6" t="s">
        <v>87</v>
      </c>
      <c r="D77" s="6" t="str">
        <f>"236000010201"</f>
        <v>236000010201</v>
      </c>
      <c r="E77" s="8">
        <v>52</v>
      </c>
      <c r="F77" s="8">
        <v>67</v>
      </c>
      <c r="G77" s="8">
        <f t="shared" si="1"/>
        <v>73.2</v>
      </c>
      <c r="H77" s="7" t="s">
        <v>14</v>
      </c>
      <c r="I77" s="10">
        <v>44097</v>
      </c>
    </row>
    <row r="78" customHeight="1" spans="1:9">
      <c r="A78" s="6" t="str">
        <f>"2578202008210841081274"</f>
        <v>2578202008210841081274</v>
      </c>
      <c r="B78" s="6" t="s">
        <v>10</v>
      </c>
      <c r="C78" s="6" t="s">
        <v>88</v>
      </c>
      <c r="D78" s="6" t="str">
        <f>"236000010909"</f>
        <v>236000010909</v>
      </c>
      <c r="E78" s="8">
        <v>55</v>
      </c>
      <c r="F78" s="8">
        <v>65</v>
      </c>
      <c r="G78" s="8">
        <f t="shared" si="1"/>
        <v>73.2</v>
      </c>
      <c r="H78" s="7" t="s">
        <v>14</v>
      </c>
      <c r="I78" s="10">
        <v>44097</v>
      </c>
    </row>
    <row r="79" customHeight="1" spans="1:9">
      <c r="A79" s="6" t="str">
        <f>"257820200819103317328"</f>
        <v>257820200819103317328</v>
      </c>
      <c r="B79" s="6" t="s">
        <v>10</v>
      </c>
      <c r="C79" s="6" t="s">
        <v>89</v>
      </c>
      <c r="D79" s="6" t="str">
        <f>"236000012113"</f>
        <v>236000012113</v>
      </c>
      <c r="E79" s="8">
        <v>58</v>
      </c>
      <c r="F79" s="8">
        <v>63</v>
      </c>
      <c r="G79" s="8">
        <f t="shared" si="1"/>
        <v>73.2</v>
      </c>
      <c r="H79" s="7" t="s">
        <v>12</v>
      </c>
      <c r="I79" s="10">
        <v>44097</v>
      </c>
    </row>
    <row r="80" customHeight="1" spans="1:9">
      <c r="A80" s="6" t="str">
        <f>"257820200819203538796"</f>
        <v>257820200819203538796</v>
      </c>
      <c r="B80" s="6" t="s">
        <v>10</v>
      </c>
      <c r="C80" s="6" t="s">
        <v>90</v>
      </c>
      <c r="D80" s="6" t="str">
        <f>"236000011430"</f>
        <v>236000011430</v>
      </c>
      <c r="E80" s="8">
        <v>57</v>
      </c>
      <c r="F80" s="8">
        <v>63.5</v>
      </c>
      <c r="G80" s="8">
        <f t="shared" si="1"/>
        <v>73.08</v>
      </c>
      <c r="H80" s="7" t="s">
        <v>14</v>
      </c>
      <c r="I80" s="10">
        <v>44097</v>
      </c>
    </row>
    <row r="81" customHeight="1" spans="1:9">
      <c r="A81" s="6" t="str">
        <f>"257820200819214725837"</f>
        <v>257820200819214725837</v>
      </c>
      <c r="B81" s="6" t="s">
        <v>10</v>
      </c>
      <c r="C81" s="6" t="s">
        <v>91</v>
      </c>
      <c r="D81" s="6" t="str">
        <f>"236000010506"</f>
        <v>236000010506</v>
      </c>
      <c r="E81" s="8">
        <v>55.5</v>
      </c>
      <c r="F81" s="8">
        <v>64.5</v>
      </c>
      <c r="G81" s="8">
        <f t="shared" si="1"/>
        <v>73.08</v>
      </c>
      <c r="H81" s="7" t="s">
        <v>14</v>
      </c>
      <c r="I81" s="10">
        <v>44097</v>
      </c>
    </row>
    <row r="82" customHeight="1" spans="1:9">
      <c r="A82" s="6" t="str">
        <f>"25782020081909102878"</f>
        <v>25782020081909102878</v>
      </c>
      <c r="B82" s="6" t="s">
        <v>10</v>
      </c>
      <c r="C82" s="6" t="s">
        <v>92</v>
      </c>
      <c r="D82" s="6" t="str">
        <f>"236000011002"</f>
        <v>236000011002</v>
      </c>
      <c r="E82" s="8">
        <v>60</v>
      </c>
      <c r="F82" s="8">
        <v>61.5</v>
      </c>
      <c r="G82" s="8">
        <f t="shared" si="1"/>
        <v>73.08</v>
      </c>
      <c r="H82" s="7" t="s">
        <v>14</v>
      </c>
      <c r="I82" s="10">
        <v>44097</v>
      </c>
    </row>
    <row r="83" customHeight="1" spans="1:9">
      <c r="A83" s="6" t="str">
        <f>"2578202008201936481177"</f>
        <v>2578202008201936481177</v>
      </c>
      <c r="B83" s="6" t="s">
        <v>10</v>
      </c>
      <c r="C83" s="6" t="s">
        <v>93</v>
      </c>
      <c r="D83" s="6" t="str">
        <f>"236000010227"</f>
        <v>236000010227</v>
      </c>
      <c r="E83" s="8">
        <v>59</v>
      </c>
      <c r="F83" s="8">
        <v>62</v>
      </c>
      <c r="G83" s="8">
        <f t="shared" si="1"/>
        <v>72.96</v>
      </c>
      <c r="H83" s="7" t="s">
        <v>14</v>
      </c>
      <c r="I83" s="10">
        <v>44097</v>
      </c>
    </row>
    <row r="84" customHeight="1" spans="1:9">
      <c r="A84" s="6" t="str">
        <f>"2578202008202014421192"</f>
        <v>2578202008202014421192</v>
      </c>
      <c r="B84" s="6" t="s">
        <v>10</v>
      </c>
      <c r="C84" s="6" t="s">
        <v>94</v>
      </c>
      <c r="D84" s="6" t="str">
        <f>"236000011026"</f>
        <v>236000011026</v>
      </c>
      <c r="E84" s="8">
        <v>58</v>
      </c>
      <c r="F84" s="8">
        <v>62.5</v>
      </c>
      <c r="G84" s="8">
        <f t="shared" si="1"/>
        <v>72.84</v>
      </c>
      <c r="H84" s="7" t="s">
        <v>14</v>
      </c>
      <c r="I84" s="10">
        <v>44097</v>
      </c>
    </row>
    <row r="85" customHeight="1" spans="1:9">
      <c r="A85" s="6" t="str">
        <f>"257820200819150539607"</f>
        <v>257820200819150539607</v>
      </c>
      <c r="B85" s="6" t="s">
        <v>10</v>
      </c>
      <c r="C85" s="6" t="s">
        <v>95</v>
      </c>
      <c r="D85" s="6" t="str">
        <f>"236000011625"</f>
        <v>236000011625</v>
      </c>
      <c r="E85" s="8">
        <v>61</v>
      </c>
      <c r="F85" s="8">
        <v>60.5</v>
      </c>
      <c r="G85" s="8">
        <f t="shared" si="1"/>
        <v>72.84</v>
      </c>
      <c r="H85" s="7" t="s">
        <v>14</v>
      </c>
      <c r="I85" s="10">
        <v>44097</v>
      </c>
    </row>
    <row r="86" customHeight="1" spans="1:9">
      <c r="A86" s="6" t="str">
        <f>"257820200819144206596"</f>
        <v>257820200819144206596</v>
      </c>
      <c r="B86" s="6" t="s">
        <v>10</v>
      </c>
      <c r="C86" s="6" t="s">
        <v>96</v>
      </c>
      <c r="D86" s="6" t="str">
        <f>"236000012116"</f>
        <v>236000012116</v>
      </c>
      <c r="E86" s="8">
        <v>65.5</v>
      </c>
      <c r="F86" s="8">
        <v>57.5</v>
      </c>
      <c r="G86" s="8">
        <f t="shared" si="1"/>
        <v>72.84</v>
      </c>
      <c r="H86" s="7" t="s">
        <v>14</v>
      </c>
      <c r="I86" s="10">
        <v>44097</v>
      </c>
    </row>
    <row r="87" customHeight="1" spans="1:9">
      <c r="A87" s="6" t="str">
        <f>"257820200820060056877"</f>
        <v>257820200820060056877</v>
      </c>
      <c r="B87" s="6" t="s">
        <v>10</v>
      </c>
      <c r="C87" s="6" t="s">
        <v>97</v>
      </c>
      <c r="D87" s="6" t="str">
        <f>"236000011114"</f>
        <v>236000011114</v>
      </c>
      <c r="E87" s="8">
        <v>55</v>
      </c>
      <c r="F87" s="8">
        <v>64.5</v>
      </c>
      <c r="G87" s="8">
        <f t="shared" si="1"/>
        <v>72.84</v>
      </c>
      <c r="H87" s="7" t="s">
        <v>14</v>
      </c>
      <c r="I87" s="10">
        <v>44097</v>
      </c>
    </row>
    <row r="88" customHeight="1" spans="1:9">
      <c r="A88" s="6" t="str">
        <f>"257820200819102459305"</f>
        <v>257820200819102459305</v>
      </c>
      <c r="B88" s="6" t="s">
        <v>10</v>
      </c>
      <c r="C88" s="6" t="s">
        <v>98</v>
      </c>
      <c r="D88" s="6" t="str">
        <f>"236000011602"</f>
        <v>236000011602</v>
      </c>
      <c r="E88" s="8">
        <v>60</v>
      </c>
      <c r="F88" s="8">
        <v>61</v>
      </c>
      <c r="G88" s="8">
        <f t="shared" si="1"/>
        <v>72.72</v>
      </c>
      <c r="H88" s="7" t="s">
        <v>14</v>
      </c>
      <c r="I88" s="10">
        <v>44097</v>
      </c>
    </row>
    <row r="89" customHeight="1" spans="1:9">
      <c r="A89" s="6" t="str">
        <f>"25782020081909032631"</f>
        <v>25782020081909032631</v>
      </c>
      <c r="B89" s="6" t="s">
        <v>10</v>
      </c>
      <c r="C89" s="6" t="s">
        <v>99</v>
      </c>
      <c r="D89" s="6" t="str">
        <f>"236000012327"</f>
        <v>236000012327</v>
      </c>
      <c r="E89" s="8">
        <v>55.5</v>
      </c>
      <c r="F89" s="8">
        <v>64</v>
      </c>
      <c r="G89" s="8">
        <f t="shared" si="1"/>
        <v>72.72</v>
      </c>
      <c r="H89" s="7" t="s">
        <v>14</v>
      </c>
      <c r="I89" s="10">
        <v>44097</v>
      </c>
    </row>
    <row r="90" customHeight="1" spans="1:9">
      <c r="A90" s="6" t="str">
        <f>"257820200819092931157"</f>
        <v>257820200819092931157</v>
      </c>
      <c r="B90" s="6" t="s">
        <v>10</v>
      </c>
      <c r="C90" s="6" t="s">
        <v>100</v>
      </c>
      <c r="D90" s="6" t="str">
        <f>"236000012130"</f>
        <v>236000012130</v>
      </c>
      <c r="E90" s="8">
        <v>56.5</v>
      </c>
      <c r="F90" s="8">
        <v>63</v>
      </c>
      <c r="G90" s="8">
        <f t="shared" si="1"/>
        <v>72.48</v>
      </c>
      <c r="H90" s="7" t="s">
        <v>12</v>
      </c>
      <c r="I90" s="10">
        <v>44097</v>
      </c>
    </row>
    <row r="91" customHeight="1" spans="1:9">
      <c r="A91" s="6" t="str">
        <f>"25782020081909041141"</f>
        <v>25782020081909041141</v>
      </c>
      <c r="B91" s="6" t="s">
        <v>10</v>
      </c>
      <c r="C91" s="6" t="s">
        <v>101</v>
      </c>
      <c r="D91" s="6" t="str">
        <f>"236000011203"</f>
        <v>236000011203</v>
      </c>
      <c r="E91" s="8">
        <v>57</v>
      </c>
      <c r="F91" s="8">
        <v>62.5</v>
      </c>
      <c r="G91" s="8">
        <f t="shared" si="1"/>
        <v>72.36</v>
      </c>
      <c r="H91" s="7" t="s">
        <v>14</v>
      </c>
      <c r="I91" s="10">
        <v>44097</v>
      </c>
    </row>
    <row r="92" customHeight="1" spans="1:9">
      <c r="A92" s="6" t="str">
        <f>"257820200819131433535"</f>
        <v>257820200819131433535</v>
      </c>
      <c r="B92" s="6" t="s">
        <v>10</v>
      </c>
      <c r="C92" s="6" t="s">
        <v>102</v>
      </c>
      <c r="D92" s="6" t="str">
        <f>"236000011716"</f>
        <v>236000011716</v>
      </c>
      <c r="E92" s="8">
        <v>49.5</v>
      </c>
      <c r="F92" s="8">
        <v>67.5</v>
      </c>
      <c r="G92" s="8">
        <f t="shared" si="1"/>
        <v>72.36</v>
      </c>
      <c r="H92" s="7" t="s">
        <v>14</v>
      </c>
      <c r="I92" s="10">
        <v>44097</v>
      </c>
    </row>
    <row r="93" customHeight="1" spans="1:9">
      <c r="A93" s="6" t="str">
        <f>"257820200819164526666"</f>
        <v>257820200819164526666</v>
      </c>
      <c r="B93" s="6" t="s">
        <v>10</v>
      </c>
      <c r="C93" s="6" t="s">
        <v>103</v>
      </c>
      <c r="D93" s="6" t="str">
        <f>"236000011827"</f>
        <v>236000011827</v>
      </c>
      <c r="E93" s="8">
        <v>60</v>
      </c>
      <c r="F93" s="8">
        <v>60.5</v>
      </c>
      <c r="G93" s="8">
        <f t="shared" si="1"/>
        <v>72.36</v>
      </c>
      <c r="H93" s="7" t="s">
        <v>14</v>
      </c>
      <c r="I93" s="10">
        <v>44097</v>
      </c>
    </row>
    <row r="94" customHeight="1" spans="1:9">
      <c r="A94" s="6" t="str">
        <f>"257820200819105016366"</f>
        <v>257820200819105016366</v>
      </c>
      <c r="B94" s="6" t="s">
        <v>10</v>
      </c>
      <c r="C94" s="6" t="s">
        <v>104</v>
      </c>
      <c r="D94" s="6" t="str">
        <f>"236000012123"</f>
        <v>236000012123</v>
      </c>
      <c r="E94" s="8">
        <v>64.5</v>
      </c>
      <c r="F94" s="8">
        <v>57.5</v>
      </c>
      <c r="G94" s="8">
        <f t="shared" si="1"/>
        <v>72.36</v>
      </c>
      <c r="H94" s="7" t="s">
        <v>14</v>
      </c>
      <c r="I94" s="10">
        <v>44097</v>
      </c>
    </row>
    <row r="95" customHeight="1" spans="1:9">
      <c r="A95" s="6" t="str">
        <f>"257820200820092540923"</f>
        <v>257820200820092540923</v>
      </c>
      <c r="B95" s="6" t="s">
        <v>10</v>
      </c>
      <c r="C95" s="6" t="s">
        <v>105</v>
      </c>
      <c r="D95" s="6" t="str">
        <f>"236000010710"</f>
        <v>236000010710</v>
      </c>
      <c r="E95" s="8">
        <v>53</v>
      </c>
      <c r="F95" s="8">
        <v>65</v>
      </c>
      <c r="G95" s="8">
        <f t="shared" si="1"/>
        <v>72.24</v>
      </c>
      <c r="H95" s="7" t="s">
        <v>14</v>
      </c>
      <c r="I95" s="10">
        <v>44097</v>
      </c>
    </row>
    <row r="96" customHeight="1" spans="1:9">
      <c r="A96" s="6" t="str">
        <f>"2578202008202123541216"</f>
        <v>2578202008202123541216</v>
      </c>
      <c r="B96" s="6" t="s">
        <v>10</v>
      </c>
      <c r="C96" s="6" t="s">
        <v>106</v>
      </c>
      <c r="D96" s="6" t="str">
        <f>"236000011904"</f>
        <v>236000011904</v>
      </c>
      <c r="E96" s="8">
        <v>53</v>
      </c>
      <c r="F96" s="8">
        <v>65</v>
      </c>
      <c r="G96" s="8">
        <f t="shared" si="1"/>
        <v>72.24</v>
      </c>
      <c r="H96" s="7" t="s">
        <v>14</v>
      </c>
      <c r="I96" s="10">
        <v>44097</v>
      </c>
    </row>
    <row r="97" customHeight="1" spans="1:9">
      <c r="A97" s="6" t="str">
        <f>"2578202008201636071111"</f>
        <v>2578202008201636071111</v>
      </c>
      <c r="B97" s="6" t="s">
        <v>10</v>
      </c>
      <c r="C97" s="6" t="s">
        <v>107</v>
      </c>
      <c r="D97" s="6" t="str">
        <f>"236000012210"</f>
        <v>236000012210</v>
      </c>
      <c r="E97" s="8">
        <v>56</v>
      </c>
      <c r="F97" s="8">
        <v>63</v>
      </c>
      <c r="G97" s="8">
        <f t="shared" si="1"/>
        <v>72.24</v>
      </c>
      <c r="H97" s="7" t="s">
        <v>12</v>
      </c>
      <c r="I97" s="10">
        <v>44097</v>
      </c>
    </row>
    <row r="98" customHeight="1" spans="1:9">
      <c r="A98" s="6" t="str">
        <f>"257820200819092233131"</f>
        <v>257820200819092233131</v>
      </c>
      <c r="B98" s="6" t="s">
        <v>10</v>
      </c>
      <c r="C98" s="6" t="s">
        <v>108</v>
      </c>
      <c r="D98" s="6" t="str">
        <f>"236000010230"</f>
        <v>236000010230</v>
      </c>
      <c r="E98" s="8">
        <v>58</v>
      </c>
      <c r="F98" s="8">
        <v>61.5</v>
      </c>
      <c r="G98" s="8">
        <f t="shared" si="1"/>
        <v>72.12</v>
      </c>
      <c r="H98" s="7" t="s">
        <v>14</v>
      </c>
      <c r="I98" s="10">
        <v>44097</v>
      </c>
    </row>
    <row r="99" customHeight="1" spans="1:9">
      <c r="A99" s="6" t="str">
        <f>"257820200819092324137"</f>
        <v>257820200819092324137</v>
      </c>
      <c r="B99" s="6" t="s">
        <v>10</v>
      </c>
      <c r="C99" s="6" t="s">
        <v>109</v>
      </c>
      <c r="D99" s="6" t="str">
        <f>"236000010409"</f>
        <v>236000010409</v>
      </c>
      <c r="E99" s="8">
        <v>59.5</v>
      </c>
      <c r="F99" s="8">
        <v>60.5</v>
      </c>
      <c r="G99" s="8">
        <f t="shared" si="1"/>
        <v>72.12</v>
      </c>
      <c r="H99" s="7" t="s">
        <v>14</v>
      </c>
      <c r="I99" s="10">
        <v>44097</v>
      </c>
    </row>
    <row r="100" customHeight="1" spans="1:9">
      <c r="A100" s="6" t="str">
        <f>"2578202008201401281059"</f>
        <v>2578202008201401281059</v>
      </c>
      <c r="B100" s="6" t="s">
        <v>10</v>
      </c>
      <c r="C100" s="6" t="s">
        <v>110</v>
      </c>
      <c r="D100" s="6" t="str">
        <f>"236000012115"</f>
        <v>236000012115</v>
      </c>
      <c r="E100" s="8">
        <v>59.5</v>
      </c>
      <c r="F100" s="8">
        <v>60.5</v>
      </c>
      <c r="G100" s="8">
        <f t="shared" si="1"/>
        <v>72.12</v>
      </c>
      <c r="H100" s="7" t="s">
        <v>14</v>
      </c>
      <c r="I100" s="10">
        <v>44097</v>
      </c>
    </row>
    <row r="101" customHeight="1" spans="1:9">
      <c r="A101" s="6" t="str">
        <f>"257820200820071638886"</f>
        <v>257820200820071638886</v>
      </c>
      <c r="B101" s="6" t="s">
        <v>10</v>
      </c>
      <c r="C101" s="6" t="s">
        <v>111</v>
      </c>
      <c r="D101" s="6" t="str">
        <f>"236000010407"</f>
        <v>236000010407</v>
      </c>
      <c r="E101" s="8">
        <v>49.5</v>
      </c>
      <c r="F101" s="8">
        <v>67</v>
      </c>
      <c r="G101" s="8">
        <f t="shared" si="1"/>
        <v>72</v>
      </c>
      <c r="H101" s="7" t="s">
        <v>12</v>
      </c>
      <c r="I101" s="10">
        <v>44097</v>
      </c>
    </row>
    <row r="102" customHeight="1" spans="1:9">
      <c r="A102" s="6" t="str">
        <f>"2578202008211053331317"</f>
        <v>2578202008211053331317</v>
      </c>
      <c r="B102" s="6" t="s">
        <v>10</v>
      </c>
      <c r="C102" s="6" t="s">
        <v>112</v>
      </c>
      <c r="D102" s="6" t="str">
        <f>"236000010817"</f>
        <v>236000010817</v>
      </c>
      <c r="E102" s="8">
        <v>58.5</v>
      </c>
      <c r="F102" s="8">
        <v>61</v>
      </c>
      <c r="G102" s="8">
        <f t="shared" si="1"/>
        <v>72</v>
      </c>
      <c r="H102" s="7" t="s">
        <v>12</v>
      </c>
      <c r="I102" s="10">
        <v>44097</v>
      </c>
    </row>
    <row r="103" customHeight="1" spans="1:9">
      <c r="A103" s="6" t="str">
        <f>"2578202008202045131205"</f>
        <v>2578202008202045131205</v>
      </c>
      <c r="B103" s="6" t="s">
        <v>10</v>
      </c>
      <c r="C103" s="6" t="s">
        <v>113</v>
      </c>
      <c r="D103" s="6" t="str">
        <f>"236000010906"</f>
        <v>236000010906</v>
      </c>
      <c r="E103" s="8">
        <v>58.5</v>
      </c>
      <c r="F103" s="8">
        <v>61</v>
      </c>
      <c r="G103" s="8">
        <f t="shared" si="1"/>
        <v>72</v>
      </c>
      <c r="H103" s="7" t="s">
        <v>14</v>
      </c>
      <c r="I103" s="10">
        <v>44097</v>
      </c>
    </row>
    <row r="104" customHeight="1" spans="1:9">
      <c r="A104" s="6" t="str">
        <f>"2578202008211235311362"</f>
        <v>2578202008211235311362</v>
      </c>
      <c r="B104" s="6" t="s">
        <v>10</v>
      </c>
      <c r="C104" s="6" t="s">
        <v>114</v>
      </c>
      <c r="D104" s="6" t="str">
        <f>"236000010927"</f>
        <v>236000010927</v>
      </c>
      <c r="E104" s="8">
        <v>56</v>
      </c>
      <c r="F104" s="8">
        <v>62.5</v>
      </c>
      <c r="G104" s="8">
        <f t="shared" si="1"/>
        <v>71.88</v>
      </c>
      <c r="H104" s="7" t="s">
        <v>14</v>
      </c>
      <c r="I104" s="10">
        <v>44097</v>
      </c>
    </row>
    <row r="105" customHeight="1" spans="1:9">
      <c r="A105" s="6" t="str">
        <f>"257820200819094349209"</f>
        <v>257820200819094349209</v>
      </c>
      <c r="B105" s="6" t="s">
        <v>10</v>
      </c>
      <c r="C105" s="6" t="s">
        <v>115</v>
      </c>
      <c r="D105" s="6" t="str">
        <f>"236000010105"</f>
        <v>236000010105</v>
      </c>
      <c r="E105" s="8">
        <v>59</v>
      </c>
      <c r="F105" s="8">
        <v>60.5</v>
      </c>
      <c r="G105" s="8">
        <f t="shared" si="1"/>
        <v>71.88</v>
      </c>
      <c r="H105" s="7" t="s">
        <v>14</v>
      </c>
      <c r="I105" s="10">
        <v>44097</v>
      </c>
    </row>
    <row r="106" customHeight="1" spans="1:9">
      <c r="A106" s="6" t="str">
        <f>"2578202008201312401044"</f>
        <v>2578202008201312401044</v>
      </c>
      <c r="B106" s="6" t="s">
        <v>10</v>
      </c>
      <c r="C106" s="6" t="s">
        <v>116</v>
      </c>
      <c r="D106" s="6" t="str">
        <f>"236000010225"</f>
        <v>236000010225</v>
      </c>
      <c r="E106" s="8">
        <v>60.5</v>
      </c>
      <c r="F106" s="8">
        <v>59.5</v>
      </c>
      <c r="G106" s="8">
        <f t="shared" si="1"/>
        <v>71.88</v>
      </c>
      <c r="H106" s="7" t="s">
        <v>14</v>
      </c>
      <c r="I106" s="10">
        <v>44097</v>
      </c>
    </row>
    <row r="107" customHeight="1" spans="1:9">
      <c r="A107" s="6" t="str">
        <f>"257820200819154021619"</f>
        <v>257820200819154021619</v>
      </c>
      <c r="B107" s="6" t="s">
        <v>10</v>
      </c>
      <c r="C107" s="6" t="s">
        <v>117</v>
      </c>
      <c r="D107" s="6" t="str">
        <f>"236000011209"</f>
        <v>236000011209</v>
      </c>
      <c r="E107" s="8">
        <v>51.5</v>
      </c>
      <c r="F107" s="8">
        <v>65.5</v>
      </c>
      <c r="G107" s="8">
        <f t="shared" si="1"/>
        <v>71.88</v>
      </c>
      <c r="H107" s="7" t="s">
        <v>12</v>
      </c>
      <c r="I107" s="10">
        <v>44097</v>
      </c>
    </row>
    <row r="108" customHeight="1" spans="1:9">
      <c r="A108" s="6" t="str">
        <f>"25782020081909052757"</f>
        <v>25782020081909052757</v>
      </c>
      <c r="B108" s="6" t="s">
        <v>10</v>
      </c>
      <c r="C108" s="6" t="s">
        <v>118</v>
      </c>
      <c r="D108" s="6" t="str">
        <f>"236000012121"</f>
        <v>236000012121</v>
      </c>
      <c r="E108" s="8">
        <v>57.5</v>
      </c>
      <c r="F108" s="8">
        <v>61.5</v>
      </c>
      <c r="G108" s="8">
        <f t="shared" si="1"/>
        <v>71.88</v>
      </c>
      <c r="H108" s="7" t="s">
        <v>14</v>
      </c>
      <c r="I108" s="10">
        <v>44097</v>
      </c>
    </row>
    <row r="109" customHeight="1" spans="1:9">
      <c r="A109" s="6" t="str">
        <f>"257820200819103629334"</f>
        <v>257820200819103629334</v>
      </c>
      <c r="B109" s="6" t="s">
        <v>10</v>
      </c>
      <c r="C109" s="6" t="s">
        <v>119</v>
      </c>
      <c r="D109" s="6" t="str">
        <f>"236000012024"</f>
        <v>236000012024</v>
      </c>
      <c r="E109" s="8">
        <v>58</v>
      </c>
      <c r="F109" s="8">
        <v>61</v>
      </c>
      <c r="G109" s="8">
        <f t="shared" si="1"/>
        <v>71.76</v>
      </c>
      <c r="H109" s="7" t="s">
        <v>12</v>
      </c>
      <c r="I109" s="10">
        <v>44097</v>
      </c>
    </row>
    <row r="110" customHeight="1" spans="1:9">
      <c r="A110" s="6" t="str">
        <f>"257820200819145217603"</f>
        <v>257820200819145217603</v>
      </c>
      <c r="B110" s="6" t="s">
        <v>10</v>
      </c>
      <c r="C110" s="6" t="s">
        <v>120</v>
      </c>
      <c r="D110" s="6" t="str">
        <f>"236000011014"</f>
        <v>236000011014</v>
      </c>
      <c r="E110" s="8">
        <v>54</v>
      </c>
      <c r="F110" s="8">
        <v>63.5</v>
      </c>
      <c r="G110" s="8">
        <f t="shared" si="1"/>
        <v>71.64</v>
      </c>
      <c r="H110" s="7" t="s">
        <v>14</v>
      </c>
      <c r="I110" s="10">
        <v>44097</v>
      </c>
    </row>
    <row r="111" customHeight="1" spans="1:9">
      <c r="A111" s="6" t="str">
        <f>"257820200819100810269"</f>
        <v>257820200819100810269</v>
      </c>
      <c r="B111" s="6" t="s">
        <v>10</v>
      </c>
      <c r="C111" s="6" t="s">
        <v>121</v>
      </c>
      <c r="D111" s="6" t="str">
        <f>"236000011024"</f>
        <v>236000011024</v>
      </c>
      <c r="E111" s="8">
        <v>57</v>
      </c>
      <c r="F111" s="8">
        <v>61.5</v>
      </c>
      <c r="G111" s="8">
        <f t="shared" si="1"/>
        <v>71.64</v>
      </c>
      <c r="H111" s="7" t="s">
        <v>14</v>
      </c>
      <c r="I111" s="10">
        <v>44097</v>
      </c>
    </row>
    <row r="112" customHeight="1" spans="1:9">
      <c r="A112" s="6" t="str">
        <f>"2578202008201617031106"</f>
        <v>2578202008201617031106</v>
      </c>
      <c r="B112" s="6" t="s">
        <v>10</v>
      </c>
      <c r="C112" s="6" t="s">
        <v>122</v>
      </c>
      <c r="D112" s="6" t="str">
        <f>"236000010911"</f>
        <v>236000010911</v>
      </c>
      <c r="E112" s="8">
        <v>60</v>
      </c>
      <c r="F112" s="8">
        <v>59.5</v>
      </c>
      <c r="G112" s="8">
        <f t="shared" si="1"/>
        <v>71.64</v>
      </c>
      <c r="H112" s="7" t="s">
        <v>14</v>
      </c>
      <c r="I112" s="10">
        <v>44097</v>
      </c>
    </row>
    <row r="113" ht="14" customHeight="1" spans="1:9">
      <c r="A113" s="6" t="str">
        <f>"257820200819202006789"</f>
        <v>257820200819202006789</v>
      </c>
      <c r="B113" s="6" t="s">
        <v>10</v>
      </c>
      <c r="C113" s="6" t="s">
        <v>123</v>
      </c>
      <c r="D113" s="6" t="str">
        <f>"236000010211"</f>
        <v>236000010211</v>
      </c>
      <c r="E113" s="8">
        <v>57.5</v>
      </c>
      <c r="F113" s="8">
        <v>61</v>
      </c>
      <c r="G113" s="8">
        <f t="shared" si="1"/>
        <v>71.52</v>
      </c>
      <c r="H113" s="7" t="s">
        <v>12</v>
      </c>
      <c r="I113" s="10">
        <v>44097</v>
      </c>
    </row>
    <row r="114" customHeight="1" spans="1:9">
      <c r="A114" s="6" t="str">
        <f>"257820200819104514352"</f>
        <v>257820200819104514352</v>
      </c>
      <c r="B114" s="6" t="s">
        <v>10</v>
      </c>
      <c r="C114" s="6" t="s">
        <v>124</v>
      </c>
      <c r="D114" s="6" t="str">
        <f>"236000011611"</f>
        <v>236000011611</v>
      </c>
      <c r="E114" s="8">
        <v>53</v>
      </c>
      <c r="F114" s="8">
        <v>64</v>
      </c>
      <c r="G114" s="8">
        <f t="shared" si="1"/>
        <v>71.52</v>
      </c>
      <c r="H114" s="7" t="s">
        <v>14</v>
      </c>
      <c r="I114" s="10">
        <v>44097</v>
      </c>
    </row>
    <row r="115" customHeight="1" spans="1:9">
      <c r="A115" s="6" t="str">
        <f>"2578202008211001131299"</f>
        <v>2578202008211001131299</v>
      </c>
      <c r="B115" s="6" t="s">
        <v>10</v>
      </c>
      <c r="C115" s="6" t="s">
        <v>125</v>
      </c>
      <c r="D115" s="6" t="str">
        <f>"236000011702"</f>
        <v>236000011702</v>
      </c>
      <c r="E115" s="8">
        <v>50.5</v>
      </c>
      <c r="F115" s="8">
        <v>65.5</v>
      </c>
      <c r="G115" s="8">
        <f t="shared" si="1"/>
        <v>71.4</v>
      </c>
      <c r="H115" s="7" t="s">
        <v>12</v>
      </c>
      <c r="I115" s="10">
        <v>44097</v>
      </c>
    </row>
    <row r="116" customHeight="1" spans="1:9">
      <c r="A116" s="6" t="str">
        <f>"2578202008202011161190"</f>
        <v>2578202008202011161190</v>
      </c>
      <c r="B116" s="6" t="s">
        <v>10</v>
      </c>
      <c r="C116" s="6" t="s">
        <v>126</v>
      </c>
      <c r="D116" s="6" t="str">
        <f>"236000012114"</f>
        <v>236000012114</v>
      </c>
      <c r="E116" s="8">
        <v>56.5</v>
      </c>
      <c r="F116" s="8">
        <v>61.5</v>
      </c>
      <c r="G116" s="8">
        <f t="shared" si="1"/>
        <v>71.4</v>
      </c>
      <c r="H116" s="7" t="s">
        <v>14</v>
      </c>
      <c r="I116" s="10">
        <v>44097</v>
      </c>
    </row>
    <row r="117" customHeight="1" spans="1:9">
      <c r="A117" s="6" t="str">
        <f>"257820200819100235253"</f>
        <v>257820200819100235253</v>
      </c>
      <c r="B117" s="6" t="s">
        <v>10</v>
      </c>
      <c r="C117" s="6" t="s">
        <v>127</v>
      </c>
      <c r="D117" s="6" t="str">
        <f>"236000012404"</f>
        <v>236000012404</v>
      </c>
      <c r="E117" s="8">
        <v>59.5</v>
      </c>
      <c r="F117" s="8">
        <v>59.5</v>
      </c>
      <c r="G117" s="8">
        <f t="shared" si="1"/>
        <v>71.4</v>
      </c>
      <c r="H117" s="7" t="s">
        <v>14</v>
      </c>
      <c r="I117" s="10">
        <v>44097</v>
      </c>
    </row>
    <row r="118" customHeight="1" spans="1:9">
      <c r="A118" s="6" t="str">
        <f>"2578202008210926481286"</f>
        <v>2578202008210926481286</v>
      </c>
      <c r="B118" s="6" t="s">
        <v>10</v>
      </c>
      <c r="C118" s="6" t="s">
        <v>128</v>
      </c>
      <c r="D118" s="6" t="str">
        <f>"236000011009"</f>
        <v>236000011009</v>
      </c>
      <c r="E118" s="8">
        <v>52.5</v>
      </c>
      <c r="F118" s="8">
        <v>64</v>
      </c>
      <c r="G118" s="8">
        <f t="shared" si="1"/>
        <v>71.28</v>
      </c>
      <c r="H118" s="7" t="s">
        <v>14</v>
      </c>
      <c r="I118" s="10">
        <v>44097</v>
      </c>
    </row>
    <row r="119" customHeight="1" spans="1:9">
      <c r="A119" s="6" t="str">
        <f>"257820200819095425233"</f>
        <v>257820200819095425233</v>
      </c>
      <c r="B119" s="6" t="s">
        <v>10</v>
      </c>
      <c r="C119" s="6" t="s">
        <v>129</v>
      </c>
      <c r="D119" s="6" t="str">
        <f>"236000011820"</f>
        <v>236000011820</v>
      </c>
      <c r="E119" s="8">
        <v>52.5</v>
      </c>
      <c r="F119" s="8">
        <v>64</v>
      </c>
      <c r="G119" s="8">
        <f t="shared" si="1"/>
        <v>71.28</v>
      </c>
      <c r="H119" s="7" t="s">
        <v>14</v>
      </c>
      <c r="I119" s="10">
        <v>44097</v>
      </c>
    </row>
    <row r="120" customHeight="1" spans="1:9">
      <c r="A120" s="6" t="str">
        <f>"257820200819161353645"</f>
        <v>257820200819161353645</v>
      </c>
      <c r="B120" s="6" t="s">
        <v>10</v>
      </c>
      <c r="C120" s="6" t="s">
        <v>130</v>
      </c>
      <c r="D120" s="6" t="str">
        <f>"236000011918"</f>
        <v>236000011918</v>
      </c>
      <c r="E120" s="8">
        <v>53</v>
      </c>
      <c r="F120" s="8">
        <v>63.5</v>
      </c>
      <c r="G120" s="8">
        <f t="shared" si="1"/>
        <v>71.16</v>
      </c>
      <c r="H120" s="7" t="s">
        <v>14</v>
      </c>
      <c r="I120" s="10">
        <v>44097</v>
      </c>
    </row>
    <row r="121" customHeight="1" spans="1:9">
      <c r="A121" s="6" t="str">
        <f>"2578202008201436321063"</f>
        <v>2578202008201436321063</v>
      </c>
      <c r="B121" s="6" t="s">
        <v>10</v>
      </c>
      <c r="C121" s="6" t="s">
        <v>131</v>
      </c>
      <c r="D121" s="6" t="str">
        <f>"236000010708"</f>
        <v>236000010708</v>
      </c>
      <c r="E121" s="8">
        <v>51.5</v>
      </c>
      <c r="F121" s="8">
        <v>64.5</v>
      </c>
      <c r="G121" s="8">
        <f t="shared" si="1"/>
        <v>71.16</v>
      </c>
      <c r="H121" s="7" t="s">
        <v>12</v>
      </c>
      <c r="I121" s="10">
        <v>44097</v>
      </c>
    </row>
    <row r="122" customHeight="1" spans="1:9">
      <c r="A122" s="6" t="str">
        <f>"257820200819112612423"</f>
        <v>257820200819112612423</v>
      </c>
      <c r="B122" s="6" t="s">
        <v>10</v>
      </c>
      <c r="C122" s="6" t="s">
        <v>132</v>
      </c>
      <c r="D122" s="6" t="str">
        <f>"236000011529"</f>
        <v>236000011529</v>
      </c>
      <c r="E122" s="8">
        <v>59.5</v>
      </c>
      <c r="F122" s="8">
        <v>59</v>
      </c>
      <c r="G122" s="8">
        <f t="shared" si="1"/>
        <v>71.04</v>
      </c>
      <c r="H122" s="7" t="s">
        <v>14</v>
      </c>
      <c r="I122" s="10">
        <v>44097</v>
      </c>
    </row>
    <row r="123" customHeight="1" spans="1:9">
      <c r="A123" s="6" t="str">
        <f>"257820200819171107682"</f>
        <v>257820200819171107682</v>
      </c>
      <c r="B123" s="6" t="s">
        <v>10</v>
      </c>
      <c r="C123" s="6" t="s">
        <v>133</v>
      </c>
      <c r="D123" s="6" t="str">
        <f>"236000011824"</f>
        <v>236000011824</v>
      </c>
      <c r="E123" s="8">
        <v>61</v>
      </c>
      <c r="F123" s="8">
        <v>58</v>
      </c>
      <c r="G123" s="8">
        <f t="shared" ref="G123:G138" si="2">E123*1.2*0.4+F123*1.2*0.6</f>
        <v>71.04</v>
      </c>
      <c r="H123" s="7" t="s">
        <v>14</v>
      </c>
      <c r="I123" s="10">
        <v>44097</v>
      </c>
    </row>
    <row r="124" customHeight="1" spans="1:9">
      <c r="A124" s="6" t="str">
        <f>"2578202008202003001188"</f>
        <v>2578202008202003001188</v>
      </c>
      <c r="B124" s="6" t="s">
        <v>10</v>
      </c>
      <c r="C124" s="6" t="s">
        <v>134</v>
      </c>
      <c r="D124" s="6" t="str">
        <f>"236000011921"</f>
        <v>236000011921</v>
      </c>
      <c r="E124" s="8">
        <v>52</v>
      </c>
      <c r="F124" s="8">
        <v>64</v>
      </c>
      <c r="G124" s="8">
        <f t="shared" si="2"/>
        <v>71.04</v>
      </c>
      <c r="H124" s="7" t="s">
        <v>14</v>
      </c>
      <c r="I124" s="10">
        <v>44097</v>
      </c>
    </row>
    <row r="125" customHeight="1" spans="1:9">
      <c r="A125" s="6" t="str">
        <f>"257820200819095511238"</f>
        <v>257820200819095511238</v>
      </c>
      <c r="B125" s="6" t="s">
        <v>10</v>
      </c>
      <c r="C125" s="6" t="s">
        <v>135</v>
      </c>
      <c r="D125" s="6" t="str">
        <f>"236000011307"</f>
        <v>236000011307</v>
      </c>
      <c r="E125" s="8">
        <v>59</v>
      </c>
      <c r="F125" s="8">
        <v>59</v>
      </c>
      <c r="G125" s="8">
        <f t="shared" si="2"/>
        <v>70.8</v>
      </c>
      <c r="H125" s="7" t="s">
        <v>12</v>
      </c>
      <c r="I125" s="10">
        <v>44097</v>
      </c>
    </row>
    <row r="126" customHeight="1" spans="1:9">
      <c r="A126" s="6" t="str">
        <f>"257820200819120954475"</f>
        <v>257820200819120954475</v>
      </c>
      <c r="B126" s="6" t="s">
        <v>10</v>
      </c>
      <c r="C126" s="6" t="s">
        <v>136</v>
      </c>
      <c r="D126" s="6" t="str">
        <f>"236000010310"</f>
        <v>236000010310</v>
      </c>
      <c r="E126" s="8">
        <v>53.5</v>
      </c>
      <c r="F126" s="8">
        <v>62.5</v>
      </c>
      <c r="G126" s="8">
        <f t="shared" si="2"/>
        <v>70.68</v>
      </c>
      <c r="H126" s="7" t="s">
        <v>14</v>
      </c>
      <c r="I126" s="10">
        <v>44097</v>
      </c>
    </row>
    <row r="127" customHeight="1" spans="1:9">
      <c r="A127" s="6" t="str">
        <f>"257820200819091921119"</f>
        <v>257820200819091921119</v>
      </c>
      <c r="B127" s="6" t="s">
        <v>10</v>
      </c>
      <c r="C127" s="6" t="s">
        <v>137</v>
      </c>
      <c r="D127" s="6" t="str">
        <f>"236000011727"</f>
        <v>236000011727</v>
      </c>
      <c r="E127" s="8">
        <v>61</v>
      </c>
      <c r="F127" s="8">
        <v>57.5</v>
      </c>
      <c r="G127" s="8">
        <f t="shared" si="2"/>
        <v>70.68</v>
      </c>
      <c r="H127" s="7" t="s">
        <v>12</v>
      </c>
      <c r="I127" s="10">
        <v>44097</v>
      </c>
    </row>
    <row r="128" customHeight="1" spans="1:9">
      <c r="A128" s="6" t="str">
        <f>"257820200820102530961"</f>
        <v>257820200820102530961</v>
      </c>
      <c r="B128" s="6" t="s">
        <v>10</v>
      </c>
      <c r="C128" s="6" t="s">
        <v>138</v>
      </c>
      <c r="D128" s="6" t="str">
        <f>"236000010923"</f>
        <v>236000010923</v>
      </c>
      <c r="E128" s="8">
        <v>50.5</v>
      </c>
      <c r="F128" s="8">
        <v>64.5</v>
      </c>
      <c r="G128" s="8">
        <f t="shared" si="2"/>
        <v>70.68</v>
      </c>
      <c r="H128" s="7" t="s">
        <v>14</v>
      </c>
      <c r="I128" s="10">
        <v>44097</v>
      </c>
    </row>
    <row r="129" customHeight="1" spans="1:9">
      <c r="A129" s="6" t="str">
        <f>"257820200819114219443"</f>
        <v>257820200819114219443</v>
      </c>
      <c r="B129" s="6" t="s">
        <v>10</v>
      </c>
      <c r="C129" s="6" t="s">
        <v>139</v>
      </c>
      <c r="D129" s="6" t="str">
        <f>"236000012126"</f>
        <v>236000012126</v>
      </c>
      <c r="E129" s="8">
        <v>62.5</v>
      </c>
      <c r="F129" s="8">
        <v>56.5</v>
      </c>
      <c r="G129" s="8">
        <f t="shared" si="2"/>
        <v>70.68</v>
      </c>
      <c r="H129" s="7" t="s">
        <v>14</v>
      </c>
      <c r="I129" s="10">
        <v>44097</v>
      </c>
    </row>
    <row r="130" customHeight="1" spans="1:9">
      <c r="A130" s="6" t="str">
        <f>"2578202008202007101189"</f>
        <v>2578202008202007101189</v>
      </c>
      <c r="B130" s="6" t="s">
        <v>10</v>
      </c>
      <c r="C130" s="6" t="s">
        <v>140</v>
      </c>
      <c r="D130" s="6" t="str">
        <f>"236000010505"</f>
        <v>236000010505</v>
      </c>
      <c r="E130" s="8">
        <v>55.5</v>
      </c>
      <c r="F130" s="8">
        <v>61</v>
      </c>
      <c r="G130" s="8">
        <f t="shared" si="2"/>
        <v>70.56</v>
      </c>
      <c r="H130" s="7" t="s">
        <v>14</v>
      </c>
      <c r="I130" s="10">
        <v>44097</v>
      </c>
    </row>
    <row r="131" customHeight="1" spans="1:9">
      <c r="A131" s="6" t="str">
        <f>"25782020081909084171"</f>
        <v>25782020081909084171</v>
      </c>
      <c r="B131" s="6" t="s">
        <v>10</v>
      </c>
      <c r="C131" s="6" t="s">
        <v>141</v>
      </c>
      <c r="D131" s="6" t="str">
        <f>"236000012410"</f>
        <v>236000012410</v>
      </c>
      <c r="E131" s="8">
        <v>58.5</v>
      </c>
      <c r="F131" s="8">
        <v>59</v>
      </c>
      <c r="G131" s="8">
        <f t="shared" si="2"/>
        <v>70.56</v>
      </c>
      <c r="H131" s="7" t="s">
        <v>14</v>
      </c>
      <c r="I131" s="10">
        <v>44097</v>
      </c>
    </row>
    <row r="132" customHeight="1" spans="1:9">
      <c r="A132" s="6" t="str">
        <f>"257820200819172635687"</f>
        <v>257820200819172635687</v>
      </c>
      <c r="B132" s="6" t="s">
        <v>10</v>
      </c>
      <c r="C132" s="6" t="s">
        <v>142</v>
      </c>
      <c r="D132" s="6" t="str">
        <f>"236000010823"</f>
        <v>236000010823</v>
      </c>
      <c r="E132" s="8">
        <v>60.5</v>
      </c>
      <c r="F132" s="8">
        <v>57.5</v>
      </c>
      <c r="G132" s="8">
        <f t="shared" si="2"/>
        <v>70.44</v>
      </c>
      <c r="H132" s="7" t="s">
        <v>12</v>
      </c>
      <c r="I132" s="10">
        <v>44097</v>
      </c>
    </row>
    <row r="133" customHeight="1" spans="1:9">
      <c r="A133" s="6" t="str">
        <f>"257820200819093028162"</f>
        <v>257820200819093028162</v>
      </c>
      <c r="B133" s="6" t="s">
        <v>10</v>
      </c>
      <c r="C133" s="6" t="s">
        <v>143</v>
      </c>
      <c r="D133" s="6" t="str">
        <f>"236000012017"</f>
        <v>236000012017</v>
      </c>
      <c r="E133" s="8">
        <v>52</v>
      </c>
      <c r="F133" s="8">
        <v>63</v>
      </c>
      <c r="G133" s="8">
        <f t="shared" si="2"/>
        <v>70.32</v>
      </c>
      <c r="H133" s="7" t="s">
        <v>14</v>
      </c>
      <c r="I133" s="10">
        <v>44097</v>
      </c>
    </row>
    <row r="134" customHeight="1" spans="1:9">
      <c r="A134" s="6" t="str">
        <f>"2578202008201200541011"</f>
        <v>2578202008201200541011</v>
      </c>
      <c r="B134" s="6" t="s">
        <v>10</v>
      </c>
      <c r="C134" s="6" t="s">
        <v>144</v>
      </c>
      <c r="D134" s="6" t="str">
        <f>"236000011102"</f>
        <v>236000011102</v>
      </c>
      <c r="E134" s="8">
        <v>60</v>
      </c>
      <c r="F134" s="8">
        <v>57.5</v>
      </c>
      <c r="G134" s="8">
        <f t="shared" si="2"/>
        <v>70.2</v>
      </c>
      <c r="H134" s="7" t="s">
        <v>12</v>
      </c>
      <c r="I134" s="10">
        <v>44097</v>
      </c>
    </row>
    <row r="135" customHeight="1" spans="1:9">
      <c r="A135" s="6" t="str">
        <f>"2578202008211851001448"</f>
        <v>2578202008211851001448</v>
      </c>
      <c r="B135" s="6" t="s">
        <v>10</v>
      </c>
      <c r="C135" s="6" t="s">
        <v>145</v>
      </c>
      <c r="D135" s="6" t="str">
        <f>"236000011415"</f>
        <v>236000011415</v>
      </c>
      <c r="E135" s="8">
        <v>60.5</v>
      </c>
      <c r="F135" s="8">
        <v>57</v>
      </c>
      <c r="G135" s="8">
        <f t="shared" si="2"/>
        <v>70.08</v>
      </c>
      <c r="H135" s="7" t="s">
        <v>12</v>
      </c>
      <c r="I135" s="10">
        <v>44097</v>
      </c>
    </row>
    <row r="136" customHeight="1" spans="1:9">
      <c r="A136" s="6" t="str">
        <f>"257820200819124838508"</f>
        <v>257820200819124838508</v>
      </c>
      <c r="B136" s="6" t="s">
        <v>10</v>
      </c>
      <c r="C136" s="6" t="s">
        <v>146</v>
      </c>
      <c r="D136" s="6" t="str">
        <f>"236000010109"</f>
        <v>236000010109</v>
      </c>
      <c r="E136" s="8">
        <v>46.5</v>
      </c>
      <c r="F136" s="8">
        <v>66</v>
      </c>
      <c r="G136" s="8">
        <f t="shared" si="2"/>
        <v>69.84</v>
      </c>
      <c r="H136" s="7" t="s">
        <v>14</v>
      </c>
      <c r="I136" s="10">
        <v>44097</v>
      </c>
    </row>
    <row r="137" customHeight="1" spans="1:9">
      <c r="A137" s="6" t="str">
        <f>"257820200819091518102"</f>
        <v>257820200819091518102</v>
      </c>
      <c r="B137" s="6" t="s">
        <v>10</v>
      </c>
      <c r="C137" s="6" t="s">
        <v>147</v>
      </c>
      <c r="D137" s="6" t="str">
        <f>"236000011007"</f>
        <v>236000011007</v>
      </c>
      <c r="E137" s="8">
        <v>57</v>
      </c>
      <c r="F137" s="8">
        <v>59</v>
      </c>
      <c r="G137" s="8">
        <f t="shared" si="2"/>
        <v>69.84</v>
      </c>
      <c r="H137" s="7" t="s">
        <v>12</v>
      </c>
      <c r="I137" s="10">
        <v>44097</v>
      </c>
    </row>
    <row r="138" customHeight="1" spans="1:9">
      <c r="A138" s="6" t="str">
        <f>"257820200819194539767"</f>
        <v>257820200819194539767</v>
      </c>
      <c r="B138" s="6" t="s">
        <v>10</v>
      </c>
      <c r="C138" s="6" t="s">
        <v>148</v>
      </c>
      <c r="D138" s="6" t="str">
        <f>"236000011322"</f>
        <v>236000011322</v>
      </c>
      <c r="E138" s="8">
        <v>58.5</v>
      </c>
      <c r="F138" s="8">
        <v>58</v>
      </c>
      <c r="G138" s="8">
        <f t="shared" si="2"/>
        <v>69.84</v>
      </c>
      <c r="H138" s="7" t="s">
        <v>12</v>
      </c>
      <c r="I138" s="10">
        <v>44097</v>
      </c>
    </row>
  </sheetData>
  <sortState ref="C3:R716">
    <sortCondition ref="G3:G716" descending="1"/>
  </sortState>
  <mergeCells count="1">
    <mergeCell ref="A1:I1"/>
  </mergeCells>
  <pageMargins left="0.75" right="0.75" top="1" bottom="1" header="0.5" footer="0.5"/>
  <pageSetup paperSize="8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泪过无痕</cp:lastModifiedBy>
  <dcterms:created xsi:type="dcterms:W3CDTF">2020-08-25T08:22:00Z</dcterms:created>
  <cp:lastPrinted>2020-08-31T10:25:00Z</cp:lastPrinted>
  <dcterms:modified xsi:type="dcterms:W3CDTF">2020-09-17T01:09:05Z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