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教师岗" sheetId="1" r:id="rId1"/>
    <sheet name="保育员岗" sheetId="2" r:id="rId2"/>
    <sheet name="医务人员岗" sheetId="3" r:id="rId3"/>
  </sheets>
  <definedNames>
    <definedName name="_xlnm._FilterDatabase" localSheetId="0" hidden="1">教师岗!$A$2:$E$583</definedName>
    <definedName name="_xlnm._FilterDatabase" localSheetId="1" hidden="1">保育员岗!$A$2:$E$1030</definedName>
    <definedName name="_xlnm._FilterDatabase" localSheetId="2" hidden="1">医务人员岗!$A$2:$E$164</definedName>
  </definedNames>
  <calcPr calcId="144525"/>
</workbook>
</file>

<file path=xl/sharedStrings.xml><?xml version="1.0" encoding="utf-8"?>
<sst xmlns="http://schemas.openxmlformats.org/spreadsheetml/2006/main" count="865" uniqueCount="32">
  <si>
    <t>东方市2020年招聘公办幼儿园教师、医务人员、保育员笔试成绩表      （教师岗）</t>
  </si>
  <si>
    <t>姓名</t>
  </si>
  <si>
    <t>准考证号</t>
  </si>
  <si>
    <t>笔试成绩</t>
  </si>
  <si>
    <t>岗位排名</t>
  </si>
  <si>
    <t>备注</t>
  </si>
  <si>
    <t>同名，身份证尾号086X</t>
  </si>
  <si>
    <t>符日遵</t>
  </si>
  <si>
    <t>缺考</t>
  </si>
  <si>
    <t>-</t>
  </si>
  <si>
    <t>同名，身份证尾号3220</t>
  </si>
  <si>
    <t>同名，身份证尾号0245</t>
  </si>
  <si>
    <t>同名，身份证尾号3321</t>
  </si>
  <si>
    <t>东方市2020年招聘公办幼儿园教师、医务人员、保育员笔试成绩表      （保育员岗）</t>
  </si>
  <si>
    <t>同名，身份证尾号7848</t>
  </si>
  <si>
    <t>同名，身份证尾号6184</t>
  </si>
  <si>
    <t>同名，身份证尾号0821</t>
  </si>
  <si>
    <t>同名，身份证尾号0046</t>
  </si>
  <si>
    <t>同名，身份证尾号6205</t>
  </si>
  <si>
    <t>同名，身份证尾号408X</t>
  </si>
  <si>
    <t>同名，身份证尾号7680</t>
  </si>
  <si>
    <t>同名，身份证尾号7629</t>
  </si>
  <si>
    <t>同名，身份证尾号0020</t>
  </si>
  <si>
    <t>同名，身份证尾号0826</t>
  </si>
  <si>
    <t>同名，身份证尾号4364</t>
  </si>
  <si>
    <t>同名，身份证尾号466X</t>
  </si>
  <si>
    <t>同名，身份证尾号8029</t>
  </si>
  <si>
    <t>同名，身份证尾号5360</t>
  </si>
  <si>
    <t>同名，身份证尾号0024</t>
  </si>
  <si>
    <t>同名，身份证尾号5366</t>
  </si>
  <si>
    <t>东方市2020年招聘公办幼儿园教师、医务人员、保育员笔试成绩表      （医务人员岗）</t>
  </si>
  <si>
    <t>同名，身份证尾号8541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</si>
</sst>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3"/>
  <sheetViews>
    <sheetView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9.875" customWidth="1"/>
    <col min="2" max="2" width="17.1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0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"张晓"</f>
        <v>张晓</v>
      </c>
      <c r="B3" s="5" t="str">
        <f>"10101010327"</f>
        <v>10101010327</v>
      </c>
      <c r="C3" s="6">
        <v>86</v>
      </c>
      <c r="D3" s="7">
        <v>1</v>
      </c>
      <c r="E3" s="8" t="s">
        <v>6</v>
      </c>
    </row>
    <row r="4" s="1" customFormat="1" ht="18" customHeight="1" spans="1:5">
      <c r="A4" s="5" t="str">
        <f>"苏琴"</f>
        <v>苏琴</v>
      </c>
      <c r="B4" s="5" t="str">
        <f>"10101011625"</f>
        <v>10101011625</v>
      </c>
      <c r="C4" s="6">
        <v>85</v>
      </c>
      <c r="D4" s="7">
        <v>2</v>
      </c>
      <c r="E4" s="8"/>
    </row>
    <row r="5" s="1" customFormat="1" ht="18" customHeight="1" spans="1:5">
      <c r="A5" s="5" t="str">
        <f>"赵学娟"</f>
        <v>赵学娟</v>
      </c>
      <c r="B5" s="5" t="str">
        <f>"10101010118"</f>
        <v>10101010118</v>
      </c>
      <c r="C5" s="6">
        <v>83</v>
      </c>
      <c r="D5" s="7">
        <v>3</v>
      </c>
      <c r="E5" s="8"/>
    </row>
    <row r="6" s="1" customFormat="1" ht="18" customHeight="1" spans="1:5">
      <c r="A6" s="5" t="str">
        <f>"张定妮"</f>
        <v>张定妮</v>
      </c>
      <c r="B6" s="5" t="str">
        <f>"10101010217"</f>
        <v>10101010217</v>
      </c>
      <c r="C6" s="6">
        <v>83</v>
      </c>
      <c r="D6" s="7">
        <v>4</v>
      </c>
      <c r="E6" s="8"/>
    </row>
    <row r="7" s="1" customFormat="1" ht="18" customHeight="1" spans="1:5">
      <c r="A7" s="5" t="str">
        <f>"赵茂青"</f>
        <v>赵茂青</v>
      </c>
      <c r="B7" s="5" t="str">
        <f>"10101010526"</f>
        <v>10101010526</v>
      </c>
      <c r="C7" s="6">
        <v>83</v>
      </c>
      <c r="D7" s="7">
        <v>5</v>
      </c>
      <c r="E7" s="8"/>
    </row>
    <row r="8" s="1" customFormat="1" ht="18" customHeight="1" spans="1:5">
      <c r="A8" s="5" t="str">
        <f>"林瑞交"</f>
        <v>林瑞交</v>
      </c>
      <c r="B8" s="5" t="str">
        <f>"10101010725"</f>
        <v>10101010725</v>
      </c>
      <c r="C8" s="6">
        <v>83</v>
      </c>
      <c r="D8" s="7">
        <v>6</v>
      </c>
      <c r="E8" s="8"/>
    </row>
    <row r="9" s="1" customFormat="1" ht="18" customHeight="1" spans="1:5">
      <c r="A9" s="5" t="str">
        <f>"吉佳佳"</f>
        <v>吉佳佳</v>
      </c>
      <c r="B9" s="5" t="str">
        <f>"10101011822"</f>
        <v>10101011822</v>
      </c>
      <c r="C9" s="6">
        <v>82</v>
      </c>
      <c r="D9" s="7">
        <v>7</v>
      </c>
      <c r="E9" s="8"/>
    </row>
    <row r="10" s="1" customFormat="1" ht="18" customHeight="1" spans="1:5">
      <c r="A10" s="5" t="str">
        <f>"文婉虹"</f>
        <v>文婉虹</v>
      </c>
      <c r="B10" s="5" t="str">
        <f>"10101010218"</f>
        <v>10101010218</v>
      </c>
      <c r="C10" s="6">
        <v>81</v>
      </c>
      <c r="D10" s="7">
        <v>8</v>
      </c>
      <c r="E10" s="8"/>
    </row>
    <row r="11" s="1" customFormat="1" ht="18" customHeight="1" spans="1:5">
      <c r="A11" s="5" t="str">
        <f>"陈琼敏"</f>
        <v>陈琼敏</v>
      </c>
      <c r="B11" s="5" t="str">
        <f>"10101010511"</f>
        <v>10101010511</v>
      </c>
      <c r="C11" s="6">
        <v>81</v>
      </c>
      <c r="D11" s="7">
        <v>9</v>
      </c>
      <c r="E11" s="8"/>
    </row>
    <row r="12" s="1" customFormat="1" ht="18" customHeight="1" spans="1:5">
      <c r="A12" s="5" t="str">
        <f>"曾夏娴"</f>
        <v>曾夏娴</v>
      </c>
      <c r="B12" s="5" t="str">
        <f>"10101010606"</f>
        <v>10101010606</v>
      </c>
      <c r="C12" s="6">
        <v>81</v>
      </c>
      <c r="D12" s="7">
        <v>10</v>
      </c>
      <c r="E12" s="8"/>
    </row>
    <row r="13" s="1" customFormat="1" ht="18" customHeight="1" spans="1:5">
      <c r="A13" s="5" t="str">
        <f>"文其凤"</f>
        <v>文其凤</v>
      </c>
      <c r="B13" s="5" t="str">
        <f>"10101011221"</f>
        <v>10101011221</v>
      </c>
      <c r="C13" s="6">
        <v>81</v>
      </c>
      <c r="D13" s="7">
        <v>11</v>
      </c>
      <c r="E13" s="8"/>
    </row>
    <row r="14" s="1" customFormat="1" ht="18" customHeight="1" spans="1:5">
      <c r="A14" s="5" t="str">
        <f>"唐日凤"</f>
        <v>唐日凤</v>
      </c>
      <c r="B14" s="5" t="str">
        <f>"10101011407"</f>
        <v>10101011407</v>
      </c>
      <c r="C14" s="6">
        <v>81</v>
      </c>
      <c r="D14" s="7">
        <v>12</v>
      </c>
      <c r="E14" s="8"/>
    </row>
    <row r="15" s="1" customFormat="1" ht="18" customHeight="1" spans="1:5">
      <c r="A15" s="5" t="str">
        <f>"陈仕雪"</f>
        <v>陈仕雪</v>
      </c>
      <c r="B15" s="5" t="str">
        <f>"10101011503"</f>
        <v>10101011503</v>
      </c>
      <c r="C15" s="6">
        <v>81</v>
      </c>
      <c r="D15" s="7">
        <v>13</v>
      </c>
      <c r="E15" s="8"/>
    </row>
    <row r="16" s="1" customFormat="1" ht="18" customHeight="1" spans="1:5">
      <c r="A16" s="5" t="str">
        <f>"符壮丽"</f>
        <v>符壮丽</v>
      </c>
      <c r="B16" s="5" t="str">
        <f>"10101010502"</f>
        <v>10101010502</v>
      </c>
      <c r="C16" s="6">
        <v>80</v>
      </c>
      <c r="D16" s="7">
        <v>14</v>
      </c>
      <c r="E16" s="8"/>
    </row>
    <row r="17" s="1" customFormat="1" ht="18" customHeight="1" spans="1:5">
      <c r="A17" s="5" t="str">
        <f>"张云玉"</f>
        <v>张云玉</v>
      </c>
      <c r="B17" s="5" t="str">
        <f>"10101010525"</f>
        <v>10101010525</v>
      </c>
      <c r="C17" s="6">
        <v>80</v>
      </c>
      <c r="D17" s="7">
        <v>15</v>
      </c>
      <c r="E17" s="8"/>
    </row>
    <row r="18" s="1" customFormat="1" ht="18" customHeight="1" spans="1:5">
      <c r="A18" s="5" t="str">
        <f>"杨燕"</f>
        <v>杨燕</v>
      </c>
      <c r="B18" s="5" t="str">
        <f>"10101010629"</f>
        <v>10101010629</v>
      </c>
      <c r="C18" s="6">
        <v>80</v>
      </c>
      <c r="D18" s="7">
        <v>16</v>
      </c>
      <c r="E18" s="8"/>
    </row>
    <row r="19" s="1" customFormat="1" ht="18" customHeight="1" spans="1:5">
      <c r="A19" s="5" t="str">
        <f>"文晓满"</f>
        <v>文晓满</v>
      </c>
      <c r="B19" s="5" t="str">
        <f>"10101010716"</f>
        <v>10101010716</v>
      </c>
      <c r="C19" s="6">
        <v>80</v>
      </c>
      <c r="D19" s="7">
        <v>17</v>
      </c>
      <c r="E19" s="8"/>
    </row>
    <row r="20" s="1" customFormat="1" ht="18" customHeight="1" spans="1:5">
      <c r="A20" s="5" t="str">
        <f>"张瑞霞"</f>
        <v>张瑞霞</v>
      </c>
      <c r="B20" s="5" t="str">
        <f>"10101010913"</f>
        <v>10101010913</v>
      </c>
      <c r="C20" s="6">
        <v>80</v>
      </c>
      <c r="D20" s="7">
        <v>18</v>
      </c>
      <c r="E20" s="8"/>
    </row>
    <row r="21" s="1" customFormat="1" ht="18" customHeight="1" spans="1:5">
      <c r="A21" s="5" t="str">
        <f>"黎祥银"</f>
        <v>黎祥银</v>
      </c>
      <c r="B21" s="5" t="str">
        <f>"10101011306"</f>
        <v>10101011306</v>
      </c>
      <c r="C21" s="6">
        <v>80</v>
      </c>
      <c r="D21" s="7">
        <v>19</v>
      </c>
      <c r="E21" s="8"/>
    </row>
    <row r="22" s="1" customFormat="1" ht="18" customHeight="1" spans="1:5">
      <c r="A22" s="5" t="str">
        <f>"任喜如"</f>
        <v>任喜如</v>
      </c>
      <c r="B22" s="5" t="str">
        <f>"10101011401"</f>
        <v>10101011401</v>
      </c>
      <c r="C22" s="6">
        <v>80</v>
      </c>
      <c r="D22" s="7">
        <v>20</v>
      </c>
      <c r="E22" s="8"/>
    </row>
    <row r="23" s="1" customFormat="1" ht="18" customHeight="1" spans="1:5">
      <c r="A23" s="5" t="str">
        <f>"苏洁"</f>
        <v>苏洁</v>
      </c>
      <c r="B23" s="5" t="str">
        <f>"10101011419"</f>
        <v>10101011419</v>
      </c>
      <c r="C23" s="6">
        <v>80</v>
      </c>
      <c r="D23" s="7">
        <v>21</v>
      </c>
      <c r="E23" s="8"/>
    </row>
    <row r="24" s="1" customFormat="1" ht="18" customHeight="1" spans="1:5">
      <c r="A24" s="5" t="str">
        <f>"陈双花"</f>
        <v>陈双花</v>
      </c>
      <c r="B24" s="5" t="str">
        <f>"10101011610"</f>
        <v>10101011610</v>
      </c>
      <c r="C24" s="6">
        <v>80</v>
      </c>
      <c r="D24" s="7">
        <v>22</v>
      </c>
      <c r="E24" s="8"/>
    </row>
    <row r="25" s="1" customFormat="1" ht="18" customHeight="1" spans="1:5">
      <c r="A25" s="5" t="str">
        <f>"胡李倩"</f>
        <v>胡李倩</v>
      </c>
      <c r="B25" s="5" t="str">
        <f>"10101011615"</f>
        <v>10101011615</v>
      </c>
      <c r="C25" s="6">
        <v>80</v>
      </c>
      <c r="D25" s="7">
        <v>23</v>
      </c>
      <c r="E25" s="8"/>
    </row>
    <row r="26" s="1" customFormat="1" ht="18" customHeight="1" spans="1:5">
      <c r="A26" s="5" t="str">
        <f>"陈慧青"</f>
        <v>陈慧青</v>
      </c>
      <c r="B26" s="5" t="str">
        <f>"10101010430"</f>
        <v>10101010430</v>
      </c>
      <c r="C26" s="6">
        <v>79</v>
      </c>
      <c r="D26" s="7">
        <v>24</v>
      </c>
      <c r="E26" s="8"/>
    </row>
    <row r="27" s="1" customFormat="1" ht="18" customHeight="1" spans="1:5">
      <c r="A27" s="5" t="str">
        <f>"王信子"</f>
        <v>王信子</v>
      </c>
      <c r="B27" s="5" t="str">
        <f>"10101010516"</f>
        <v>10101010516</v>
      </c>
      <c r="C27" s="6">
        <v>79</v>
      </c>
      <c r="D27" s="7">
        <v>25</v>
      </c>
      <c r="E27" s="8"/>
    </row>
    <row r="28" s="1" customFormat="1" ht="18" customHeight="1" spans="1:5">
      <c r="A28" s="5" t="str">
        <f>"王娴"</f>
        <v>王娴</v>
      </c>
      <c r="B28" s="5" t="str">
        <f>"10101010926"</f>
        <v>10101010926</v>
      </c>
      <c r="C28" s="6">
        <v>79</v>
      </c>
      <c r="D28" s="7">
        <v>26</v>
      </c>
      <c r="E28" s="8"/>
    </row>
    <row r="29" s="1" customFormat="1" ht="18" customHeight="1" spans="1:5">
      <c r="A29" s="5" t="str">
        <f>"李秋丽"</f>
        <v>李秋丽</v>
      </c>
      <c r="B29" s="5" t="str">
        <f>"10101011428"</f>
        <v>10101011428</v>
      </c>
      <c r="C29" s="6">
        <v>79</v>
      </c>
      <c r="D29" s="7">
        <v>27</v>
      </c>
      <c r="E29" s="8"/>
    </row>
    <row r="30" s="1" customFormat="1" ht="18" customHeight="1" spans="1:5">
      <c r="A30" s="5" t="str">
        <f>"赵开磊"</f>
        <v>赵开磊</v>
      </c>
      <c r="B30" s="5" t="str">
        <f>"10101010202"</f>
        <v>10101010202</v>
      </c>
      <c r="C30" s="6">
        <v>78</v>
      </c>
      <c r="D30" s="7">
        <v>28</v>
      </c>
      <c r="E30" s="8"/>
    </row>
    <row r="31" s="1" customFormat="1" ht="18" customHeight="1" spans="1:5">
      <c r="A31" s="5" t="str">
        <f>"李碧苗"</f>
        <v>李碧苗</v>
      </c>
      <c r="B31" s="5" t="str">
        <f>"10101010417"</f>
        <v>10101010417</v>
      </c>
      <c r="C31" s="6">
        <v>78</v>
      </c>
      <c r="D31" s="7">
        <v>29</v>
      </c>
      <c r="E31" s="8"/>
    </row>
    <row r="32" s="1" customFormat="1" ht="18" customHeight="1" spans="1:5">
      <c r="A32" s="5" t="str">
        <f>"符良静"</f>
        <v>符良静</v>
      </c>
      <c r="B32" s="5" t="str">
        <f>"10101010611"</f>
        <v>10101010611</v>
      </c>
      <c r="C32" s="6">
        <v>78</v>
      </c>
      <c r="D32" s="7">
        <v>30</v>
      </c>
      <c r="E32" s="8"/>
    </row>
    <row r="33" s="1" customFormat="1" ht="18" customHeight="1" spans="1:5">
      <c r="A33" s="5" t="str">
        <f>"符金曼"</f>
        <v>符金曼</v>
      </c>
      <c r="B33" s="5" t="str">
        <f>"10101010612"</f>
        <v>10101010612</v>
      </c>
      <c r="C33" s="6">
        <v>78</v>
      </c>
      <c r="D33" s="7">
        <v>31</v>
      </c>
      <c r="E33" s="8"/>
    </row>
    <row r="34" s="1" customFormat="1" ht="18" customHeight="1" spans="1:5">
      <c r="A34" s="5" t="str">
        <f>"符坤艳"</f>
        <v>符坤艳</v>
      </c>
      <c r="B34" s="5" t="str">
        <f>"10101010614"</f>
        <v>10101010614</v>
      </c>
      <c r="C34" s="6">
        <v>78</v>
      </c>
      <c r="D34" s="7">
        <v>32</v>
      </c>
      <c r="E34" s="8"/>
    </row>
    <row r="35" s="1" customFormat="1" ht="18" customHeight="1" spans="1:5">
      <c r="A35" s="5" t="str">
        <f>"杨玉"</f>
        <v>杨玉</v>
      </c>
      <c r="B35" s="5" t="str">
        <f>"10101010213"</f>
        <v>10101010213</v>
      </c>
      <c r="C35" s="6">
        <v>77</v>
      </c>
      <c r="D35" s="7">
        <v>33</v>
      </c>
      <c r="E35" s="8"/>
    </row>
    <row r="36" s="1" customFormat="1" ht="18" customHeight="1" spans="1:5">
      <c r="A36" s="5" t="str">
        <f>"赵艳丽"</f>
        <v>赵艳丽</v>
      </c>
      <c r="B36" s="5" t="str">
        <f>"10101010416"</f>
        <v>10101010416</v>
      </c>
      <c r="C36" s="6">
        <v>77</v>
      </c>
      <c r="D36" s="7">
        <v>34</v>
      </c>
      <c r="E36" s="8"/>
    </row>
    <row r="37" s="1" customFormat="1" ht="18" customHeight="1" spans="1:5">
      <c r="A37" s="5" t="str">
        <f>"张永秀"</f>
        <v>张永秀</v>
      </c>
      <c r="B37" s="5" t="str">
        <f>"10101010601"</f>
        <v>10101010601</v>
      </c>
      <c r="C37" s="6">
        <v>77</v>
      </c>
      <c r="D37" s="7">
        <v>35</v>
      </c>
      <c r="E37" s="8"/>
    </row>
    <row r="38" s="1" customFormat="1" ht="18" customHeight="1" spans="1:5">
      <c r="A38" s="5" t="str">
        <f>"方宗丽"</f>
        <v>方宗丽</v>
      </c>
      <c r="B38" s="5" t="str">
        <f>"10101010717"</f>
        <v>10101010717</v>
      </c>
      <c r="C38" s="6">
        <v>77</v>
      </c>
      <c r="D38" s="7">
        <v>36</v>
      </c>
      <c r="E38" s="8"/>
    </row>
    <row r="39" s="1" customFormat="1" ht="18" customHeight="1" spans="1:5">
      <c r="A39" s="5" t="str">
        <f>"钟宏娟"</f>
        <v>钟宏娟</v>
      </c>
      <c r="B39" s="5" t="str">
        <f>"10101010922"</f>
        <v>10101010922</v>
      </c>
      <c r="C39" s="6">
        <v>77</v>
      </c>
      <c r="D39" s="7">
        <v>37</v>
      </c>
      <c r="E39" s="8"/>
    </row>
    <row r="40" s="1" customFormat="1" ht="18" customHeight="1" spans="1:5">
      <c r="A40" s="5" t="str">
        <f>"曾回鲜"</f>
        <v>曾回鲜</v>
      </c>
      <c r="B40" s="5" t="str">
        <f>"10101011008"</f>
        <v>10101011008</v>
      </c>
      <c r="C40" s="6">
        <v>77</v>
      </c>
      <c r="D40" s="7">
        <v>38</v>
      </c>
      <c r="E40" s="8"/>
    </row>
    <row r="41" s="1" customFormat="1" ht="18" customHeight="1" spans="1:5">
      <c r="A41" s="5" t="str">
        <f>"文慧"</f>
        <v>文慧</v>
      </c>
      <c r="B41" s="5" t="str">
        <f>"10101011324"</f>
        <v>10101011324</v>
      </c>
      <c r="C41" s="6">
        <v>77</v>
      </c>
      <c r="D41" s="7">
        <v>39</v>
      </c>
      <c r="E41" s="8"/>
    </row>
    <row r="42" s="1" customFormat="1" ht="18" customHeight="1" spans="1:5">
      <c r="A42" s="5" t="str">
        <f>"符秀梅"</f>
        <v>符秀梅</v>
      </c>
      <c r="B42" s="5" t="str">
        <f>"10101010201"</f>
        <v>10101010201</v>
      </c>
      <c r="C42" s="6">
        <v>76</v>
      </c>
      <c r="D42" s="7">
        <v>40</v>
      </c>
      <c r="E42" s="8"/>
    </row>
    <row r="43" s="1" customFormat="1" ht="18" customHeight="1" spans="1:5">
      <c r="A43" s="5" t="str">
        <f>"苏艳婷"</f>
        <v>苏艳婷</v>
      </c>
      <c r="B43" s="5" t="str">
        <f>"10101010410"</f>
        <v>10101010410</v>
      </c>
      <c r="C43" s="6">
        <v>76</v>
      </c>
      <c r="D43" s="7">
        <v>41</v>
      </c>
      <c r="E43" s="8"/>
    </row>
    <row r="44" s="1" customFormat="1" ht="18" customHeight="1" spans="1:5">
      <c r="A44" s="5" t="str">
        <f>"张入芳"</f>
        <v>张入芳</v>
      </c>
      <c r="B44" s="5" t="str">
        <f>"10101010518"</f>
        <v>10101010518</v>
      </c>
      <c r="C44" s="6">
        <v>76</v>
      </c>
      <c r="D44" s="7">
        <v>42</v>
      </c>
      <c r="E44" s="8"/>
    </row>
    <row r="45" s="1" customFormat="1" ht="18" customHeight="1" spans="1:5">
      <c r="A45" s="5" t="str">
        <f>"庄娟"</f>
        <v>庄娟</v>
      </c>
      <c r="B45" s="5" t="str">
        <f>"10101010522"</f>
        <v>10101010522</v>
      </c>
      <c r="C45" s="6">
        <v>76</v>
      </c>
      <c r="D45" s="7">
        <v>43</v>
      </c>
      <c r="E45" s="8"/>
    </row>
    <row r="46" s="1" customFormat="1" ht="18" customHeight="1" spans="1:5">
      <c r="A46" s="5" t="str">
        <f>"王小芳"</f>
        <v>王小芳</v>
      </c>
      <c r="B46" s="5" t="str">
        <f>"10101010613"</f>
        <v>10101010613</v>
      </c>
      <c r="C46" s="6">
        <v>76</v>
      </c>
      <c r="D46" s="7">
        <v>44</v>
      </c>
      <c r="E46" s="8"/>
    </row>
    <row r="47" s="1" customFormat="1" ht="18" customHeight="1" spans="1:5">
      <c r="A47" s="5" t="str">
        <f>"张生美"</f>
        <v>张生美</v>
      </c>
      <c r="B47" s="5" t="str">
        <f>"10101010804"</f>
        <v>10101010804</v>
      </c>
      <c r="C47" s="6">
        <v>76</v>
      </c>
      <c r="D47" s="7">
        <v>45</v>
      </c>
      <c r="E47" s="8"/>
    </row>
    <row r="48" s="1" customFormat="1" ht="18" customHeight="1" spans="1:5">
      <c r="A48" s="5" t="str">
        <f>"符玉兰"</f>
        <v>符玉兰</v>
      </c>
      <c r="B48" s="5" t="str">
        <f>"10101011023"</f>
        <v>10101011023</v>
      </c>
      <c r="C48" s="6">
        <v>76</v>
      </c>
      <c r="D48" s="7">
        <v>46</v>
      </c>
      <c r="E48" s="8"/>
    </row>
    <row r="49" s="1" customFormat="1" ht="18" customHeight="1" spans="1:5">
      <c r="A49" s="5" t="str">
        <f>"吴小慧"</f>
        <v>吴小慧</v>
      </c>
      <c r="B49" s="5" t="str">
        <f>"10101011222"</f>
        <v>10101011222</v>
      </c>
      <c r="C49" s="6">
        <v>76</v>
      </c>
      <c r="D49" s="7">
        <v>47</v>
      </c>
      <c r="E49" s="8"/>
    </row>
    <row r="50" s="1" customFormat="1" ht="18" customHeight="1" spans="1:5">
      <c r="A50" s="5" t="str">
        <f>"蒙明菲"</f>
        <v>蒙明菲</v>
      </c>
      <c r="B50" s="5" t="str">
        <f>"10101011405"</f>
        <v>10101011405</v>
      </c>
      <c r="C50" s="6">
        <v>76</v>
      </c>
      <c r="D50" s="7">
        <v>48</v>
      </c>
      <c r="E50" s="8"/>
    </row>
    <row r="51" s="1" customFormat="1" ht="18" customHeight="1" spans="1:5">
      <c r="A51" s="5" t="str">
        <f>"谭小妃"</f>
        <v>谭小妃</v>
      </c>
      <c r="B51" s="5" t="str">
        <f>"10101011519"</f>
        <v>10101011519</v>
      </c>
      <c r="C51" s="6">
        <v>76</v>
      </c>
      <c r="D51" s="7">
        <v>49</v>
      </c>
      <c r="E51" s="8"/>
    </row>
    <row r="52" s="1" customFormat="1" ht="18" customHeight="1" spans="1:5">
      <c r="A52" s="5" t="str">
        <f>"陈壮飞"</f>
        <v>陈壮飞</v>
      </c>
      <c r="B52" s="5" t="str">
        <f>"10101011606"</f>
        <v>10101011606</v>
      </c>
      <c r="C52" s="6">
        <v>76</v>
      </c>
      <c r="D52" s="7">
        <v>50</v>
      </c>
      <c r="E52" s="8"/>
    </row>
    <row r="53" s="1" customFormat="1" ht="18" customHeight="1" spans="1:5">
      <c r="A53" s="5" t="str">
        <f>"符丽琪"</f>
        <v>符丽琪</v>
      </c>
      <c r="B53" s="5" t="str">
        <f>"10101011827"</f>
        <v>10101011827</v>
      </c>
      <c r="C53" s="6">
        <v>76</v>
      </c>
      <c r="D53" s="7">
        <v>51</v>
      </c>
      <c r="E53" s="8"/>
    </row>
    <row r="54" s="1" customFormat="1" ht="18" customHeight="1" spans="1:5">
      <c r="A54" s="5" t="str">
        <f>"符亚娘"</f>
        <v>符亚娘</v>
      </c>
      <c r="B54" s="5" t="str">
        <f>"10101010117"</f>
        <v>10101010117</v>
      </c>
      <c r="C54" s="6">
        <v>75</v>
      </c>
      <c r="D54" s="7">
        <v>52</v>
      </c>
      <c r="E54" s="8"/>
    </row>
    <row r="55" s="1" customFormat="1" ht="18" customHeight="1" spans="1:5">
      <c r="A55" s="5" t="str">
        <f>"张恒"</f>
        <v>张恒</v>
      </c>
      <c r="B55" s="5" t="str">
        <f>"10101010409"</f>
        <v>10101010409</v>
      </c>
      <c r="C55" s="6">
        <v>75</v>
      </c>
      <c r="D55" s="7">
        <v>53</v>
      </c>
      <c r="E55" s="8"/>
    </row>
    <row r="56" s="1" customFormat="1" ht="18" customHeight="1" spans="1:5">
      <c r="A56" s="5" t="str">
        <f>"符倩虹"</f>
        <v>符倩虹</v>
      </c>
      <c r="B56" s="5" t="str">
        <f>"10101010428"</f>
        <v>10101010428</v>
      </c>
      <c r="C56" s="6">
        <v>75</v>
      </c>
      <c r="D56" s="7">
        <v>54</v>
      </c>
      <c r="E56" s="8"/>
    </row>
    <row r="57" s="1" customFormat="1" ht="18" customHeight="1" spans="1:5">
      <c r="A57" s="5" t="str">
        <f>"张珍"</f>
        <v>张珍</v>
      </c>
      <c r="B57" s="5" t="str">
        <f>"10101010513"</f>
        <v>10101010513</v>
      </c>
      <c r="C57" s="6">
        <v>75</v>
      </c>
      <c r="D57" s="7">
        <v>55</v>
      </c>
      <c r="E57" s="8"/>
    </row>
    <row r="58" s="1" customFormat="1" ht="18" customHeight="1" spans="1:5">
      <c r="A58" s="5" t="str">
        <f>"林春珍"</f>
        <v>林春珍</v>
      </c>
      <c r="B58" s="5" t="str">
        <f>"10101010519"</f>
        <v>10101010519</v>
      </c>
      <c r="C58" s="6">
        <v>75</v>
      </c>
      <c r="D58" s="7">
        <v>56</v>
      </c>
      <c r="E58" s="8"/>
    </row>
    <row r="59" s="1" customFormat="1" ht="18" customHeight="1" spans="1:5">
      <c r="A59" s="5" t="str">
        <f>"符修云"</f>
        <v>符修云</v>
      </c>
      <c r="B59" s="5" t="str">
        <f>"10101010709"</f>
        <v>10101010709</v>
      </c>
      <c r="C59" s="9">
        <v>75</v>
      </c>
      <c r="D59" s="7">
        <v>57</v>
      </c>
      <c r="E59" s="8"/>
    </row>
    <row r="60" s="1" customFormat="1" ht="18" customHeight="1" spans="1:5">
      <c r="A60" s="5" t="str">
        <f>"黄光慧"</f>
        <v>黄光慧</v>
      </c>
      <c r="B60" s="5" t="str">
        <f>"10101010726"</f>
        <v>10101010726</v>
      </c>
      <c r="C60" s="6">
        <v>75</v>
      </c>
      <c r="D60" s="7">
        <v>58</v>
      </c>
      <c r="E60" s="8"/>
    </row>
    <row r="61" s="1" customFormat="1" ht="18" customHeight="1" spans="1:5">
      <c r="A61" s="5" t="str">
        <f>"刘少丹"</f>
        <v>刘少丹</v>
      </c>
      <c r="B61" s="5" t="str">
        <f>"10101011106"</f>
        <v>10101011106</v>
      </c>
      <c r="C61" s="6">
        <v>75</v>
      </c>
      <c r="D61" s="7">
        <v>59</v>
      </c>
      <c r="E61" s="8"/>
    </row>
    <row r="62" s="1" customFormat="1" ht="18" customHeight="1" spans="1:5">
      <c r="A62" s="5" t="str">
        <f>"王佳媛"</f>
        <v>王佳媛</v>
      </c>
      <c r="B62" s="5" t="str">
        <f>"10101011112"</f>
        <v>10101011112</v>
      </c>
      <c r="C62" s="6">
        <v>75</v>
      </c>
      <c r="D62" s="7">
        <v>60</v>
      </c>
      <c r="E62" s="8"/>
    </row>
    <row r="63" s="1" customFormat="1" ht="18" customHeight="1" spans="1:5">
      <c r="A63" s="5" t="str">
        <f>"方芸晶"</f>
        <v>方芸晶</v>
      </c>
      <c r="B63" s="5" t="str">
        <f>"10101011117"</f>
        <v>10101011117</v>
      </c>
      <c r="C63" s="6">
        <v>75</v>
      </c>
      <c r="D63" s="7">
        <v>61</v>
      </c>
      <c r="E63" s="8"/>
    </row>
    <row r="64" s="1" customFormat="1" ht="18" customHeight="1" spans="1:5">
      <c r="A64" s="5" t="str">
        <f>"吉霞"</f>
        <v>吉霞</v>
      </c>
      <c r="B64" s="5" t="str">
        <f>"10101011308"</f>
        <v>10101011308</v>
      </c>
      <c r="C64" s="6">
        <v>75</v>
      </c>
      <c r="D64" s="7">
        <v>62</v>
      </c>
      <c r="E64" s="8"/>
    </row>
    <row r="65" s="1" customFormat="1" ht="18" customHeight="1" spans="1:5">
      <c r="A65" s="5" t="str">
        <f>"符喜真"</f>
        <v>符喜真</v>
      </c>
      <c r="B65" s="5" t="str">
        <f>"10101011325"</f>
        <v>10101011325</v>
      </c>
      <c r="C65" s="6">
        <v>75</v>
      </c>
      <c r="D65" s="7">
        <v>63</v>
      </c>
      <c r="E65" s="8"/>
    </row>
    <row r="66" s="1" customFormat="1" ht="18" customHeight="1" spans="1:5">
      <c r="A66" s="5" t="str">
        <f>"郑玉凤"</f>
        <v>郑玉凤</v>
      </c>
      <c r="B66" s="5" t="str">
        <f>"10101011328"</f>
        <v>10101011328</v>
      </c>
      <c r="C66" s="6">
        <v>75</v>
      </c>
      <c r="D66" s="7">
        <v>64</v>
      </c>
      <c r="E66" s="8"/>
    </row>
    <row r="67" s="1" customFormat="1" ht="18" customHeight="1" spans="1:5">
      <c r="A67" s="5" t="str">
        <f>"阮高亮"</f>
        <v>阮高亮</v>
      </c>
      <c r="B67" s="5" t="str">
        <f>"10101011626"</f>
        <v>10101011626</v>
      </c>
      <c r="C67" s="6">
        <v>75</v>
      </c>
      <c r="D67" s="7">
        <v>65</v>
      </c>
      <c r="E67" s="8"/>
    </row>
    <row r="68" s="1" customFormat="1" ht="18" customHeight="1" spans="1:5">
      <c r="A68" s="5" t="str">
        <f>"苏小单"</f>
        <v>苏小单</v>
      </c>
      <c r="B68" s="5" t="str">
        <f>"10101011727"</f>
        <v>10101011727</v>
      </c>
      <c r="C68" s="6">
        <v>75</v>
      </c>
      <c r="D68" s="7">
        <v>66</v>
      </c>
      <c r="E68" s="8"/>
    </row>
    <row r="69" s="1" customFormat="1" ht="18" customHeight="1" spans="1:5">
      <c r="A69" s="5" t="str">
        <f>"李静"</f>
        <v>李静</v>
      </c>
      <c r="B69" s="5" t="str">
        <f>"10101012004"</f>
        <v>10101012004</v>
      </c>
      <c r="C69" s="9">
        <v>75</v>
      </c>
      <c r="D69" s="7">
        <v>67</v>
      </c>
      <c r="E69" s="8"/>
    </row>
    <row r="70" s="1" customFormat="1" ht="18" customHeight="1" spans="1:5">
      <c r="A70" s="5" t="str">
        <f>"曾紫璇"</f>
        <v>曾紫璇</v>
      </c>
      <c r="B70" s="5" t="str">
        <f>"10101010413"</f>
        <v>10101010413</v>
      </c>
      <c r="C70" s="6">
        <v>74</v>
      </c>
      <c r="D70" s="7">
        <v>68</v>
      </c>
      <c r="E70" s="8"/>
    </row>
    <row r="71" s="1" customFormat="1" ht="18" customHeight="1" spans="1:5">
      <c r="A71" s="5" t="str">
        <f>"李芊仟"</f>
        <v>李芊仟</v>
      </c>
      <c r="B71" s="5" t="str">
        <f>"10101010724"</f>
        <v>10101010724</v>
      </c>
      <c r="C71" s="6">
        <v>74</v>
      </c>
      <c r="D71" s="7">
        <v>69</v>
      </c>
      <c r="E71" s="8"/>
    </row>
    <row r="72" s="1" customFormat="1" ht="18" customHeight="1" spans="1:5">
      <c r="A72" s="5" t="str">
        <f>"谢玉楠"</f>
        <v>谢玉楠</v>
      </c>
      <c r="B72" s="5" t="str">
        <f>"10101010813"</f>
        <v>10101010813</v>
      </c>
      <c r="C72" s="6">
        <v>74</v>
      </c>
      <c r="D72" s="7">
        <v>70</v>
      </c>
      <c r="E72" s="8"/>
    </row>
    <row r="73" s="1" customFormat="1" ht="18" customHeight="1" spans="1:5">
      <c r="A73" s="5" t="str">
        <f>"林亚玉"</f>
        <v>林亚玉</v>
      </c>
      <c r="B73" s="5" t="str">
        <f>"10101010928"</f>
        <v>10101010928</v>
      </c>
      <c r="C73" s="6">
        <v>74</v>
      </c>
      <c r="D73" s="7">
        <v>71</v>
      </c>
      <c r="E73" s="8"/>
    </row>
    <row r="74" s="1" customFormat="1" ht="18" customHeight="1" spans="1:5">
      <c r="A74" s="5" t="str">
        <f>"杨菊"</f>
        <v>杨菊</v>
      </c>
      <c r="B74" s="5" t="str">
        <f>"10101011119"</f>
        <v>10101011119</v>
      </c>
      <c r="C74" s="6">
        <v>74</v>
      </c>
      <c r="D74" s="7">
        <v>72</v>
      </c>
      <c r="E74" s="8"/>
    </row>
    <row r="75" s="1" customFormat="1" ht="18" customHeight="1" spans="1:5">
      <c r="A75" s="5" t="str">
        <f>"林丽娇"</f>
        <v>林丽娇</v>
      </c>
      <c r="B75" s="5" t="str">
        <f>"10101011124"</f>
        <v>10101011124</v>
      </c>
      <c r="C75" s="6">
        <v>74</v>
      </c>
      <c r="D75" s="7">
        <v>73</v>
      </c>
      <c r="E75" s="8"/>
    </row>
    <row r="76" s="1" customFormat="1" ht="18" customHeight="1" spans="1:5">
      <c r="A76" s="5" t="str">
        <f>"赵晓芳"</f>
        <v>赵晓芳</v>
      </c>
      <c r="B76" s="5" t="str">
        <f>"10101011305"</f>
        <v>10101011305</v>
      </c>
      <c r="C76" s="6">
        <v>74</v>
      </c>
      <c r="D76" s="7">
        <v>74</v>
      </c>
      <c r="E76" s="8"/>
    </row>
    <row r="77" s="1" customFormat="1" ht="18" customHeight="1" spans="1:5">
      <c r="A77" s="5" t="str">
        <f>"冯周宇"</f>
        <v>冯周宇</v>
      </c>
      <c r="B77" s="5" t="str">
        <f>"10101011425"</f>
        <v>10101011425</v>
      </c>
      <c r="C77" s="6">
        <v>74</v>
      </c>
      <c r="D77" s="7">
        <v>75</v>
      </c>
      <c r="E77" s="8"/>
    </row>
    <row r="78" s="1" customFormat="1" ht="18" customHeight="1" spans="1:5">
      <c r="A78" s="5" t="str">
        <f>"王春艳"</f>
        <v>王春艳</v>
      </c>
      <c r="B78" s="5" t="str">
        <f>"10101011602"</f>
        <v>10101011602</v>
      </c>
      <c r="C78" s="6">
        <v>74</v>
      </c>
      <c r="D78" s="7">
        <v>76</v>
      </c>
      <c r="E78" s="8"/>
    </row>
    <row r="79" s="1" customFormat="1" ht="18" customHeight="1" spans="1:5">
      <c r="A79" s="5" t="str">
        <f>"羊丽春"</f>
        <v>羊丽春</v>
      </c>
      <c r="B79" s="5" t="str">
        <f>"10101011608"</f>
        <v>10101011608</v>
      </c>
      <c r="C79" s="6">
        <v>74</v>
      </c>
      <c r="D79" s="7">
        <v>77</v>
      </c>
      <c r="E79" s="8"/>
    </row>
    <row r="80" s="1" customFormat="1" ht="18" customHeight="1" spans="1:5">
      <c r="A80" s="5" t="str">
        <f>"符瑞琪"</f>
        <v>符瑞琪</v>
      </c>
      <c r="B80" s="5" t="str">
        <f>"10101011616"</f>
        <v>10101011616</v>
      </c>
      <c r="C80" s="6">
        <v>74</v>
      </c>
      <c r="D80" s="7">
        <v>78</v>
      </c>
      <c r="E80" s="8"/>
    </row>
    <row r="81" s="1" customFormat="1" ht="18" customHeight="1" spans="1:5">
      <c r="A81" s="5" t="str">
        <f>"陈可"</f>
        <v>陈可</v>
      </c>
      <c r="B81" s="5" t="str">
        <f>"10101011628"</f>
        <v>10101011628</v>
      </c>
      <c r="C81" s="6">
        <v>74</v>
      </c>
      <c r="D81" s="7">
        <v>79</v>
      </c>
      <c r="E81" s="8"/>
    </row>
    <row r="82" s="1" customFormat="1" ht="18" customHeight="1" spans="1:5">
      <c r="A82" s="5" t="str">
        <f>"周书蓉"</f>
        <v>周书蓉</v>
      </c>
      <c r="B82" s="5" t="str">
        <f>"10101011708"</f>
        <v>10101011708</v>
      </c>
      <c r="C82" s="6">
        <v>74</v>
      </c>
      <c r="D82" s="7">
        <v>80</v>
      </c>
      <c r="E82" s="8"/>
    </row>
    <row r="83" s="1" customFormat="1" ht="18" customHeight="1" spans="1:5">
      <c r="A83" s="5" t="str">
        <f>"林芳婷"</f>
        <v>林芳婷</v>
      </c>
      <c r="B83" s="5" t="str">
        <f>"10101011713"</f>
        <v>10101011713</v>
      </c>
      <c r="C83" s="6">
        <v>74</v>
      </c>
      <c r="D83" s="7">
        <v>81</v>
      </c>
      <c r="E83" s="8"/>
    </row>
    <row r="84" s="1" customFormat="1" ht="18" customHeight="1" spans="1:5">
      <c r="A84" s="5" t="str">
        <f>"符必悦"</f>
        <v>符必悦</v>
      </c>
      <c r="B84" s="5" t="str">
        <f>"10101010418"</f>
        <v>10101010418</v>
      </c>
      <c r="C84" s="6">
        <v>73</v>
      </c>
      <c r="D84" s="7">
        <v>82</v>
      </c>
      <c r="E84" s="8"/>
    </row>
    <row r="85" s="1" customFormat="1" ht="18" customHeight="1" spans="1:5">
      <c r="A85" s="5" t="str">
        <f>"陈亚红"</f>
        <v>陈亚红</v>
      </c>
      <c r="B85" s="5" t="str">
        <f>"10101010507"</f>
        <v>10101010507</v>
      </c>
      <c r="C85" s="6">
        <v>73</v>
      </c>
      <c r="D85" s="7">
        <v>83</v>
      </c>
      <c r="E85" s="8"/>
    </row>
    <row r="86" s="1" customFormat="1" ht="18" customHeight="1" spans="1:5">
      <c r="A86" s="5" t="str">
        <f>"符贞祯"</f>
        <v>符贞祯</v>
      </c>
      <c r="B86" s="5" t="str">
        <f>"10101010617"</f>
        <v>10101010617</v>
      </c>
      <c r="C86" s="6">
        <v>73</v>
      </c>
      <c r="D86" s="7">
        <v>84</v>
      </c>
      <c r="E86" s="8"/>
    </row>
    <row r="87" s="1" customFormat="1" ht="18" customHeight="1" spans="1:5">
      <c r="A87" s="5" t="str">
        <f>"周小妹"</f>
        <v>周小妹</v>
      </c>
      <c r="B87" s="5" t="str">
        <f>"10101010728"</f>
        <v>10101010728</v>
      </c>
      <c r="C87" s="6">
        <v>73</v>
      </c>
      <c r="D87" s="7">
        <v>85</v>
      </c>
      <c r="E87" s="8"/>
    </row>
    <row r="88" s="1" customFormat="1" ht="18" customHeight="1" spans="1:5">
      <c r="A88" s="5" t="str">
        <f>"王艳纳"</f>
        <v>王艳纳</v>
      </c>
      <c r="B88" s="5" t="str">
        <f>"10101010827"</f>
        <v>10101010827</v>
      </c>
      <c r="C88" s="6">
        <v>73</v>
      </c>
      <c r="D88" s="7">
        <v>86</v>
      </c>
      <c r="E88" s="8"/>
    </row>
    <row r="89" s="1" customFormat="1" ht="18" customHeight="1" spans="1:5">
      <c r="A89" s="5" t="str">
        <f>"符金顶"</f>
        <v>符金顶</v>
      </c>
      <c r="B89" s="5" t="str">
        <f>"10101011101"</f>
        <v>10101011101</v>
      </c>
      <c r="C89" s="6">
        <v>73</v>
      </c>
      <c r="D89" s="7">
        <v>87</v>
      </c>
      <c r="E89" s="8"/>
    </row>
    <row r="90" s="1" customFormat="1" ht="18" customHeight="1" spans="1:5">
      <c r="A90" s="5" t="str">
        <f>"王尾丽"</f>
        <v>王尾丽</v>
      </c>
      <c r="B90" s="5" t="str">
        <f>"10101011218"</f>
        <v>10101011218</v>
      </c>
      <c r="C90" s="6">
        <v>73</v>
      </c>
      <c r="D90" s="7">
        <v>88</v>
      </c>
      <c r="E90" s="8"/>
    </row>
    <row r="91" s="1" customFormat="1" ht="18" customHeight="1" spans="1:5">
      <c r="A91" s="5" t="str">
        <f>"卢双霞"</f>
        <v>卢双霞</v>
      </c>
      <c r="B91" s="5" t="str">
        <f>"10101011612"</f>
        <v>10101011612</v>
      </c>
      <c r="C91" s="6">
        <v>73</v>
      </c>
      <c r="D91" s="7">
        <v>89</v>
      </c>
      <c r="E91" s="8"/>
    </row>
    <row r="92" s="1" customFormat="1" ht="18" customHeight="1" spans="1:5">
      <c r="A92" s="5" t="str">
        <f>"林丽团"</f>
        <v>林丽团</v>
      </c>
      <c r="B92" s="5" t="str">
        <f>"10101011624"</f>
        <v>10101011624</v>
      </c>
      <c r="C92" s="6">
        <v>73</v>
      </c>
      <c r="D92" s="7">
        <v>90</v>
      </c>
      <c r="E92" s="8"/>
    </row>
    <row r="93" s="1" customFormat="1" ht="18" customHeight="1" spans="1:5">
      <c r="A93" s="5" t="str">
        <f>"刘家欣"</f>
        <v>刘家欣</v>
      </c>
      <c r="B93" s="5" t="str">
        <f>"10101011630"</f>
        <v>10101011630</v>
      </c>
      <c r="C93" s="6">
        <v>73</v>
      </c>
      <c r="D93" s="7">
        <v>91</v>
      </c>
      <c r="E93" s="8"/>
    </row>
    <row r="94" s="1" customFormat="1" ht="18" customHeight="1" spans="1:5">
      <c r="A94" s="5" t="str">
        <f>"陈幕英"</f>
        <v>陈幕英</v>
      </c>
      <c r="B94" s="5" t="str">
        <f>"10101011714"</f>
        <v>10101011714</v>
      </c>
      <c r="C94" s="6">
        <v>73</v>
      </c>
      <c r="D94" s="7">
        <v>92</v>
      </c>
      <c r="E94" s="8"/>
    </row>
    <row r="95" s="1" customFormat="1" ht="18" customHeight="1" spans="1:5">
      <c r="A95" s="5" t="str">
        <f>"符贞英"</f>
        <v>符贞英</v>
      </c>
      <c r="B95" s="5" t="str">
        <f>"10101011820"</f>
        <v>10101011820</v>
      </c>
      <c r="C95" s="6">
        <v>73</v>
      </c>
      <c r="D95" s="7">
        <v>93</v>
      </c>
      <c r="E95" s="8"/>
    </row>
    <row r="96" s="1" customFormat="1" ht="18" customHeight="1" spans="1:5">
      <c r="A96" s="5" t="str">
        <f>"文呈来"</f>
        <v>文呈来</v>
      </c>
      <c r="B96" s="5" t="str">
        <f>"10101011916"</f>
        <v>10101011916</v>
      </c>
      <c r="C96" s="6">
        <v>73</v>
      </c>
      <c r="D96" s="7">
        <v>94</v>
      </c>
      <c r="E96" s="8"/>
    </row>
    <row r="97" s="1" customFormat="1" ht="18" customHeight="1" spans="1:5">
      <c r="A97" s="5" t="str">
        <f>"符运珠"</f>
        <v>符运珠</v>
      </c>
      <c r="B97" s="5" t="str">
        <f>"10101011511"</f>
        <v>10101011511</v>
      </c>
      <c r="C97" s="6">
        <v>73</v>
      </c>
      <c r="D97" s="7">
        <v>95</v>
      </c>
      <c r="E97" s="8"/>
    </row>
    <row r="98" s="1" customFormat="1" ht="18" customHeight="1" spans="1:5">
      <c r="A98" s="5" t="str">
        <f>"施艳梅"</f>
        <v>施艳梅</v>
      </c>
      <c r="B98" s="5" t="str">
        <f>"10101010110"</f>
        <v>10101010110</v>
      </c>
      <c r="C98" s="6">
        <v>72</v>
      </c>
      <c r="D98" s="7">
        <v>96</v>
      </c>
      <c r="E98" s="8"/>
    </row>
    <row r="99" s="1" customFormat="1" ht="18" customHeight="1" spans="1:5">
      <c r="A99" s="5" t="str">
        <f>"邢菊珍"</f>
        <v>邢菊珍</v>
      </c>
      <c r="B99" s="5" t="str">
        <f>"10101010124"</f>
        <v>10101010124</v>
      </c>
      <c r="C99" s="6">
        <v>72</v>
      </c>
      <c r="D99" s="7">
        <v>97</v>
      </c>
      <c r="E99" s="8"/>
    </row>
    <row r="100" s="1" customFormat="1" ht="18" customHeight="1" spans="1:5">
      <c r="A100" s="5" t="str">
        <f>"彭静"</f>
        <v>彭静</v>
      </c>
      <c r="B100" s="5" t="str">
        <f>"10101010316"</f>
        <v>10101010316</v>
      </c>
      <c r="C100" s="6">
        <v>72</v>
      </c>
      <c r="D100" s="7">
        <v>98</v>
      </c>
      <c r="E100" s="8"/>
    </row>
    <row r="101" s="1" customFormat="1" ht="18" customHeight="1" spans="1:5">
      <c r="A101" s="5" t="str">
        <f>"陈生妹"</f>
        <v>陈生妹</v>
      </c>
      <c r="B101" s="5" t="str">
        <f>"10101010419"</f>
        <v>10101010419</v>
      </c>
      <c r="C101" s="6">
        <v>72</v>
      </c>
      <c r="D101" s="7">
        <v>99</v>
      </c>
      <c r="E101" s="8"/>
    </row>
    <row r="102" s="1" customFormat="1" ht="18" customHeight="1" spans="1:5">
      <c r="A102" s="5" t="s">
        <v>7</v>
      </c>
      <c r="B102" s="5" t="str">
        <f>"10101010420"</f>
        <v>10101010420</v>
      </c>
      <c r="C102" s="6">
        <v>72</v>
      </c>
      <c r="D102" s="7">
        <v>100</v>
      </c>
      <c r="E102" s="8"/>
    </row>
    <row r="103" s="1" customFormat="1" ht="18" customHeight="1" spans="1:5">
      <c r="A103" s="5" t="str">
        <f>"王真真"</f>
        <v>王真真</v>
      </c>
      <c r="B103" s="5" t="str">
        <f>"10101011111"</f>
        <v>10101011111</v>
      </c>
      <c r="C103" s="6">
        <v>72</v>
      </c>
      <c r="D103" s="7">
        <v>101</v>
      </c>
      <c r="E103" s="8"/>
    </row>
    <row r="104" s="1" customFormat="1" ht="18" customHeight="1" spans="1:5">
      <c r="A104" s="5" t="str">
        <f>"陈真美"</f>
        <v>陈真美</v>
      </c>
      <c r="B104" s="5" t="str">
        <f>"10101011123"</f>
        <v>10101011123</v>
      </c>
      <c r="C104" s="6">
        <v>72</v>
      </c>
      <c r="D104" s="7">
        <v>102</v>
      </c>
      <c r="E104" s="8"/>
    </row>
    <row r="105" s="1" customFormat="1" ht="18" customHeight="1" spans="1:5">
      <c r="A105" s="5" t="str">
        <f>"王媛悦"</f>
        <v>王媛悦</v>
      </c>
      <c r="B105" s="5" t="str">
        <f>"10101011230"</f>
        <v>10101011230</v>
      </c>
      <c r="C105" s="6">
        <v>72</v>
      </c>
      <c r="D105" s="7">
        <v>103</v>
      </c>
      <c r="E105" s="8"/>
    </row>
    <row r="106" s="1" customFormat="1" ht="18" customHeight="1" spans="1:5">
      <c r="A106" s="5" t="str">
        <f>"吴元惠"</f>
        <v>吴元惠</v>
      </c>
      <c r="B106" s="5" t="str">
        <f>"10101011508"</f>
        <v>10101011508</v>
      </c>
      <c r="C106" s="6">
        <v>72</v>
      </c>
      <c r="D106" s="7">
        <v>104</v>
      </c>
      <c r="E106" s="8"/>
    </row>
    <row r="107" s="1" customFormat="1" ht="18" customHeight="1" spans="1:5">
      <c r="A107" s="5" t="str">
        <f>"苏丽玲"</f>
        <v>苏丽玲</v>
      </c>
      <c r="B107" s="5" t="str">
        <f>"10101011605"</f>
        <v>10101011605</v>
      </c>
      <c r="C107" s="6">
        <v>72</v>
      </c>
      <c r="D107" s="7">
        <v>105</v>
      </c>
      <c r="E107" s="8"/>
    </row>
    <row r="108" s="1" customFormat="1" ht="18" customHeight="1" spans="1:5">
      <c r="A108" s="5" t="str">
        <f>"郑庆美"</f>
        <v>郑庆美</v>
      </c>
      <c r="B108" s="5" t="str">
        <f>"10101011704"</f>
        <v>10101011704</v>
      </c>
      <c r="C108" s="6">
        <v>72</v>
      </c>
      <c r="D108" s="7">
        <v>106</v>
      </c>
      <c r="E108" s="8"/>
    </row>
    <row r="109" s="1" customFormat="1" ht="18" customHeight="1" spans="1:5">
      <c r="A109" s="5" t="str">
        <f>"王钟晶"</f>
        <v>王钟晶</v>
      </c>
      <c r="B109" s="5" t="str">
        <f>"10101011823"</f>
        <v>10101011823</v>
      </c>
      <c r="C109" s="6">
        <v>72</v>
      </c>
      <c r="D109" s="7">
        <v>107</v>
      </c>
      <c r="E109" s="8"/>
    </row>
    <row r="110" s="1" customFormat="1" ht="18" customHeight="1" spans="1:5">
      <c r="A110" s="5" t="str">
        <f>"陈家花"</f>
        <v>陈家花</v>
      </c>
      <c r="B110" s="5" t="str">
        <f>"10101011829"</f>
        <v>10101011829</v>
      </c>
      <c r="C110" s="6">
        <v>72</v>
      </c>
      <c r="D110" s="7">
        <v>108</v>
      </c>
      <c r="E110" s="8"/>
    </row>
    <row r="111" s="1" customFormat="1" ht="18" customHeight="1" spans="1:5">
      <c r="A111" s="5" t="str">
        <f>"李广娜"</f>
        <v>李广娜</v>
      </c>
      <c r="B111" s="5" t="str">
        <f>"10101012002"</f>
        <v>10101012002</v>
      </c>
      <c r="C111" s="6">
        <v>72</v>
      </c>
      <c r="D111" s="7">
        <v>109</v>
      </c>
      <c r="E111" s="8"/>
    </row>
    <row r="112" s="1" customFormat="1" ht="18" customHeight="1" spans="1:5">
      <c r="A112" s="5" t="str">
        <f>"王兴敏"</f>
        <v>王兴敏</v>
      </c>
      <c r="B112" s="5" t="str">
        <f>"10101010126"</f>
        <v>10101010126</v>
      </c>
      <c r="C112" s="6">
        <v>71</v>
      </c>
      <c r="D112" s="7">
        <v>110</v>
      </c>
      <c r="E112" s="8"/>
    </row>
    <row r="113" s="1" customFormat="1" ht="18" customHeight="1" spans="1:5">
      <c r="A113" s="5" t="str">
        <f>"赵恰"</f>
        <v>赵恰</v>
      </c>
      <c r="B113" s="5" t="str">
        <f>"10101010229"</f>
        <v>10101010229</v>
      </c>
      <c r="C113" s="6">
        <v>71</v>
      </c>
      <c r="D113" s="7">
        <v>111</v>
      </c>
      <c r="E113" s="8"/>
    </row>
    <row r="114" s="1" customFormat="1" ht="18" customHeight="1" spans="1:5">
      <c r="A114" s="5" t="str">
        <f>"刘美燕"</f>
        <v>刘美燕</v>
      </c>
      <c r="B114" s="5" t="str">
        <f>"10101010301"</f>
        <v>10101010301</v>
      </c>
      <c r="C114" s="6">
        <v>71</v>
      </c>
      <c r="D114" s="7">
        <v>112</v>
      </c>
      <c r="E114" s="8"/>
    </row>
    <row r="115" s="1" customFormat="1" ht="18" customHeight="1" spans="1:5">
      <c r="A115" s="5" t="str">
        <f>"钟孝艳"</f>
        <v>钟孝艳</v>
      </c>
      <c r="B115" s="5" t="str">
        <f>"10101010607"</f>
        <v>10101010607</v>
      </c>
      <c r="C115" s="6">
        <v>71</v>
      </c>
      <c r="D115" s="7">
        <v>113</v>
      </c>
      <c r="E115" s="8"/>
    </row>
    <row r="116" s="1" customFormat="1" ht="18" customHeight="1" spans="1:5">
      <c r="A116" s="5" t="str">
        <f>"符燕芯"</f>
        <v>符燕芯</v>
      </c>
      <c r="B116" s="5" t="str">
        <f>"10101010616"</f>
        <v>10101010616</v>
      </c>
      <c r="C116" s="6">
        <v>71</v>
      </c>
      <c r="D116" s="7">
        <v>114</v>
      </c>
      <c r="E116" s="8"/>
    </row>
    <row r="117" s="1" customFormat="1" ht="18" customHeight="1" spans="1:5">
      <c r="A117" s="5" t="str">
        <f>"陈月英"</f>
        <v>陈月英</v>
      </c>
      <c r="B117" s="5" t="str">
        <f>"10101010620"</f>
        <v>10101010620</v>
      </c>
      <c r="C117" s="6">
        <v>71</v>
      </c>
      <c r="D117" s="7">
        <v>115</v>
      </c>
      <c r="E117" s="8"/>
    </row>
    <row r="118" s="1" customFormat="1" ht="18" customHeight="1" spans="1:5">
      <c r="A118" s="5" t="str">
        <f>"陈泰慧"</f>
        <v>陈泰慧</v>
      </c>
      <c r="B118" s="5" t="str">
        <f>"10101010625"</f>
        <v>10101010625</v>
      </c>
      <c r="C118" s="6">
        <v>71</v>
      </c>
      <c r="D118" s="7">
        <v>116</v>
      </c>
      <c r="E118" s="8"/>
    </row>
    <row r="119" s="1" customFormat="1" ht="18" customHeight="1" spans="1:5">
      <c r="A119" s="5" t="str">
        <f>"符运婷"</f>
        <v>符运婷</v>
      </c>
      <c r="B119" s="5" t="str">
        <f>"10101010711"</f>
        <v>10101010711</v>
      </c>
      <c r="C119" s="6">
        <v>71</v>
      </c>
      <c r="D119" s="7">
        <v>117</v>
      </c>
      <c r="E119" s="8"/>
    </row>
    <row r="120" s="1" customFormat="1" ht="18" customHeight="1" spans="1:5">
      <c r="A120" s="5" t="str">
        <f>"欧哲玲"</f>
        <v>欧哲玲</v>
      </c>
      <c r="B120" s="5" t="str">
        <f>"10101011004"</f>
        <v>10101011004</v>
      </c>
      <c r="C120" s="6">
        <v>71</v>
      </c>
      <c r="D120" s="7">
        <v>118</v>
      </c>
      <c r="E120" s="8"/>
    </row>
    <row r="121" s="1" customFormat="1" ht="18" customHeight="1" spans="1:5">
      <c r="A121" s="5" t="str">
        <f>"李怡"</f>
        <v>李怡</v>
      </c>
      <c r="B121" s="5" t="str">
        <f>"10101011024"</f>
        <v>10101011024</v>
      </c>
      <c r="C121" s="6">
        <v>71</v>
      </c>
      <c r="D121" s="7">
        <v>119</v>
      </c>
      <c r="E121" s="8"/>
    </row>
    <row r="122" s="1" customFormat="1" ht="18" customHeight="1" spans="1:5">
      <c r="A122" s="5" t="str">
        <f>"王基霞"</f>
        <v>王基霞</v>
      </c>
      <c r="B122" s="5" t="str">
        <f>"10101011104"</f>
        <v>10101011104</v>
      </c>
      <c r="C122" s="6">
        <v>71</v>
      </c>
      <c r="D122" s="7">
        <v>120</v>
      </c>
      <c r="E122" s="8"/>
    </row>
    <row r="123" s="1" customFormat="1" ht="18" customHeight="1" spans="1:5">
      <c r="A123" s="5" t="str">
        <f>"卢霞"</f>
        <v>卢霞</v>
      </c>
      <c r="B123" s="5" t="str">
        <f>"10101011506"</f>
        <v>10101011506</v>
      </c>
      <c r="C123" s="6">
        <v>71</v>
      </c>
      <c r="D123" s="7">
        <v>121</v>
      </c>
      <c r="E123" s="8"/>
    </row>
    <row r="124" s="1" customFormat="1" ht="18" customHeight="1" spans="1:5">
      <c r="A124" s="5" t="str">
        <f>"周倩"</f>
        <v>周倩</v>
      </c>
      <c r="B124" s="5" t="str">
        <f>"10101011622"</f>
        <v>10101011622</v>
      </c>
      <c r="C124" s="6">
        <v>71</v>
      </c>
      <c r="D124" s="7">
        <v>122</v>
      </c>
      <c r="E124" s="8"/>
    </row>
    <row r="125" s="1" customFormat="1" ht="18" customHeight="1" spans="1:5">
      <c r="A125" s="5" t="str">
        <f>"汤美珍"</f>
        <v>汤美珍</v>
      </c>
      <c r="B125" s="5" t="str">
        <f>"10101011802"</f>
        <v>10101011802</v>
      </c>
      <c r="C125" s="6">
        <v>71</v>
      </c>
      <c r="D125" s="7">
        <v>123</v>
      </c>
      <c r="E125" s="8"/>
    </row>
    <row r="126" s="1" customFormat="1" ht="18" customHeight="1" spans="1:5">
      <c r="A126" s="5" t="str">
        <f>"郑孟程"</f>
        <v>郑孟程</v>
      </c>
      <c r="B126" s="5" t="str">
        <f>"10101010216"</f>
        <v>10101010216</v>
      </c>
      <c r="C126" s="6">
        <v>70</v>
      </c>
      <c r="D126" s="7">
        <v>124</v>
      </c>
      <c r="E126" s="8"/>
    </row>
    <row r="127" s="1" customFormat="1" ht="18" customHeight="1" spans="1:5">
      <c r="A127" s="5" t="str">
        <f>"麦祖妃"</f>
        <v>麦祖妃</v>
      </c>
      <c r="B127" s="5" t="str">
        <f>"10101010323"</f>
        <v>10101010323</v>
      </c>
      <c r="C127" s="6">
        <v>70</v>
      </c>
      <c r="D127" s="7">
        <v>125</v>
      </c>
      <c r="E127" s="8"/>
    </row>
    <row r="128" s="1" customFormat="1" ht="18" customHeight="1" spans="1:5">
      <c r="A128" s="5" t="str">
        <f>"倪月霞"</f>
        <v>倪月霞</v>
      </c>
      <c r="B128" s="5" t="str">
        <f>"10101010505"</f>
        <v>10101010505</v>
      </c>
      <c r="C128" s="6">
        <v>70</v>
      </c>
      <c r="D128" s="7">
        <v>126</v>
      </c>
      <c r="E128" s="8"/>
    </row>
    <row r="129" s="1" customFormat="1" ht="18" customHeight="1" spans="1:5">
      <c r="A129" s="5" t="str">
        <f>"赵彩霞"</f>
        <v>赵彩霞</v>
      </c>
      <c r="B129" s="5" t="str">
        <f>"10101010524"</f>
        <v>10101010524</v>
      </c>
      <c r="C129" s="6">
        <v>70</v>
      </c>
      <c r="D129" s="7">
        <v>127</v>
      </c>
      <c r="E129" s="8"/>
    </row>
    <row r="130" s="1" customFormat="1" ht="18" customHeight="1" spans="1:5">
      <c r="A130" s="5" t="str">
        <f>"黄慧"</f>
        <v>黄慧</v>
      </c>
      <c r="B130" s="5" t="str">
        <f>"10101010610"</f>
        <v>10101010610</v>
      </c>
      <c r="C130" s="6">
        <v>70</v>
      </c>
      <c r="D130" s="7">
        <v>128</v>
      </c>
      <c r="E130" s="8"/>
    </row>
    <row r="131" s="1" customFormat="1" ht="18" customHeight="1" spans="1:5">
      <c r="A131" s="5" t="str">
        <f>"张波丽"</f>
        <v>张波丽</v>
      </c>
      <c r="B131" s="5" t="str">
        <f>"10101010710"</f>
        <v>10101010710</v>
      </c>
      <c r="C131" s="6">
        <v>70</v>
      </c>
      <c r="D131" s="7">
        <v>129</v>
      </c>
      <c r="E131" s="8"/>
    </row>
    <row r="132" s="1" customFormat="1" ht="18" customHeight="1" spans="1:5">
      <c r="A132" s="5" t="str">
        <f>"麦名春"</f>
        <v>麦名春</v>
      </c>
      <c r="B132" s="5" t="str">
        <f>"10101011016"</f>
        <v>10101011016</v>
      </c>
      <c r="C132" s="6">
        <v>70</v>
      </c>
      <c r="D132" s="7">
        <v>130</v>
      </c>
      <c r="E132" s="8"/>
    </row>
    <row r="133" s="1" customFormat="1" ht="18" customHeight="1" spans="1:5">
      <c r="A133" s="5" t="str">
        <f>"李涛"</f>
        <v>李涛</v>
      </c>
      <c r="B133" s="5" t="str">
        <f>"10101011030"</f>
        <v>10101011030</v>
      </c>
      <c r="C133" s="6">
        <v>70</v>
      </c>
      <c r="D133" s="7">
        <v>131</v>
      </c>
      <c r="E133" s="8"/>
    </row>
    <row r="134" s="1" customFormat="1" ht="18" customHeight="1" spans="1:5">
      <c r="A134" s="5" t="str">
        <f>"符翁恩"</f>
        <v>符翁恩</v>
      </c>
      <c r="B134" s="5" t="str">
        <f>"10101011114"</f>
        <v>10101011114</v>
      </c>
      <c r="C134" s="6">
        <v>70</v>
      </c>
      <c r="D134" s="7">
        <v>132</v>
      </c>
      <c r="E134" s="8"/>
    </row>
    <row r="135" s="1" customFormat="1" ht="18" customHeight="1" spans="1:5">
      <c r="A135" s="5" t="str">
        <f>"杨莲"</f>
        <v>杨莲</v>
      </c>
      <c r="B135" s="5" t="str">
        <f>"10101011406"</f>
        <v>10101011406</v>
      </c>
      <c r="C135" s="6">
        <v>70</v>
      </c>
      <c r="D135" s="7">
        <v>133</v>
      </c>
      <c r="E135" s="8"/>
    </row>
    <row r="136" s="1" customFormat="1" ht="18" customHeight="1" spans="1:5">
      <c r="A136" s="5" t="str">
        <f>"符家研"</f>
        <v>符家研</v>
      </c>
      <c r="B136" s="5" t="str">
        <f>"10101011502"</f>
        <v>10101011502</v>
      </c>
      <c r="C136" s="6">
        <v>70</v>
      </c>
      <c r="D136" s="7">
        <v>134</v>
      </c>
      <c r="E136" s="8"/>
    </row>
    <row r="137" s="1" customFormat="1" ht="18" customHeight="1" spans="1:5">
      <c r="A137" s="5" t="str">
        <f>"苏明霞"</f>
        <v>苏明霞</v>
      </c>
      <c r="B137" s="5" t="str">
        <f>"10101011629"</f>
        <v>10101011629</v>
      </c>
      <c r="C137" s="6">
        <v>70</v>
      </c>
      <c r="D137" s="7">
        <v>135</v>
      </c>
      <c r="E137" s="8"/>
    </row>
    <row r="138" s="1" customFormat="1" ht="18" customHeight="1" spans="1:5">
      <c r="A138" s="5" t="str">
        <f>"赵少凤"</f>
        <v>赵少凤</v>
      </c>
      <c r="B138" s="5" t="str">
        <f>"10101011807"</f>
        <v>10101011807</v>
      </c>
      <c r="C138" s="6">
        <v>70</v>
      </c>
      <c r="D138" s="7">
        <v>136</v>
      </c>
      <c r="E138" s="8"/>
    </row>
    <row r="139" s="1" customFormat="1" ht="18" customHeight="1" spans="1:5">
      <c r="A139" s="5" t="str">
        <f>"李日珠"</f>
        <v>李日珠</v>
      </c>
      <c r="B139" s="5" t="str">
        <f>"10101012001"</f>
        <v>10101012001</v>
      </c>
      <c r="C139" s="6">
        <v>70</v>
      </c>
      <c r="D139" s="7">
        <v>137</v>
      </c>
      <c r="E139" s="8"/>
    </row>
    <row r="140" s="1" customFormat="1" ht="18" customHeight="1" spans="1:5">
      <c r="A140" s="5" t="str">
        <f>"秦珍"</f>
        <v>秦珍</v>
      </c>
      <c r="B140" s="5" t="str">
        <f>"10101010102"</f>
        <v>10101010102</v>
      </c>
      <c r="C140" s="6">
        <v>69</v>
      </c>
      <c r="D140" s="7">
        <v>138</v>
      </c>
      <c r="E140" s="8"/>
    </row>
    <row r="141" s="1" customFormat="1" ht="18" customHeight="1" spans="1:5">
      <c r="A141" s="5" t="str">
        <f>"刘君"</f>
        <v>刘君</v>
      </c>
      <c r="B141" s="5" t="str">
        <f>"10101010120"</f>
        <v>10101010120</v>
      </c>
      <c r="C141" s="6">
        <v>69</v>
      </c>
      <c r="D141" s="7">
        <v>139</v>
      </c>
      <c r="E141" s="8"/>
    </row>
    <row r="142" s="1" customFormat="1" ht="18" customHeight="1" spans="1:5">
      <c r="A142" s="5" t="str">
        <f>"黄小芳"</f>
        <v>黄小芳</v>
      </c>
      <c r="B142" s="5" t="str">
        <f>"10101010203"</f>
        <v>10101010203</v>
      </c>
      <c r="C142" s="6">
        <v>69</v>
      </c>
      <c r="D142" s="7">
        <v>140</v>
      </c>
      <c r="E142" s="8"/>
    </row>
    <row r="143" s="1" customFormat="1" ht="18" customHeight="1" spans="1:5">
      <c r="A143" s="5" t="str">
        <f>"梁妃"</f>
        <v>梁妃</v>
      </c>
      <c r="B143" s="5" t="str">
        <f>"10101010206"</f>
        <v>10101010206</v>
      </c>
      <c r="C143" s="6">
        <v>69</v>
      </c>
      <c r="D143" s="7">
        <v>141</v>
      </c>
      <c r="E143" s="8"/>
    </row>
    <row r="144" s="1" customFormat="1" ht="18" customHeight="1" spans="1:5">
      <c r="A144" s="5" t="str">
        <f>"孙子祎"</f>
        <v>孙子祎</v>
      </c>
      <c r="B144" s="5" t="str">
        <f>"10101010228"</f>
        <v>10101010228</v>
      </c>
      <c r="C144" s="6">
        <v>69</v>
      </c>
      <c r="D144" s="7">
        <v>142</v>
      </c>
      <c r="E144" s="8"/>
    </row>
    <row r="145" s="1" customFormat="1" ht="18" customHeight="1" spans="1:5">
      <c r="A145" s="5" t="str">
        <f>"唐明艳"</f>
        <v>唐明艳</v>
      </c>
      <c r="B145" s="5" t="str">
        <f>"10101010605"</f>
        <v>10101010605</v>
      </c>
      <c r="C145" s="6">
        <v>69</v>
      </c>
      <c r="D145" s="7">
        <v>143</v>
      </c>
      <c r="E145" s="8"/>
    </row>
    <row r="146" s="1" customFormat="1" ht="18" customHeight="1" spans="1:5">
      <c r="A146" s="5" t="str">
        <f>"周海珠"</f>
        <v>周海珠</v>
      </c>
      <c r="B146" s="5" t="str">
        <f>"10101010722"</f>
        <v>10101010722</v>
      </c>
      <c r="C146" s="6">
        <v>69</v>
      </c>
      <c r="D146" s="7">
        <v>144</v>
      </c>
      <c r="E146" s="8"/>
    </row>
    <row r="147" s="1" customFormat="1" ht="18" customHeight="1" spans="1:5">
      <c r="A147" s="5" t="str">
        <f>"谭俞梅"</f>
        <v>谭俞梅</v>
      </c>
      <c r="B147" s="5" t="str">
        <f>"10101010917"</f>
        <v>10101010917</v>
      </c>
      <c r="C147" s="6">
        <v>69</v>
      </c>
      <c r="D147" s="7">
        <v>145</v>
      </c>
      <c r="E147" s="8"/>
    </row>
    <row r="148" s="1" customFormat="1" ht="18" customHeight="1" spans="1:5">
      <c r="A148" s="5" t="str">
        <f>"李燕婷"</f>
        <v>李燕婷</v>
      </c>
      <c r="B148" s="5" t="str">
        <f>"10101010930"</f>
        <v>10101010930</v>
      </c>
      <c r="C148" s="6">
        <v>69</v>
      </c>
      <c r="D148" s="7">
        <v>146</v>
      </c>
      <c r="E148" s="8"/>
    </row>
    <row r="149" s="1" customFormat="1" ht="18" customHeight="1" spans="1:5">
      <c r="A149" s="5" t="str">
        <f>"秦少珠"</f>
        <v>秦少珠</v>
      </c>
      <c r="B149" s="5" t="str">
        <f>"10101011205"</f>
        <v>10101011205</v>
      </c>
      <c r="C149" s="6">
        <v>69</v>
      </c>
      <c r="D149" s="7">
        <v>147</v>
      </c>
      <c r="E149" s="8"/>
    </row>
    <row r="150" s="1" customFormat="1" ht="18" customHeight="1" spans="1:5">
      <c r="A150" s="5" t="str">
        <f>"郭教丽"</f>
        <v>郭教丽</v>
      </c>
      <c r="B150" s="5" t="str">
        <f>"10101011420"</f>
        <v>10101011420</v>
      </c>
      <c r="C150" s="6">
        <v>69</v>
      </c>
      <c r="D150" s="7">
        <v>148</v>
      </c>
      <c r="E150" s="8"/>
    </row>
    <row r="151" s="1" customFormat="1" ht="18" customHeight="1" spans="1:5">
      <c r="A151" s="5" t="str">
        <f>"赵诗惠"</f>
        <v>赵诗惠</v>
      </c>
      <c r="B151" s="5" t="str">
        <f>"10101011530"</f>
        <v>10101011530</v>
      </c>
      <c r="C151" s="6">
        <v>69</v>
      </c>
      <c r="D151" s="7">
        <v>149</v>
      </c>
      <c r="E151" s="8"/>
    </row>
    <row r="152" s="1" customFormat="1" ht="18" customHeight="1" spans="1:5">
      <c r="A152" s="5" t="str">
        <f>"赵海茵"</f>
        <v>赵海茵</v>
      </c>
      <c r="B152" s="5" t="str">
        <f>"10101011729"</f>
        <v>10101011729</v>
      </c>
      <c r="C152" s="6">
        <v>69</v>
      </c>
      <c r="D152" s="7">
        <v>150</v>
      </c>
      <c r="E152" s="8"/>
    </row>
    <row r="153" s="1" customFormat="1" ht="18" customHeight="1" spans="1:5">
      <c r="A153" s="5" t="str">
        <f>"高元霞"</f>
        <v>高元霞</v>
      </c>
      <c r="B153" s="5" t="str">
        <f>"10101010123"</f>
        <v>10101010123</v>
      </c>
      <c r="C153" s="6">
        <v>68</v>
      </c>
      <c r="D153" s="7">
        <v>151</v>
      </c>
      <c r="E153" s="8"/>
    </row>
    <row r="154" s="1" customFormat="1" ht="18" customHeight="1" spans="1:5">
      <c r="A154" s="5" t="str">
        <f>"吴永娜"</f>
        <v>吴永娜</v>
      </c>
      <c r="B154" s="5" t="str">
        <f>"10101010225"</f>
        <v>10101010225</v>
      </c>
      <c r="C154" s="6">
        <v>68</v>
      </c>
      <c r="D154" s="7">
        <v>152</v>
      </c>
      <c r="E154" s="8"/>
    </row>
    <row r="155" s="1" customFormat="1" ht="18" customHeight="1" spans="1:5">
      <c r="A155" s="5" t="str">
        <f>"谢春"</f>
        <v>谢春</v>
      </c>
      <c r="B155" s="5" t="str">
        <f>"10101010814"</f>
        <v>10101010814</v>
      </c>
      <c r="C155" s="6">
        <v>68</v>
      </c>
      <c r="D155" s="7">
        <v>153</v>
      </c>
      <c r="E155" s="8"/>
    </row>
    <row r="156" s="1" customFormat="1" ht="18" customHeight="1" spans="1:5">
      <c r="A156" s="5" t="str">
        <f>"卞惟芬"</f>
        <v>卞惟芬</v>
      </c>
      <c r="B156" s="5" t="str">
        <f>"10101010830"</f>
        <v>10101010830</v>
      </c>
      <c r="C156" s="6">
        <v>68</v>
      </c>
      <c r="D156" s="7">
        <v>154</v>
      </c>
      <c r="E156" s="8"/>
    </row>
    <row r="157" s="1" customFormat="1" ht="18" customHeight="1" spans="1:5">
      <c r="A157" s="5" t="str">
        <f>"符丽丹"</f>
        <v>符丽丹</v>
      </c>
      <c r="B157" s="5" t="str">
        <f>"10101010908"</f>
        <v>10101010908</v>
      </c>
      <c r="C157" s="6">
        <v>68</v>
      </c>
      <c r="D157" s="7">
        <v>155</v>
      </c>
      <c r="E157" s="8"/>
    </row>
    <row r="158" s="1" customFormat="1" ht="18" customHeight="1" spans="1:5">
      <c r="A158" s="5" t="str">
        <f>"吴文香"</f>
        <v>吴文香</v>
      </c>
      <c r="B158" s="5" t="str">
        <f>"10101010916"</f>
        <v>10101010916</v>
      </c>
      <c r="C158" s="6">
        <v>68</v>
      </c>
      <c r="D158" s="7">
        <v>156</v>
      </c>
      <c r="E158" s="8"/>
    </row>
    <row r="159" s="1" customFormat="1" ht="18" customHeight="1" spans="1:5">
      <c r="A159" s="5" t="str">
        <f>"唐应玉"</f>
        <v>唐应玉</v>
      </c>
      <c r="B159" s="5" t="str">
        <f>"10101011010"</f>
        <v>10101011010</v>
      </c>
      <c r="C159" s="6">
        <v>68</v>
      </c>
      <c r="D159" s="7">
        <v>157</v>
      </c>
      <c r="E159" s="8"/>
    </row>
    <row r="160" s="1" customFormat="1" ht="18" customHeight="1" spans="1:5">
      <c r="A160" s="5" t="str">
        <f>"张小琴"</f>
        <v>张小琴</v>
      </c>
      <c r="B160" s="5" t="str">
        <f>"10101011113"</f>
        <v>10101011113</v>
      </c>
      <c r="C160" s="6">
        <v>68</v>
      </c>
      <c r="D160" s="7">
        <v>158</v>
      </c>
      <c r="E160" s="8"/>
    </row>
    <row r="161" s="1" customFormat="1" ht="18" customHeight="1" spans="1:5">
      <c r="A161" s="5" t="str">
        <f>"符秋仙"</f>
        <v>符秋仙</v>
      </c>
      <c r="B161" s="5" t="str">
        <f>"10101011206"</f>
        <v>10101011206</v>
      </c>
      <c r="C161" s="6">
        <v>68</v>
      </c>
      <c r="D161" s="7">
        <v>159</v>
      </c>
      <c r="E161" s="8"/>
    </row>
    <row r="162" s="1" customFormat="1" ht="18" customHeight="1" spans="1:5">
      <c r="A162" s="5" t="str">
        <f>"胡正为"</f>
        <v>胡正为</v>
      </c>
      <c r="B162" s="5" t="str">
        <f>"10101011211"</f>
        <v>10101011211</v>
      </c>
      <c r="C162" s="6">
        <v>68</v>
      </c>
      <c r="D162" s="7">
        <v>160</v>
      </c>
      <c r="E162" s="8"/>
    </row>
    <row r="163" s="1" customFormat="1" ht="18" customHeight="1" spans="1:5">
      <c r="A163" s="5" t="str">
        <f>"张达玲"</f>
        <v>张达玲</v>
      </c>
      <c r="B163" s="5" t="str">
        <f>"10101011416"</f>
        <v>10101011416</v>
      </c>
      <c r="C163" s="6">
        <v>68</v>
      </c>
      <c r="D163" s="7">
        <v>161</v>
      </c>
      <c r="E163" s="8"/>
    </row>
    <row r="164" s="1" customFormat="1" ht="18" customHeight="1" spans="1:5">
      <c r="A164" s="5" t="str">
        <f>"王斯"</f>
        <v>王斯</v>
      </c>
      <c r="B164" s="5" t="str">
        <f>"10101011805"</f>
        <v>10101011805</v>
      </c>
      <c r="C164" s="6">
        <v>68</v>
      </c>
      <c r="D164" s="7">
        <v>162</v>
      </c>
      <c r="E164" s="8"/>
    </row>
    <row r="165" s="1" customFormat="1" ht="18" customHeight="1" spans="1:5">
      <c r="A165" s="5" t="str">
        <f>"何威星"</f>
        <v>何威星</v>
      </c>
      <c r="B165" s="5" t="str">
        <f>"10101011826"</f>
        <v>10101011826</v>
      </c>
      <c r="C165" s="6">
        <v>68</v>
      </c>
      <c r="D165" s="7">
        <v>163</v>
      </c>
      <c r="E165" s="8"/>
    </row>
    <row r="166" s="1" customFormat="1" ht="18" customHeight="1" spans="1:5">
      <c r="A166" s="5" t="str">
        <f>"苏家蕊"</f>
        <v>苏家蕊</v>
      </c>
      <c r="B166" s="5" t="str">
        <f>"10101011907"</f>
        <v>10101011907</v>
      </c>
      <c r="C166" s="6">
        <v>68</v>
      </c>
      <c r="D166" s="7">
        <v>164</v>
      </c>
      <c r="E166" s="8"/>
    </row>
    <row r="167" s="1" customFormat="1" ht="18" customHeight="1" spans="1:5">
      <c r="A167" s="5" t="str">
        <f>"唐找勇"</f>
        <v>唐找勇</v>
      </c>
      <c r="B167" s="5" t="str">
        <f>"10101010209"</f>
        <v>10101010209</v>
      </c>
      <c r="C167" s="6">
        <v>67</v>
      </c>
      <c r="D167" s="7">
        <v>165</v>
      </c>
      <c r="E167" s="8"/>
    </row>
    <row r="168" s="1" customFormat="1" ht="18" customHeight="1" spans="1:5">
      <c r="A168" s="5" t="str">
        <f>"符孙梅"</f>
        <v>符孙梅</v>
      </c>
      <c r="B168" s="5" t="str">
        <f>"10101010302"</f>
        <v>10101010302</v>
      </c>
      <c r="C168" s="6">
        <v>67</v>
      </c>
      <c r="D168" s="7">
        <v>166</v>
      </c>
      <c r="E168" s="8"/>
    </row>
    <row r="169" s="1" customFormat="1" ht="18" customHeight="1" spans="1:5">
      <c r="A169" s="5" t="str">
        <f>"苏秋棠"</f>
        <v>苏秋棠</v>
      </c>
      <c r="B169" s="5" t="str">
        <f>"10101010304"</f>
        <v>10101010304</v>
      </c>
      <c r="C169" s="6">
        <v>67</v>
      </c>
      <c r="D169" s="7">
        <v>167</v>
      </c>
      <c r="E169" s="8"/>
    </row>
    <row r="170" s="1" customFormat="1" ht="18" customHeight="1" spans="1:5">
      <c r="A170" s="5" t="str">
        <f>"林芳"</f>
        <v>林芳</v>
      </c>
      <c r="B170" s="5" t="str">
        <f>"10101010406"</f>
        <v>10101010406</v>
      </c>
      <c r="C170" s="6">
        <v>67</v>
      </c>
      <c r="D170" s="7">
        <v>168</v>
      </c>
      <c r="E170" s="8"/>
    </row>
    <row r="171" s="1" customFormat="1" ht="18" customHeight="1" spans="1:5">
      <c r="A171" s="5" t="str">
        <f>"赖玉利"</f>
        <v>赖玉利</v>
      </c>
      <c r="B171" s="5" t="str">
        <f>"10101010407"</f>
        <v>10101010407</v>
      </c>
      <c r="C171" s="6">
        <v>67</v>
      </c>
      <c r="D171" s="7">
        <v>169</v>
      </c>
      <c r="E171" s="8"/>
    </row>
    <row r="172" s="1" customFormat="1" ht="18" customHeight="1" spans="1:5">
      <c r="A172" s="5" t="str">
        <f>"唐小妹"</f>
        <v>唐小妹</v>
      </c>
      <c r="B172" s="5" t="str">
        <f>"10101010820"</f>
        <v>10101010820</v>
      </c>
      <c r="C172" s="6">
        <v>67</v>
      </c>
      <c r="D172" s="7">
        <v>170</v>
      </c>
      <c r="E172" s="8"/>
    </row>
    <row r="173" s="1" customFormat="1" ht="18" customHeight="1" spans="1:5">
      <c r="A173" s="5" t="str">
        <f>"王嘉仪"</f>
        <v>王嘉仪</v>
      </c>
      <c r="B173" s="5" t="str">
        <f>"10101010822"</f>
        <v>10101010822</v>
      </c>
      <c r="C173" s="6">
        <v>67</v>
      </c>
      <c r="D173" s="7">
        <v>171</v>
      </c>
      <c r="E173" s="8"/>
    </row>
    <row r="174" s="1" customFormat="1" ht="18" customHeight="1" spans="1:5">
      <c r="A174" s="5" t="str">
        <f>"张兰娟"</f>
        <v>张兰娟</v>
      </c>
      <c r="B174" s="5" t="str">
        <f>"10101010829"</f>
        <v>10101010829</v>
      </c>
      <c r="C174" s="6">
        <v>67</v>
      </c>
      <c r="D174" s="7">
        <v>172</v>
      </c>
      <c r="E174" s="8"/>
    </row>
    <row r="175" s="1" customFormat="1" ht="18" customHeight="1" spans="1:5">
      <c r="A175" s="5" t="str">
        <f>"符梅喜"</f>
        <v>符梅喜</v>
      </c>
      <c r="B175" s="5" t="str">
        <f>"10101011125"</f>
        <v>10101011125</v>
      </c>
      <c r="C175" s="6">
        <v>67</v>
      </c>
      <c r="D175" s="7">
        <v>173</v>
      </c>
      <c r="E175" s="8"/>
    </row>
    <row r="176" s="1" customFormat="1" ht="18" customHeight="1" spans="1:5">
      <c r="A176" s="5" t="str">
        <f>"文英玲"</f>
        <v>文英玲</v>
      </c>
      <c r="B176" s="5" t="str">
        <f>"10101011509"</f>
        <v>10101011509</v>
      </c>
      <c r="C176" s="6">
        <v>67</v>
      </c>
      <c r="D176" s="7">
        <v>174</v>
      </c>
      <c r="E176" s="8"/>
    </row>
    <row r="177" s="1" customFormat="1" ht="18" customHeight="1" spans="1:5">
      <c r="A177" s="5" t="str">
        <f>"符阿妹"</f>
        <v>符阿妹</v>
      </c>
      <c r="B177" s="5" t="str">
        <f>"10101011513"</f>
        <v>10101011513</v>
      </c>
      <c r="C177" s="6">
        <v>67</v>
      </c>
      <c r="D177" s="7">
        <v>175</v>
      </c>
      <c r="E177" s="8"/>
    </row>
    <row r="178" s="1" customFormat="1" ht="18" customHeight="1" spans="1:5">
      <c r="A178" s="5" t="str">
        <f>"文传音"</f>
        <v>文传音</v>
      </c>
      <c r="B178" s="5" t="str">
        <f>"10101011809"</f>
        <v>10101011809</v>
      </c>
      <c r="C178" s="6">
        <v>67</v>
      </c>
      <c r="D178" s="7">
        <v>176</v>
      </c>
      <c r="E178" s="8"/>
    </row>
    <row r="179" s="1" customFormat="1" ht="18" customHeight="1" spans="1:5">
      <c r="A179" s="5" t="str">
        <f>"符雪丹"</f>
        <v>符雪丹</v>
      </c>
      <c r="B179" s="5" t="str">
        <f>"10101011903"</f>
        <v>10101011903</v>
      </c>
      <c r="C179" s="6">
        <v>67</v>
      </c>
      <c r="D179" s="7">
        <v>177</v>
      </c>
      <c r="E179" s="8"/>
    </row>
    <row r="180" s="1" customFormat="1" ht="18" customHeight="1" spans="1:5">
      <c r="A180" s="5" t="str">
        <f>"符金洁"</f>
        <v>符金洁</v>
      </c>
      <c r="B180" s="5" t="str">
        <f>"10101011905"</f>
        <v>10101011905</v>
      </c>
      <c r="C180" s="6">
        <v>67</v>
      </c>
      <c r="D180" s="7">
        <v>178</v>
      </c>
      <c r="E180" s="8"/>
    </row>
    <row r="181" s="1" customFormat="1" ht="18" customHeight="1" spans="1:5">
      <c r="A181" s="5" t="str">
        <f>"陈谊"</f>
        <v>陈谊</v>
      </c>
      <c r="B181" s="5" t="str">
        <f>"10101010128"</f>
        <v>10101010128</v>
      </c>
      <c r="C181" s="6">
        <v>66</v>
      </c>
      <c r="D181" s="7">
        <v>179</v>
      </c>
      <c r="E181" s="8"/>
    </row>
    <row r="182" s="1" customFormat="1" ht="18" customHeight="1" spans="1:5">
      <c r="A182" s="5" t="str">
        <f>"高元青"</f>
        <v>高元青</v>
      </c>
      <c r="B182" s="5" t="str">
        <f>"10101010208"</f>
        <v>10101010208</v>
      </c>
      <c r="C182" s="6">
        <v>66</v>
      </c>
      <c r="D182" s="7">
        <v>180</v>
      </c>
      <c r="E182" s="8"/>
    </row>
    <row r="183" s="1" customFormat="1" ht="18" customHeight="1" spans="1:5">
      <c r="A183" s="5" t="str">
        <f>"张夏梅"</f>
        <v>张夏梅</v>
      </c>
      <c r="B183" s="5" t="str">
        <f>"10101010318"</f>
        <v>10101010318</v>
      </c>
      <c r="C183" s="6">
        <v>66</v>
      </c>
      <c r="D183" s="7">
        <v>181</v>
      </c>
      <c r="E183" s="8"/>
    </row>
    <row r="184" s="1" customFormat="1" ht="18" customHeight="1" spans="1:5">
      <c r="A184" s="5" t="str">
        <f>"蒙雨菲"</f>
        <v>蒙雨菲</v>
      </c>
      <c r="B184" s="5" t="str">
        <f>"10101010326"</f>
        <v>10101010326</v>
      </c>
      <c r="C184" s="6">
        <v>66</v>
      </c>
      <c r="D184" s="7">
        <v>182</v>
      </c>
      <c r="E184" s="8"/>
    </row>
    <row r="185" s="1" customFormat="1" ht="18" customHeight="1" spans="1:5">
      <c r="A185" s="5" t="str">
        <f>"符有伞"</f>
        <v>符有伞</v>
      </c>
      <c r="B185" s="5" t="str">
        <f>"10101010528"</f>
        <v>10101010528</v>
      </c>
      <c r="C185" s="6">
        <v>66</v>
      </c>
      <c r="D185" s="7">
        <v>183</v>
      </c>
      <c r="E185" s="8"/>
    </row>
    <row r="186" s="1" customFormat="1" ht="18" customHeight="1" spans="1:5">
      <c r="A186" s="5" t="str">
        <f>"陈玉"</f>
        <v>陈玉</v>
      </c>
      <c r="B186" s="5" t="str">
        <f>"10101010603"</f>
        <v>10101010603</v>
      </c>
      <c r="C186" s="6">
        <v>66</v>
      </c>
      <c r="D186" s="7">
        <v>184</v>
      </c>
      <c r="E186" s="8"/>
    </row>
    <row r="187" s="1" customFormat="1" ht="18" customHeight="1" spans="1:5">
      <c r="A187" s="5" t="str">
        <f>"罗素丽"</f>
        <v>罗素丽</v>
      </c>
      <c r="B187" s="5" t="str">
        <f>"10101010615"</f>
        <v>10101010615</v>
      </c>
      <c r="C187" s="6">
        <v>66</v>
      </c>
      <c r="D187" s="7">
        <v>185</v>
      </c>
      <c r="E187" s="8"/>
    </row>
    <row r="188" s="1" customFormat="1" ht="18" customHeight="1" spans="1:5">
      <c r="A188" s="5" t="str">
        <f>"吉秀莹"</f>
        <v>吉秀莹</v>
      </c>
      <c r="B188" s="5" t="str">
        <f>"10101010720"</f>
        <v>10101010720</v>
      </c>
      <c r="C188" s="6">
        <v>66</v>
      </c>
      <c r="D188" s="7">
        <v>186</v>
      </c>
      <c r="E188" s="8"/>
    </row>
    <row r="189" s="1" customFormat="1" ht="18" customHeight="1" spans="1:5">
      <c r="A189" s="5" t="str">
        <f>"李蒙爱"</f>
        <v>李蒙爱</v>
      </c>
      <c r="B189" s="5" t="str">
        <f>"10101010803"</f>
        <v>10101010803</v>
      </c>
      <c r="C189" s="6">
        <v>66</v>
      </c>
      <c r="D189" s="7">
        <v>187</v>
      </c>
      <c r="E189" s="8"/>
    </row>
    <row r="190" s="1" customFormat="1" ht="18" customHeight="1" spans="1:5">
      <c r="A190" s="5" t="str">
        <f>"岑选美"</f>
        <v>岑选美</v>
      </c>
      <c r="B190" s="5" t="str">
        <f>"10101010805"</f>
        <v>10101010805</v>
      </c>
      <c r="C190" s="6">
        <v>66</v>
      </c>
      <c r="D190" s="7">
        <v>188</v>
      </c>
      <c r="E190" s="8"/>
    </row>
    <row r="191" s="1" customFormat="1" ht="18" customHeight="1" spans="1:5">
      <c r="A191" s="5" t="str">
        <f>"梁小丽"</f>
        <v>梁小丽</v>
      </c>
      <c r="B191" s="5" t="str">
        <f>"10101010806"</f>
        <v>10101010806</v>
      </c>
      <c r="C191" s="6">
        <v>66</v>
      </c>
      <c r="D191" s="7">
        <v>189</v>
      </c>
      <c r="E191" s="8"/>
    </row>
    <row r="192" s="1" customFormat="1" ht="18" customHeight="1" spans="1:5">
      <c r="A192" s="5" t="str">
        <f>"吉财丽"</f>
        <v>吉财丽</v>
      </c>
      <c r="B192" s="5" t="str">
        <f>"10101011017"</f>
        <v>10101011017</v>
      </c>
      <c r="C192" s="6">
        <v>66</v>
      </c>
      <c r="D192" s="7">
        <v>190</v>
      </c>
      <c r="E192" s="8"/>
    </row>
    <row r="193" s="1" customFormat="1" ht="18" customHeight="1" spans="1:5">
      <c r="A193" s="5" t="str">
        <f>"刘俊露"</f>
        <v>刘俊露</v>
      </c>
      <c r="B193" s="5" t="str">
        <f>"10101011203"</f>
        <v>10101011203</v>
      </c>
      <c r="C193" s="6">
        <v>66</v>
      </c>
      <c r="D193" s="7">
        <v>191</v>
      </c>
      <c r="E193" s="8"/>
    </row>
    <row r="194" s="1" customFormat="1" ht="18" customHeight="1" spans="1:5">
      <c r="A194" s="5" t="str">
        <f>"张海霞"</f>
        <v>张海霞</v>
      </c>
      <c r="B194" s="5" t="str">
        <f>"10101011212"</f>
        <v>10101011212</v>
      </c>
      <c r="C194" s="6">
        <v>66</v>
      </c>
      <c r="D194" s="7">
        <v>192</v>
      </c>
      <c r="E194" s="8"/>
    </row>
    <row r="195" s="1" customFormat="1" ht="18" customHeight="1" spans="1:5">
      <c r="A195" s="5" t="str">
        <f>"陈铭玲"</f>
        <v>陈铭玲</v>
      </c>
      <c r="B195" s="5" t="str">
        <f>"10101011311"</f>
        <v>10101011311</v>
      </c>
      <c r="C195" s="6">
        <v>66</v>
      </c>
      <c r="D195" s="7">
        <v>193</v>
      </c>
      <c r="E195" s="8"/>
    </row>
    <row r="196" s="1" customFormat="1" ht="18" customHeight="1" spans="1:5">
      <c r="A196" s="5" t="str">
        <f>"姚心利"</f>
        <v>姚心利</v>
      </c>
      <c r="B196" s="5" t="str">
        <f>"10101011320"</f>
        <v>10101011320</v>
      </c>
      <c r="C196" s="6">
        <v>66</v>
      </c>
      <c r="D196" s="7">
        <v>194</v>
      </c>
      <c r="E196" s="8"/>
    </row>
    <row r="197" s="1" customFormat="1" ht="18" customHeight="1" spans="1:5">
      <c r="A197" s="5" t="str">
        <f>"周家芳"</f>
        <v>周家芳</v>
      </c>
      <c r="B197" s="5" t="str">
        <f>"10101011321"</f>
        <v>10101011321</v>
      </c>
      <c r="C197" s="6">
        <v>66</v>
      </c>
      <c r="D197" s="7">
        <v>195</v>
      </c>
      <c r="E197" s="8"/>
    </row>
    <row r="198" s="1" customFormat="1" ht="18" customHeight="1" spans="1:5">
      <c r="A198" s="5" t="str">
        <f>"董香月"</f>
        <v>董香月</v>
      </c>
      <c r="B198" s="5" t="str">
        <f>"10101011330"</f>
        <v>10101011330</v>
      </c>
      <c r="C198" s="6">
        <v>66</v>
      </c>
      <c r="D198" s="7">
        <v>196</v>
      </c>
      <c r="E198" s="8"/>
    </row>
    <row r="199" s="1" customFormat="1" ht="18" customHeight="1" spans="1:5">
      <c r="A199" s="5" t="str">
        <f>"王业琦"</f>
        <v>王业琦</v>
      </c>
      <c r="B199" s="5" t="str">
        <f>"10101011414"</f>
        <v>10101011414</v>
      </c>
      <c r="C199" s="6">
        <v>66</v>
      </c>
      <c r="D199" s="7">
        <v>197</v>
      </c>
      <c r="E199" s="8"/>
    </row>
    <row r="200" s="1" customFormat="1" ht="18" customHeight="1" spans="1:5">
      <c r="A200" s="5" t="str">
        <f>"朱青丽"</f>
        <v>朱青丽</v>
      </c>
      <c r="B200" s="5" t="str">
        <f>"10101011524"</f>
        <v>10101011524</v>
      </c>
      <c r="C200" s="6">
        <v>66</v>
      </c>
      <c r="D200" s="7">
        <v>198</v>
      </c>
      <c r="E200" s="8"/>
    </row>
    <row r="201" s="1" customFormat="1" ht="18" customHeight="1" spans="1:5">
      <c r="A201" s="5" t="str">
        <f>"文圆珍"</f>
        <v>文圆珍</v>
      </c>
      <c r="B201" s="5" t="str">
        <f>"10101011909"</f>
        <v>10101011909</v>
      </c>
      <c r="C201" s="6">
        <v>66</v>
      </c>
      <c r="D201" s="7">
        <v>199</v>
      </c>
      <c r="E201" s="8"/>
    </row>
    <row r="202" s="1" customFormat="1" ht="18" customHeight="1" spans="1:5">
      <c r="A202" s="5" t="str">
        <f>"张飘利"</f>
        <v>张飘利</v>
      </c>
      <c r="B202" s="5" t="str">
        <f>"10101010328"</f>
        <v>10101010328</v>
      </c>
      <c r="C202" s="6">
        <v>65</v>
      </c>
      <c r="D202" s="7">
        <v>200</v>
      </c>
      <c r="E202" s="8"/>
    </row>
    <row r="203" s="1" customFormat="1" ht="18" customHeight="1" spans="1:5">
      <c r="A203" s="5" t="str">
        <f>"罗美晶"</f>
        <v>罗美晶</v>
      </c>
      <c r="B203" s="5" t="str">
        <f>"10101010405"</f>
        <v>10101010405</v>
      </c>
      <c r="C203" s="6">
        <v>65</v>
      </c>
      <c r="D203" s="7">
        <v>201</v>
      </c>
      <c r="E203" s="8"/>
    </row>
    <row r="204" s="1" customFormat="1" ht="18" customHeight="1" spans="1:5">
      <c r="A204" s="5" t="str">
        <f>"文诗欣"</f>
        <v>文诗欣</v>
      </c>
      <c r="B204" s="5" t="str">
        <f>"10101010527"</f>
        <v>10101010527</v>
      </c>
      <c r="C204" s="6">
        <v>65</v>
      </c>
      <c r="D204" s="7">
        <v>202</v>
      </c>
      <c r="E204" s="8"/>
    </row>
    <row r="205" s="1" customFormat="1" ht="18" customHeight="1" spans="1:5">
      <c r="A205" s="5" t="str">
        <f>"王吉琼"</f>
        <v>王吉琼</v>
      </c>
      <c r="B205" s="5" t="str">
        <f>"10101010609"</f>
        <v>10101010609</v>
      </c>
      <c r="C205" s="6">
        <v>65</v>
      </c>
      <c r="D205" s="7">
        <v>203</v>
      </c>
      <c r="E205" s="8"/>
    </row>
    <row r="206" s="1" customFormat="1" ht="18" customHeight="1" spans="1:5">
      <c r="A206" s="5" t="str">
        <f>"李才锦"</f>
        <v>李才锦</v>
      </c>
      <c r="B206" s="5" t="str">
        <f>"10101010825"</f>
        <v>10101010825</v>
      </c>
      <c r="C206" s="6">
        <v>65</v>
      </c>
      <c r="D206" s="7">
        <v>204</v>
      </c>
      <c r="E206" s="8"/>
    </row>
    <row r="207" s="1" customFormat="1" ht="18" customHeight="1" spans="1:5">
      <c r="A207" s="5" t="str">
        <f>"胡利伟"</f>
        <v>胡利伟</v>
      </c>
      <c r="B207" s="5" t="str">
        <f>"10101010901"</f>
        <v>10101010901</v>
      </c>
      <c r="C207" s="6">
        <v>65</v>
      </c>
      <c r="D207" s="7">
        <v>205</v>
      </c>
      <c r="E207" s="8"/>
    </row>
    <row r="208" s="1" customFormat="1" ht="18" customHeight="1" spans="1:5">
      <c r="A208" s="5" t="str">
        <f>"王恋"</f>
        <v>王恋</v>
      </c>
      <c r="B208" s="5" t="str">
        <f>"10101010912"</f>
        <v>10101010912</v>
      </c>
      <c r="C208" s="6">
        <v>65</v>
      </c>
      <c r="D208" s="7">
        <v>206</v>
      </c>
      <c r="E208" s="8"/>
    </row>
    <row r="209" s="1" customFormat="1" ht="18" customHeight="1" spans="1:5">
      <c r="A209" s="5" t="str">
        <f>"卢丽君"</f>
        <v>卢丽君</v>
      </c>
      <c r="B209" s="5" t="str">
        <f>"10101011026"</f>
        <v>10101011026</v>
      </c>
      <c r="C209" s="6">
        <v>65</v>
      </c>
      <c r="D209" s="7">
        <v>207</v>
      </c>
      <c r="E209" s="8"/>
    </row>
    <row r="210" s="1" customFormat="1" ht="18" customHeight="1" spans="1:5">
      <c r="A210" s="5" t="str">
        <f>"许粤秀"</f>
        <v>许粤秀</v>
      </c>
      <c r="B210" s="5" t="str">
        <f>"10101011227"</f>
        <v>10101011227</v>
      </c>
      <c r="C210" s="6">
        <v>65</v>
      </c>
      <c r="D210" s="7">
        <v>208</v>
      </c>
      <c r="E210" s="8"/>
    </row>
    <row r="211" s="1" customFormat="1" ht="18" customHeight="1" spans="1:5">
      <c r="A211" s="5" t="str">
        <f>"苏云婷"</f>
        <v>苏云婷</v>
      </c>
      <c r="B211" s="5" t="str">
        <f>"10101011303"</f>
        <v>10101011303</v>
      </c>
      <c r="C211" s="6">
        <v>65</v>
      </c>
      <c r="D211" s="7">
        <v>209</v>
      </c>
      <c r="E211" s="8"/>
    </row>
    <row r="212" s="1" customFormat="1" ht="18" customHeight="1" spans="1:5">
      <c r="A212" s="5" t="str">
        <f>"王珊珊"</f>
        <v>王珊珊</v>
      </c>
      <c r="B212" s="5" t="str">
        <f>"10101011402"</f>
        <v>10101011402</v>
      </c>
      <c r="C212" s="6">
        <v>65</v>
      </c>
      <c r="D212" s="7">
        <v>210</v>
      </c>
      <c r="E212" s="8"/>
    </row>
    <row r="213" s="1" customFormat="1" ht="18" customHeight="1" spans="1:5">
      <c r="A213" s="5" t="str">
        <f>"王奖丽"</f>
        <v>王奖丽</v>
      </c>
      <c r="B213" s="5" t="str">
        <f>"10101011813"</f>
        <v>10101011813</v>
      </c>
      <c r="C213" s="6">
        <v>65</v>
      </c>
      <c r="D213" s="7">
        <v>211</v>
      </c>
      <c r="E213" s="8"/>
    </row>
    <row r="214" s="1" customFormat="1" ht="18" customHeight="1" spans="1:5">
      <c r="A214" s="5" t="str">
        <f>"郭仁晶"</f>
        <v>郭仁晶</v>
      </c>
      <c r="B214" s="5" t="str">
        <f>"10101010325"</f>
        <v>10101010325</v>
      </c>
      <c r="C214" s="6">
        <v>64</v>
      </c>
      <c r="D214" s="7">
        <v>212</v>
      </c>
      <c r="E214" s="8"/>
    </row>
    <row r="215" s="1" customFormat="1" ht="18" customHeight="1" spans="1:5">
      <c r="A215" s="5" t="str">
        <f>"吉训秀"</f>
        <v>吉训秀</v>
      </c>
      <c r="B215" s="5" t="str">
        <f>"10101010411"</f>
        <v>10101010411</v>
      </c>
      <c r="C215" s="6">
        <v>64</v>
      </c>
      <c r="D215" s="7">
        <v>213</v>
      </c>
      <c r="E215" s="8"/>
    </row>
    <row r="216" s="1" customFormat="1" ht="18" customHeight="1" spans="1:5">
      <c r="A216" s="5" t="str">
        <f>"高芳慧"</f>
        <v>高芳慧</v>
      </c>
      <c r="B216" s="5" t="str">
        <f>"10101010523"</f>
        <v>10101010523</v>
      </c>
      <c r="C216" s="6">
        <v>64</v>
      </c>
      <c r="D216" s="7">
        <v>214</v>
      </c>
      <c r="E216" s="8"/>
    </row>
    <row r="217" s="1" customFormat="1" ht="18" customHeight="1" spans="1:5">
      <c r="A217" s="5" t="str">
        <f>"周致静"</f>
        <v>周致静</v>
      </c>
      <c r="B217" s="5" t="str">
        <f>"10101010602"</f>
        <v>10101010602</v>
      </c>
      <c r="C217" s="6">
        <v>64</v>
      </c>
      <c r="D217" s="7">
        <v>215</v>
      </c>
      <c r="E217" s="8"/>
    </row>
    <row r="218" s="1" customFormat="1" ht="18" customHeight="1" spans="1:5">
      <c r="A218" s="5" t="str">
        <f>"吉秀玉"</f>
        <v>吉秀玉</v>
      </c>
      <c r="B218" s="5" t="str">
        <f>"10101010818"</f>
        <v>10101010818</v>
      </c>
      <c r="C218" s="6">
        <v>64</v>
      </c>
      <c r="D218" s="7">
        <v>216</v>
      </c>
      <c r="E218" s="8"/>
    </row>
    <row r="219" s="1" customFormat="1" ht="18" customHeight="1" spans="1:5">
      <c r="A219" s="5" t="str">
        <f>"钟培敏"</f>
        <v>钟培敏</v>
      </c>
      <c r="B219" s="5" t="str">
        <f>"10101010903"</f>
        <v>10101010903</v>
      </c>
      <c r="C219" s="6">
        <v>64</v>
      </c>
      <c r="D219" s="7">
        <v>217</v>
      </c>
      <c r="E219" s="8"/>
    </row>
    <row r="220" s="1" customFormat="1" ht="18" customHeight="1" spans="1:5">
      <c r="A220" s="5" t="str">
        <f>"郑晓晓"</f>
        <v>郑晓晓</v>
      </c>
      <c r="B220" s="5" t="str">
        <f>"10101011013"</f>
        <v>10101011013</v>
      </c>
      <c r="C220" s="6">
        <v>64</v>
      </c>
      <c r="D220" s="7">
        <v>218</v>
      </c>
      <c r="E220" s="8"/>
    </row>
    <row r="221" s="1" customFormat="1" ht="18" customHeight="1" spans="1:5">
      <c r="A221" s="5" t="str">
        <f>"钟海俐"</f>
        <v>钟海俐</v>
      </c>
      <c r="B221" s="5" t="str">
        <f>"10101011115"</f>
        <v>10101011115</v>
      </c>
      <c r="C221" s="6">
        <v>64</v>
      </c>
      <c r="D221" s="7">
        <v>219</v>
      </c>
      <c r="E221" s="8"/>
    </row>
    <row r="222" s="1" customFormat="1" ht="18" customHeight="1" spans="1:5">
      <c r="A222" s="5" t="str">
        <f>"刘桂芳"</f>
        <v>刘桂芳</v>
      </c>
      <c r="B222" s="5" t="str">
        <f>"10101011122"</f>
        <v>10101011122</v>
      </c>
      <c r="C222" s="6">
        <v>64</v>
      </c>
      <c r="D222" s="7">
        <v>220</v>
      </c>
      <c r="E222" s="8"/>
    </row>
    <row r="223" s="1" customFormat="1" ht="18" customHeight="1" spans="1:5">
      <c r="A223" s="5" t="str">
        <f>"潘建霞"</f>
        <v>潘建霞</v>
      </c>
      <c r="B223" s="5" t="str">
        <f>"10101011301"</f>
        <v>10101011301</v>
      </c>
      <c r="C223" s="6">
        <v>64</v>
      </c>
      <c r="D223" s="7">
        <v>221</v>
      </c>
      <c r="E223" s="8"/>
    </row>
    <row r="224" s="1" customFormat="1" ht="18" customHeight="1" spans="1:5">
      <c r="A224" s="5" t="str">
        <f>"陆钟盈"</f>
        <v>陆钟盈</v>
      </c>
      <c r="B224" s="5" t="str">
        <f>"10101011429"</f>
        <v>10101011429</v>
      </c>
      <c r="C224" s="6">
        <v>64</v>
      </c>
      <c r="D224" s="7">
        <v>222</v>
      </c>
      <c r="E224" s="8"/>
    </row>
    <row r="225" s="1" customFormat="1" ht="18" customHeight="1" spans="1:5">
      <c r="A225" s="5" t="str">
        <f>"蔡育梅"</f>
        <v>蔡育梅</v>
      </c>
      <c r="B225" s="5" t="str">
        <f>"10101011604"</f>
        <v>10101011604</v>
      </c>
      <c r="C225" s="6">
        <v>64</v>
      </c>
      <c r="D225" s="7">
        <v>223</v>
      </c>
      <c r="E225" s="8"/>
    </row>
    <row r="226" s="1" customFormat="1" ht="18" customHeight="1" spans="1:5">
      <c r="A226" s="5" t="str">
        <f>"陈诗彩"</f>
        <v>陈诗彩</v>
      </c>
      <c r="B226" s="5" t="str">
        <f>"10101011611"</f>
        <v>10101011611</v>
      </c>
      <c r="C226" s="6">
        <v>64</v>
      </c>
      <c r="D226" s="7">
        <v>224</v>
      </c>
      <c r="E226" s="8"/>
    </row>
    <row r="227" s="1" customFormat="1" ht="18" customHeight="1" spans="1:5">
      <c r="A227" s="5" t="str">
        <f>"邢君"</f>
        <v>邢君</v>
      </c>
      <c r="B227" s="5" t="str">
        <f>"10101011613"</f>
        <v>10101011613</v>
      </c>
      <c r="C227" s="6">
        <v>64</v>
      </c>
      <c r="D227" s="7">
        <v>225</v>
      </c>
      <c r="E227" s="8"/>
    </row>
    <row r="228" s="1" customFormat="1" ht="18" customHeight="1" spans="1:5">
      <c r="A228" s="5" t="str">
        <f>"钟灵灵"</f>
        <v>钟灵灵</v>
      </c>
      <c r="B228" s="5" t="str">
        <f>"10101011711"</f>
        <v>10101011711</v>
      </c>
      <c r="C228" s="6">
        <v>64</v>
      </c>
      <c r="D228" s="7">
        <v>226</v>
      </c>
      <c r="E228" s="8"/>
    </row>
    <row r="229" s="1" customFormat="1" ht="18" customHeight="1" spans="1:5">
      <c r="A229" s="5" t="str">
        <f>"王香靓"</f>
        <v>王香靓</v>
      </c>
      <c r="B229" s="5" t="str">
        <f>"10101011803"</f>
        <v>10101011803</v>
      </c>
      <c r="C229" s="6">
        <v>64</v>
      </c>
      <c r="D229" s="7">
        <v>227</v>
      </c>
      <c r="E229" s="8"/>
    </row>
    <row r="230" s="1" customFormat="1" ht="18" customHeight="1" spans="1:5">
      <c r="A230" s="5" t="str">
        <f>"曾起玲"</f>
        <v>曾起玲</v>
      </c>
      <c r="B230" s="5" t="str">
        <f>"10101011926"</f>
        <v>10101011926</v>
      </c>
      <c r="C230" s="6">
        <v>64</v>
      </c>
      <c r="D230" s="7">
        <v>228</v>
      </c>
      <c r="E230" s="8"/>
    </row>
    <row r="231" s="1" customFormat="1" ht="18" customHeight="1" spans="1:5">
      <c r="A231" s="5" t="str">
        <f>"张莉莉"</f>
        <v>张莉莉</v>
      </c>
      <c r="B231" s="5" t="str">
        <f>"10101010317"</f>
        <v>10101010317</v>
      </c>
      <c r="C231" s="6">
        <v>63</v>
      </c>
      <c r="D231" s="7">
        <v>229</v>
      </c>
      <c r="E231" s="8"/>
    </row>
    <row r="232" s="1" customFormat="1" ht="18" customHeight="1" spans="1:5">
      <c r="A232" s="5" t="str">
        <f>"刘信蓉"</f>
        <v>刘信蓉</v>
      </c>
      <c r="B232" s="5" t="str">
        <f>"10101010427"</f>
        <v>10101010427</v>
      </c>
      <c r="C232" s="6">
        <v>63</v>
      </c>
      <c r="D232" s="7">
        <v>230</v>
      </c>
      <c r="E232" s="8"/>
    </row>
    <row r="233" s="1" customFormat="1" ht="18" customHeight="1" spans="1:5">
      <c r="A233" s="5" t="str">
        <f>"郑勋友"</f>
        <v>郑勋友</v>
      </c>
      <c r="B233" s="5" t="str">
        <f>"10101010708"</f>
        <v>10101010708</v>
      </c>
      <c r="C233" s="6">
        <v>63</v>
      </c>
      <c r="D233" s="7">
        <v>231</v>
      </c>
      <c r="E233" s="8"/>
    </row>
    <row r="234" s="1" customFormat="1" ht="18" customHeight="1" spans="1:5">
      <c r="A234" s="5" t="str">
        <f>"林爱登"</f>
        <v>林爱登</v>
      </c>
      <c r="B234" s="5" t="str">
        <f>"10101010815"</f>
        <v>10101010815</v>
      </c>
      <c r="C234" s="6">
        <v>63</v>
      </c>
      <c r="D234" s="7">
        <v>232</v>
      </c>
      <c r="E234" s="8"/>
    </row>
    <row r="235" s="1" customFormat="1" ht="18" customHeight="1" spans="1:5">
      <c r="A235" s="5" t="str">
        <f>"罗晶"</f>
        <v>罗晶</v>
      </c>
      <c r="B235" s="5" t="str">
        <f>"10101010821"</f>
        <v>10101010821</v>
      </c>
      <c r="C235" s="6">
        <v>63</v>
      </c>
      <c r="D235" s="7">
        <v>233</v>
      </c>
      <c r="E235" s="8"/>
    </row>
    <row r="236" s="1" customFormat="1" ht="18" customHeight="1" spans="1:5">
      <c r="A236" s="5" t="str">
        <f>"柳美婷"</f>
        <v>柳美婷</v>
      </c>
      <c r="B236" s="5" t="str">
        <f>"10101010905"</f>
        <v>10101010905</v>
      </c>
      <c r="C236" s="6">
        <v>63</v>
      </c>
      <c r="D236" s="7">
        <v>234</v>
      </c>
      <c r="E236" s="8"/>
    </row>
    <row r="237" s="1" customFormat="1" ht="18" customHeight="1" spans="1:5">
      <c r="A237" s="5" t="str">
        <f>"王一辰"</f>
        <v>王一辰</v>
      </c>
      <c r="B237" s="5" t="str">
        <f>"10101010914"</f>
        <v>10101010914</v>
      </c>
      <c r="C237" s="6">
        <v>63</v>
      </c>
      <c r="D237" s="7">
        <v>235</v>
      </c>
      <c r="E237" s="8"/>
    </row>
    <row r="238" s="1" customFormat="1" ht="18" customHeight="1" spans="1:5">
      <c r="A238" s="5" t="str">
        <f>"符淑霞"</f>
        <v>符淑霞</v>
      </c>
      <c r="B238" s="5" t="str">
        <f>"10101011001"</f>
        <v>10101011001</v>
      </c>
      <c r="C238" s="6">
        <v>63</v>
      </c>
      <c r="D238" s="7">
        <v>236</v>
      </c>
      <c r="E238" s="8"/>
    </row>
    <row r="239" s="1" customFormat="1" ht="18" customHeight="1" spans="1:5">
      <c r="A239" s="5" t="str">
        <f>"黄海珍"</f>
        <v>黄海珍</v>
      </c>
      <c r="B239" s="5" t="str">
        <f>"10101011014"</f>
        <v>10101011014</v>
      </c>
      <c r="C239" s="6">
        <v>63</v>
      </c>
      <c r="D239" s="7">
        <v>237</v>
      </c>
      <c r="E239" s="8"/>
    </row>
    <row r="240" s="1" customFormat="1" ht="18" customHeight="1" spans="1:5">
      <c r="A240" s="5" t="str">
        <f>"符秋梅"</f>
        <v>符秋梅</v>
      </c>
      <c r="B240" s="5" t="str">
        <f>"10101011214"</f>
        <v>10101011214</v>
      </c>
      <c r="C240" s="6">
        <v>63</v>
      </c>
      <c r="D240" s="7">
        <v>238</v>
      </c>
      <c r="E240" s="8"/>
    </row>
    <row r="241" s="1" customFormat="1" ht="18" customHeight="1" spans="1:5">
      <c r="A241" s="5" t="str">
        <f>"钟凤丽"</f>
        <v>钟凤丽</v>
      </c>
      <c r="B241" s="5" t="str">
        <f>"10101011309"</f>
        <v>10101011309</v>
      </c>
      <c r="C241" s="6">
        <v>63</v>
      </c>
      <c r="D241" s="7">
        <v>239</v>
      </c>
      <c r="E241" s="8"/>
    </row>
    <row r="242" s="1" customFormat="1" ht="18" customHeight="1" spans="1:5">
      <c r="A242" s="5" t="str">
        <f>"赵明静"</f>
        <v>赵明静</v>
      </c>
      <c r="B242" s="5" t="str">
        <f>"10101011529"</f>
        <v>10101011529</v>
      </c>
      <c r="C242" s="6">
        <v>63</v>
      </c>
      <c r="D242" s="7">
        <v>240</v>
      </c>
      <c r="E242" s="8"/>
    </row>
    <row r="243" s="1" customFormat="1" ht="18" customHeight="1" spans="1:5">
      <c r="A243" s="5" t="str">
        <f>"赵承素"</f>
        <v>赵承素</v>
      </c>
      <c r="B243" s="5" t="str">
        <f>"10101011725"</f>
        <v>10101011725</v>
      </c>
      <c r="C243" s="6">
        <v>63</v>
      </c>
      <c r="D243" s="7">
        <v>241</v>
      </c>
      <c r="E243" s="8"/>
    </row>
    <row r="244" s="1" customFormat="1" ht="18" customHeight="1" spans="1:5">
      <c r="A244" s="5" t="str">
        <f>"王婧"</f>
        <v>王婧</v>
      </c>
      <c r="B244" s="5" t="str">
        <f>"10101011919"</f>
        <v>10101011919</v>
      </c>
      <c r="C244" s="6">
        <v>63</v>
      </c>
      <c r="D244" s="7">
        <v>242</v>
      </c>
      <c r="E244" s="8"/>
    </row>
    <row r="245" s="1" customFormat="1" ht="18" customHeight="1" spans="1:5">
      <c r="A245" s="5" t="str">
        <f>"庄泰萍"</f>
        <v>庄泰萍</v>
      </c>
      <c r="B245" s="5" t="str">
        <f>"10101011925"</f>
        <v>10101011925</v>
      </c>
      <c r="C245" s="6">
        <v>63</v>
      </c>
      <c r="D245" s="7">
        <v>243</v>
      </c>
      <c r="E245" s="8"/>
    </row>
    <row r="246" s="1" customFormat="1" ht="18" customHeight="1" spans="1:5">
      <c r="A246" s="5" t="str">
        <f>"郭启玲"</f>
        <v>郭启玲</v>
      </c>
      <c r="B246" s="5" t="str">
        <f>"10101010121"</f>
        <v>10101010121</v>
      </c>
      <c r="C246" s="6">
        <v>62</v>
      </c>
      <c r="D246" s="7">
        <v>244</v>
      </c>
      <c r="E246" s="8"/>
    </row>
    <row r="247" s="1" customFormat="1" ht="18" customHeight="1" spans="1:5">
      <c r="A247" s="5" t="str">
        <f>"符家丽"</f>
        <v>符家丽</v>
      </c>
      <c r="B247" s="5" t="str">
        <f>"10101010816"</f>
        <v>10101010816</v>
      </c>
      <c r="C247" s="6">
        <v>62</v>
      </c>
      <c r="D247" s="7">
        <v>245</v>
      </c>
      <c r="E247" s="8"/>
    </row>
    <row r="248" s="1" customFormat="1" ht="18" customHeight="1" spans="1:5">
      <c r="A248" s="5" t="str">
        <f>"王永慧"</f>
        <v>王永慧</v>
      </c>
      <c r="B248" s="5" t="str">
        <f>"10101010907"</f>
        <v>10101010907</v>
      </c>
      <c r="C248" s="6">
        <v>62</v>
      </c>
      <c r="D248" s="7">
        <v>246</v>
      </c>
      <c r="E248" s="8"/>
    </row>
    <row r="249" s="1" customFormat="1" ht="18" customHeight="1" spans="1:5">
      <c r="A249" s="5" t="str">
        <f>"刘帆"</f>
        <v>刘帆</v>
      </c>
      <c r="B249" s="5" t="str">
        <f>"10101011029"</f>
        <v>10101011029</v>
      </c>
      <c r="C249" s="6">
        <v>62</v>
      </c>
      <c r="D249" s="7">
        <v>247</v>
      </c>
      <c r="E249" s="8"/>
    </row>
    <row r="250" s="1" customFormat="1" ht="18" customHeight="1" spans="1:5">
      <c r="A250" s="5" t="str">
        <f>"文静"</f>
        <v>文静</v>
      </c>
      <c r="B250" s="5" t="str">
        <f>"10101011219"</f>
        <v>10101011219</v>
      </c>
      <c r="C250" s="6">
        <v>62</v>
      </c>
      <c r="D250" s="7">
        <v>248</v>
      </c>
      <c r="E250" s="8"/>
    </row>
    <row r="251" s="1" customFormat="1" ht="18" customHeight="1" spans="1:5">
      <c r="A251" s="5" t="str">
        <f>"张云霞"</f>
        <v>张云霞</v>
      </c>
      <c r="B251" s="5" t="str">
        <f>"10101011614"</f>
        <v>10101011614</v>
      </c>
      <c r="C251" s="6">
        <v>62</v>
      </c>
      <c r="D251" s="7">
        <v>249</v>
      </c>
      <c r="E251" s="8"/>
    </row>
    <row r="252" s="1" customFormat="1" ht="18" customHeight="1" spans="1:5">
      <c r="A252" s="5" t="str">
        <f>"潘天芳"</f>
        <v>潘天芳</v>
      </c>
      <c r="B252" s="5" t="str">
        <f>"10101011712"</f>
        <v>10101011712</v>
      </c>
      <c r="C252" s="6">
        <v>62</v>
      </c>
      <c r="D252" s="7">
        <v>250</v>
      </c>
      <c r="E252" s="8"/>
    </row>
    <row r="253" s="1" customFormat="1" ht="18" customHeight="1" spans="1:5">
      <c r="A253" s="5" t="str">
        <f>"钟圣婷"</f>
        <v>钟圣婷</v>
      </c>
      <c r="B253" s="5" t="str">
        <f>"10101011816"</f>
        <v>10101011816</v>
      </c>
      <c r="C253" s="6">
        <v>62</v>
      </c>
      <c r="D253" s="7">
        <v>251</v>
      </c>
      <c r="E253" s="8"/>
    </row>
    <row r="254" s="1" customFormat="1" ht="18" customHeight="1" spans="1:5">
      <c r="A254" s="5" t="str">
        <f>"符爱娟"</f>
        <v>符爱娟</v>
      </c>
      <c r="B254" s="5" t="str">
        <f>"10101011908"</f>
        <v>10101011908</v>
      </c>
      <c r="C254" s="6">
        <v>62</v>
      </c>
      <c r="D254" s="7">
        <v>252</v>
      </c>
      <c r="E254" s="8"/>
    </row>
    <row r="255" s="1" customFormat="1" ht="18" customHeight="1" spans="1:5">
      <c r="A255" s="5" t="str">
        <f>"李维静"</f>
        <v>李维静</v>
      </c>
      <c r="B255" s="5" t="str">
        <f>"10101011920"</f>
        <v>10101011920</v>
      </c>
      <c r="C255" s="6">
        <v>62</v>
      </c>
      <c r="D255" s="7">
        <v>253</v>
      </c>
      <c r="E255" s="8"/>
    </row>
    <row r="256" s="1" customFormat="1" ht="18" customHeight="1" spans="1:5">
      <c r="A256" s="5" t="str">
        <f>"李秋兑"</f>
        <v>李秋兑</v>
      </c>
      <c r="B256" s="5" t="str">
        <f>"10101011923"</f>
        <v>10101011923</v>
      </c>
      <c r="C256" s="6">
        <v>62</v>
      </c>
      <c r="D256" s="7">
        <v>254</v>
      </c>
      <c r="E256" s="8"/>
    </row>
    <row r="257" s="1" customFormat="1" ht="18" customHeight="1" spans="1:5">
      <c r="A257" s="5" t="str">
        <f>"周圣姑"</f>
        <v>周圣姑</v>
      </c>
      <c r="B257" s="5" t="str">
        <f>"10101011927"</f>
        <v>10101011927</v>
      </c>
      <c r="C257" s="6">
        <v>62</v>
      </c>
      <c r="D257" s="7">
        <v>255</v>
      </c>
      <c r="E257" s="8"/>
    </row>
    <row r="258" s="1" customFormat="1" ht="18" customHeight="1" spans="1:5">
      <c r="A258" s="5" t="str">
        <f>"邱超"</f>
        <v>邱超</v>
      </c>
      <c r="B258" s="5" t="str">
        <f>"10101012011"</f>
        <v>10101012011</v>
      </c>
      <c r="C258" s="6">
        <v>62</v>
      </c>
      <c r="D258" s="7">
        <v>256</v>
      </c>
      <c r="E258" s="8"/>
    </row>
    <row r="259" s="1" customFormat="1" ht="18" customHeight="1" spans="1:5">
      <c r="A259" s="5" t="str">
        <f>"唐于玲"</f>
        <v>唐于玲</v>
      </c>
      <c r="B259" s="5" t="str">
        <f>"10101010125"</f>
        <v>10101010125</v>
      </c>
      <c r="C259" s="6">
        <v>61</v>
      </c>
      <c r="D259" s="7">
        <v>257</v>
      </c>
      <c r="E259" s="8"/>
    </row>
    <row r="260" s="1" customFormat="1" ht="18" customHeight="1" spans="1:5">
      <c r="A260" s="5" t="str">
        <f>"许艳环"</f>
        <v>许艳环</v>
      </c>
      <c r="B260" s="5" t="str">
        <f>"10101010221"</f>
        <v>10101010221</v>
      </c>
      <c r="C260" s="6">
        <v>61</v>
      </c>
      <c r="D260" s="7">
        <v>258</v>
      </c>
      <c r="E260" s="8"/>
    </row>
    <row r="261" s="1" customFormat="1" ht="18" customHeight="1" spans="1:5">
      <c r="A261" s="5" t="str">
        <f>"苏小池"</f>
        <v>苏小池</v>
      </c>
      <c r="B261" s="5" t="str">
        <f>"10101010312"</f>
        <v>10101010312</v>
      </c>
      <c r="C261" s="6">
        <v>61</v>
      </c>
      <c r="D261" s="7">
        <v>259</v>
      </c>
      <c r="E261" s="8"/>
    </row>
    <row r="262" s="1" customFormat="1" ht="18" customHeight="1" spans="1:5">
      <c r="A262" s="5" t="str">
        <f>"张文倩"</f>
        <v>张文倩</v>
      </c>
      <c r="B262" s="5" t="str">
        <f>"10101010330"</f>
        <v>10101010330</v>
      </c>
      <c r="C262" s="6">
        <v>61</v>
      </c>
      <c r="D262" s="7">
        <v>260</v>
      </c>
      <c r="E262" s="8"/>
    </row>
    <row r="263" s="1" customFormat="1" ht="18" customHeight="1" spans="1:5">
      <c r="A263" s="5" t="str">
        <f>"王果"</f>
        <v>王果</v>
      </c>
      <c r="B263" s="5" t="str">
        <f>"10101010801"</f>
        <v>10101010801</v>
      </c>
      <c r="C263" s="6">
        <v>61</v>
      </c>
      <c r="D263" s="7">
        <v>261</v>
      </c>
      <c r="E263" s="8"/>
    </row>
    <row r="264" s="1" customFormat="1" ht="18" customHeight="1" spans="1:5">
      <c r="A264" s="5" t="str">
        <f>"符焕泽"</f>
        <v>符焕泽</v>
      </c>
      <c r="B264" s="5" t="str">
        <f>"10101011703"</f>
        <v>10101011703</v>
      </c>
      <c r="C264" s="6">
        <v>61</v>
      </c>
      <c r="D264" s="7">
        <v>262</v>
      </c>
      <c r="E264" s="8"/>
    </row>
    <row r="265" s="1" customFormat="1" ht="18" customHeight="1" spans="1:5">
      <c r="A265" s="5" t="str">
        <f>"曾巧巧"</f>
        <v>曾巧巧</v>
      </c>
      <c r="B265" s="5" t="str">
        <f>"10101011717"</f>
        <v>10101011717</v>
      </c>
      <c r="C265" s="6">
        <v>61</v>
      </c>
      <c r="D265" s="7">
        <v>263</v>
      </c>
      <c r="E265" s="8"/>
    </row>
    <row r="266" s="1" customFormat="1" ht="18" customHeight="1" spans="1:5">
      <c r="A266" s="5" t="str">
        <f>"程海英"</f>
        <v>程海英</v>
      </c>
      <c r="B266" s="5" t="str">
        <f>"10101011719"</f>
        <v>10101011719</v>
      </c>
      <c r="C266" s="6">
        <v>61</v>
      </c>
      <c r="D266" s="7">
        <v>264</v>
      </c>
      <c r="E266" s="8"/>
    </row>
    <row r="267" s="1" customFormat="1" ht="18" customHeight="1" spans="1:5">
      <c r="A267" s="5" t="str">
        <f>"石梅"</f>
        <v>石梅</v>
      </c>
      <c r="B267" s="5" t="str">
        <f>"10101010303"</f>
        <v>10101010303</v>
      </c>
      <c r="C267" s="6">
        <v>60</v>
      </c>
      <c r="D267" s="7">
        <v>265</v>
      </c>
      <c r="E267" s="8"/>
    </row>
    <row r="268" s="1" customFormat="1" ht="18" customHeight="1" spans="1:5">
      <c r="A268" s="5" t="str">
        <f>"郑诗婷"</f>
        <v>郑诗婷</v>
      </c>
      <c r="B268" s="5" t="str">
        <f>"10101010618"</f>
        <v>10101010618</v>
      </c>
      <c r="C268" s="6">
        <v>60</v>
      </c>
      <c r="D268" s="7">
        <v>266</v>
      </c>
      <c r="E268" s="8"/>
    </row>
    <row r="269" s="1" customFormat="1" ht="18" customHeight="1" spans="1:5">
      <c r="A269" s="5" t="str">
        <f>"李秋雁"</f>
        <v>李秋雁</v>
      </c>
      <c r="B269" s="5" t="str">
        <f>"10101011518"</f>
        <v>10101011518</v>
      </c>
      <c r="C269" s="6">
        <v>60</v>
      </c>
      <c r="D269" s="7">
        <v>267</v>
      </c>
      <c r="E269" s="8"/>
    </row>
    <row r="270" s="1" customFormat="1" ht="18" customHeight="1" spans="1:5">
      <c r="A270" s="5" t="str">
        <f>"符丽花"</f>
        <v>符丽花</v>
      </c>
      <c r="B270" s="5" t="str">
        <f>"10101011627"</f>
        <v>10101011627</v>
      </c>
      <c r="C270" s="6">
        <v>60</v>
      </c>
      <c r="D270" s="7">
        <v>268</v>
      </c>
      <c r="E270" s="8"/>
    </row>
    <row r="271" s="1" customFormat="1" ht="18" customHeight="1" spans="1:5">
      <c r="A271" s="5" t="str">
        <f>"柯惠霞"</f>
        <v>柯惠霞</v>
      </c>
      <c r="B271" s="5" t="str">
        <f>"10101011723"</f>
        <v>10101011723</v>
      </c>
      <c r="C271" s="6">
        <v>60</v>
      </c>
      <c r="D271" s="7">
        <v>269</v>
      </c>
      <c r="E271" s="8"/>
    </row>
    <row r="272" s="1" customFormat="1" ht="18" customHeight="1" spans="1:5">
      <c r="A272" s="5" t="str">
        <f>"吴华丽"</f>
        <v>吴华丽</v>
      </c>
      <c r="B272" s="5" t="str">
        <f>"10101011915"</f>
        <v>10101011915</v>
      </c>
      <c r="C272" s="6">
        <v>60</v>
      </c>
      <c r="D272" s="7">
        <v>270</v>
      </c>
      <c r="E272" s="8"/>
    </row>
    <row r="273" s="1" customFormat="1" ht="18" customHeight="1" spans="1:5">
      <c r="A273" s="5" t="str">
        <f>"文肖娇"</f>
        <v>文肖娇</v>
      </c>
      <c r="B273" s="5" t="str">
        <f>"10101011924"</f>
        <v>10101011924</v>
      </c>
      <c r="C273" s="6">
        <v>60</v>
      </c>
      <c r="D273" s="7">
        <v>271</v>
      </c>
      <c r="E273" s="8"/>
    </row>
    <row r="274" s="1" customFormat="1" ht="18" customHeight="1" spans="1:5">
      <c r="A274" s="5" t="str">
        <f>"赵青云"</f>
        <v>赵青云</v>
      </c>
      <c r="B274" s="5" t="str">
        <f>"10101010127"</f>
        <v>10101010127</v>
      </c>
      <c r="C274" s="6">
        <v>59</v>
      </c>
      <c r="D274" s="7">
        <v>272</v>
      </c>
      <c r="E274" s="8"/>
    </row>
    <row r="275" s="1" customFormat="1" ht="18" customHeight="1" spans="1:5">
      <c r="A275" s="5" t="str">
        <f>"杨书宇"</f>
        <v>杨书宇</v>
      </c>
      <c r="B275" s="5" t="str">
        <f>"10101010207"</f>
        <v>10101010207</v>
      </c>
      <c r="C275" s="6">
        <v>59</v>
      </c>
      <c r="D275" s="7">
        <v>273</v>
      </c>
      <c r="E275" s="8"/>
    </row>
    <row r="276" s="1" customFormat="1" ht="18" customHeight="1" spans="1:5">
      <c r="A276" s="5" t="str">
        <f>"符锦兰"</f>
        <v>符锦兰</v>
      </c>
      <c r="B276" s="5" t="str">
        <f>"10101011102"</f>
        <v>10101011102</v>
      </c>
      <c r="C276" s="6">
        <v>59</v>
      </c>
      <c r="D276" s="7">
        <v>274</v>
      </c>
      <c r="E276" s="8"/>
    </row>
    <row r="277" s="1" customFormat="1" ht="18" customHeight="1" spans="1:5">
      <c r="A277" s="5" t="str">
        <f>"王安妮"</f>
        <v>王安妮</v>
      </c>
      <c r="B277" s="5" t="str">
        <f>"10101011319"</f>
        <v>10101011319</v>
      </c>
      <c r="C277" s="6">
        <v>59</v>
      </c>
      <c r="D277" s="7">
        <v>275</v>
      </c>
      <c r="E277" s="8"/>
    </row>
    <row r="278" s="1" customFormat="1" ht="18" customHeight="1" spans="1:5">
      <c r="A278" s="5" t="str">
        <f>"柳国芳"</f>
        <v>柳国芳</v>
      </c>
      <c r="B278" s="5" t="str">
        <f>"10101011603"</f>
        <v>10101011603</v>
      </c>
      <c r="C278" s="6">
        <v>59</v>
      </c>
      <c r="D278" s="7">
        <v>276</v>
      </c>
      <c r="E278" s="8"/>
    </row>
    <row r="279" s="1" customFormat="1" ht="18" customHeight="1" spans="1:5">
      <c r="A279" s="5" t="str">
        <f>"李二菊"</f>
        <v>李二菊</v>
      </c>
      <c r="B279" s="5" t="str">
        <f>"10101011619"</f>
        <v>10101011619</v>
      </c>
      <c r="C279" s="6">
        <v>59</v>
      </c>
      <c r="D279" s="7">
        <v>277</v>
      </c>
      <c r="E279" s="8"/>
    </row>
    <row r="280" s="1" customFormat="1" ht="18" customHeight="1" spans="1:5">
      <c r="A280" s="5" t="str">
        <f>"卢玉丽"</f>
        <v>卢玉丽</v>
      </c>
      <c r="B280" s="5" t="str">
        <f>"10101010223"</f>
        <v>10101010223</v>
      </c>
      <c r="C280" s="6">
        <v>58</v>
      </c>
      <c r="D280" s="7">
        <v>278</v>
      </c>
      <c r="E280" s="8"/>
    </row>
    <row r="281" s="1" customFormat="1" ht="18" customHeight="1" spans="1:5">
      <c r="A281" s="5" t="str">
        <f>"卢文秋"</f>
        <v>卢文秋</v>
      </c>
      <c r="B281" s="5" t="str">
        <f>"10101010425"</f>
        <v>10101010425</v>
      </c>
      <c r="C281" s="6">
        <v>58</v>
      </c>
      <c r="D281" s="7">
        <v>279</v>
      </c>
      <c r="E281" s="8"/>
    </row>
    <row r="282" s="1" customFormat="1" ht="18" customHeight="1" spans="1:5">
      <c r="A282" s="5" t="str">
        <f>"何传静"</f>
        <v>何传静</v>
      </c>
      <c r="B282" s="5" t="str">
        <f>"10101010630"</f>
        <v>10101010630</v>
      </c>
      <c r="C282" s="6">
        <v>58</v>
      </c>
      <c r="D282" s="7">
        <v>280</v>
      </c>
      <c r="E282" s="8"/>
    </row>
    <row r="283" s="1" customFormat="1" ht="18" customHeight="1" spans="1:5">
      <c r="A283" s="5" t="str">
        <f>"符万书"</f>
        <v>符万书</v>
      </c>
      <c r="B283" s="5" t="str">
        <f>"10101010702"</f>
        <v>10101010702</v>
      </c>
      <c r="C283" s="6">
        <v>58</v>
      </c>
      <c r="D283" s="7">
        <v>281</v>
      </c>
      <c r="E283" s="8"/>
    </row>
    <row r="284" s="1" customFormat="1" ht="18" customHeight="1" spans="1:5">
      <c r="A284" s="5" t="str">
        <f>"柳美珍"</f>
        <v>柳美珍</v>
      </c>
      <c r="B284" s="5" t="str">
        <f>"10101011108"</f>
        <v>10101011108</v>
      </c>
      <c r="C284" s="6">
        <v>58</v>
      </c>
      <c r="D284" s="7">
        <v>282</v>
      </c>
      <c r="E284" s="8"/>
    </row>
    <row r="285" s="1" customFormat="1" ht="18" customHeight="1" spans="1:5">
      <c r="A285" s="5" t="str">
        <f>"符晓慧"</f>
        <v>符晓慧</v>
      </c>
      <c r="B285" s="5" t="str">
        <f>"10101011817"</f>
        <v>10101011817</v>
      </c>
      <c r="C285" s="6">
        <v>58</v>
      </c>
      <c r="D285" s="7">
        <v>283</v>
      </c>
      <c r="E285" s="8"/>
    </row>
    <row r="286" s="1" customFormat="1" ht="18" customHeight="1" spans="1:5">
      <c r="A286" s="5" t="str">
        <f>"唐燕"</f>
        <v>唐燕</v>
      </c>
      <c r="B286" s="5" t="str">
        <f>"10101010211"</f>
        <v>10101010211</v>
      </c>
      <c r="C286" s="6">
        <v>57</v>
      </c>
      <c r="D286" s="7">
        <v>284</v>
      </c>
      <c r="E286" s="8"/>
    </row>
    <row r="287" s="1" customFormat="1" ht="18" customHeight="1" spans="1:5">
      <c r="A287" s="5" t="str">
        <f>"梁琴"</f>
        <v>梁琴</v>
      </c>
      <c r="B287" s="5" t="str">
        <f>"10101010423"</f>
        <v>10101010423</v>
      </c>
      <c r="C287" s="6">
        <v>57</v>
      </c>
      <c r="D287" s="7">
        <v>285</v>
      </c>
      <c r="E287" s="8"/>
    </row>
    <row r="288" s="1" customFormat="1" ht="18" customHeight="1" spans="1:5">
      <c r="A288" s="5" t="str">
        <f>"高乙雅"</f>
        <v>高乙雅</v>
      </c>
      <c r="B288" s="5" t="str">
        <f>"10101010929"</f>
        <v>10101010929</v>
      </c>
      <c r="C288" s="6">
        <v>57</v>
      </c>
      <c r="D288" s="7">
        <v>286</v>
      </c>
      <c r="E288" s="8"/>
    </row>
    <row r="289" s="1" customFormat="1" ht="18" customHeight="1" spans="1:5">
      <c r="A289" s="5" t="str">
        <f>"苏墩花"</f>
        <v>苏墩花</v>
      </c>
      <c r="B289" s="5" t="str">
        <f>"10101011204"</f>
        <v>10101011204</v>
      </c>
      <c r="C289" s="6">
        <v>57</v>
      </c>
      <c r="D289" s="7">
        <v>287</v>
      </c>
      <c r="E289" s="8"/>
    </row>
    <row r="290" s="1" customFormat="1" ht="18" customHeight="1" spans="1:5">
      <c r="A290" s="5" t="str">
        <f>"李助杏"</f>
        <v>李助杏</v>
      </c>
      <c r="B290" s="5" t="str">
        <f>"10101011403"</f>
        <v>10101011403</v>
      </c>
      <c r="C290" s="6">
        <v>57</v>
      </c>
      <c r="D290" s="7">
        <v>288</v>
      </c>
      <c r="E290" s="8"/>
    </row>
    <row r="291" s="1" customFormat="1" ht="18" customHeight="1" spans="1:5">
      <c r="A291" s="5" t="str">
        <f>"黄银丹"</f>
        <v>黄银丹</v>
      </c>
      <c r="B291" s="5" t="str">
        <f>"10101011702"</f>
        <v>10101011702</v>
      </c>
      <c r="C291" s="6">
        <v>57</v>
      </c>
      <c r="D291" s="7">
        <v>289</v>
      </c>
      <c r="E291" s="8"/>
    </row>
    <row r="292" s="1" customFormat="1" ht="18" customHeight="1" spans="1:5">
      <c r="A292" s="5" t="str">
        <f>"谢冰瑜"</f>
        <v>谢冰瑜</v>
      </c>
      <c r="B292" s="5" t="str">
        <f>"10101010421"</f>
        <v>10101010421</v>
      </c>
      <c r="C292" s="6">
        <v>56</v>
      </c>
      <c r="D292" s="7">
        <v>290</v>
      </c>
      <c r="E292" s="8"/>
    </row>
    <row r="293" s="1" customFormat="1" ht="18" customHeight="1" spans="1:5">
      <c r="A293" s="5" t="str">
        <f>"文怡琛"</f>
        <v>文怡琛</v>
      </c>
      <c r="B293" s="5" t="str">
        <f>"10101010924"</f>
        <v>10101010924</v>
      </c>
      <c r="C293" s="6">
        <v>56</v>
      </c>
      <c r="D293" s="7">
        <v>291</v>
      </c>
      <c r="E293" s="8"/>
    </row>
    <row r="294" s="1" customFormat="1" ht="18" customHeight="1" spans="1:5">
      <c r="A294" s="5" t="str">
        <f>"张丽莹"</f>
        <v>张丽莹</v>
      </c>
      <c r="B294" s="5" t="str">
        <f>"10101011208"</f>
        <v>10101011208</v>
      </c>
      <c r="C294" s="6">
        <v>56</v>
      </c>
      <c r="D294" s="7">
        <v>292</v>
      </c>
      <c r="E294" s="8"/>
    </row>
    <row r="295" s="1" customFormat="1" ht="18" customHeight="1" spans="1:5">
      <c r="A295" s="5" t="str">
        <f>"杨月"</f>
        <v>杨月</v>
      </c>
      <c r="B295" s="5" t="str">
        <f>"10101011327"</f>
        <v>10101011327</v>
      </c>
      <c r="C295" s="6">
        <v>56</v>
      </c>
      <c r="D295" s="7">
        <v>293</v>
      </c>
      <c r="E295" s="8"/>
    </row>
    <row r="296" s="1" customFormat="1" ht="18" customHeight="1" spans="1:5">
      <c r="A296" s="5" t="str">
        <f>"苏倩"</f>
        <v>苏倩</v>
      </c>
      <c r="B296" s="5" t="str">
        <f>"10101011410"</f>
        <v>10101011410</v>
      </c>
      <c r="C296" s="6">
        <v>56</v>
      </c>
      <c r="D296" s="7">
        <v>294</v>
      </c>
      <c r="E296" s="8"/>
    </row>
    <row r="297" s="1" customFormat="1" ht="18" customHeight="1" spans="1:5">
      <c r="A297" s="5" t="str">
        <f>"黄丽婷"</f>
        <v>黄丽婷</v>
      </c>
      <c r="B297" s="5" t="str">
        <f>"10101011921"</f>
        <v>10101011921</v>
      </c>
      <c r="C297" s="6">
        <v>55</v>
      </c>
      <c r="D297" s="7">
        <v>295</v>
      </c>
      <c r="E297" s="8"/>
    </row>
    <row r="298" s="1" customFormat="1" ht="18" customHeight="1" spans="1:5">
      <c r="A298" s="5" t="str">
        <f>"曹莉芳"</f>
        <v>曹莉芳</v>
      </c>
      <c r="B298" s="5" t="str">
        <f>"10101010116"</f>
        <v>10101010116</v>
      </c>
      <c r="C298" s="6">
        <v>54</v>
      </c>
      <c r="D298" s="7">
        <v>296</v>
      </c>
      <c r="E298" s="8"/>
    </row>
    <row r="299" s="1" customFormat="1" ht="18" customHeight="1" spans="1:5">
      <c r="A299" s="5" t="str">
        <f>"符光梅"</f>
        <v>符光梅</v>
      </c>
      <c r="B299" s="5" t="str">
        <f>"10101010401"</f>
        <v>10101010401</v>
      </c>
      <c r="C299" s="6">
        <v>54</v>
      </c>
      <c r="D299" s="7">
        <v>297</v>
      </c>
      <c r="E299" s="8"/>
    </row>
    <row r="300" s="1" customFormat="1" ht="18" customHeight="1" spans="1:5">
      <c r="A300" s="5" t="str">
        <f>"李雪娟"</f>
        <v>李雪娟</v>
      </c>
      <c r="B300" s="5" t="str">
        <f>"10101010627"</f>
        <v>10101010627</v>
      </c>
      <c r="C300" s="6">
        <v>54</v>
      </c>
      <c r="D300" s="7">
        <v>298</v>
      </c>
      <c r="E300" s="8"/>
    </row>
    <row r="301" s="1" customFormat="1" ht="18" customHeight="1" spans="1:5">
      <c r="A301" s="5" t="str">
        <f>"柳少娇"</f>
        <v>柳少娇</v>
      </c>
      <c r="B301" s="5" t="str">
        <f>"10101011811"</f>
        <v>10101011811</v>
      </c>
      <c r="C301" s="6">
        <v>53</v>
      </c>
      <c r="D301" s="7">
        <v>299</v>
      </c>
      <c r="E301" s="8"/>
    </row>
    <row r="302" s="1" customFormat="1" ht="18" customHeight="1" spans="1:5">
      <c r="A302" s="5" t="str">
        <f>"李璐"</f>
        <v>李璐</v>
      </c>
      <c r="B302" s="5" t="str">
        <f>"10101010626"</f>
        <v>10101010626</v>
      </c>
      <c r="C302" s="6">
        <v>52</v>
      </c>
      <c r="D302" s="7">
        <v>300</v>
      </c>
      <c r="E302" s="8"/>
    </row>
    <row r="303" s="1" customFormat="1" ht="18" customHeight="1" spans="1:5">
      <c r="A303" s="5" t="str">
        <f>"羊少花"</f>
        <v>羊少花</v>
      </c>
      <c r="B303" s="5" t="str">
        <f>"10101011202"</f>
        <v>10101011202</v>
      </c>
      <c r="C303" s="6">
        <v>52</v>
      </c>
      <c r="D303" s="7">
        <v>301</v>
      </c>
      <c r="E303" s="8"/>
    </row>
    <row r="304" s="1" customFormat="1" ht="18" customHeight="1" spans="1:5">
      <c r="A304" s="5" t="str">
        <f>"马和凤"</f>
        <v>马和凤</v>
      </c>
      <c r="B304" s="5" t="str">
        <f>"10101011210"</f>
        <v>10101011210</v>
      </c>
      <c r="C304" s="6">
        <v>52</v>
      </c>
      <c r="D304" s="7">
        <v>302</v>
      </c>
      <c r="E304" s="8"/>
    </row>
    <row r="305" s="1" customFormat="1" ht="18" customHeight="1" spans="1:5">
      <c r="A305" s="5" t="str">
        <f>"张顶珍"</f>
        <v>张顶珍</v>
      </c>
      <c r="B305" s="5" t="str">
        <f>"10101010514"</f>
        <v>10101010514</v>
      </c>
      <c r="C305" s="6">
        <v>51</v>
      </c>
      <c r="D305" s="7">
        <v>303</v>
      </c>
      <c r="E305" s="8"/>
    </row>
    <row r="306" s="1" customFormat="1" ht="18" customHeight="1" spans="1:5">
      <c r="A306" s="5" t="str">
        <f>"张玉爱"</f>
        <v>张玉爱</v>
      </c>
      <c r="B306" s="5" t="str">
        <f>"10101011415"</f>
        <v>10101011415</v>
      </c>
      <c r="C306" s="6">
        <v>51</v>
      </c>
      <c r="D306" s="7">
        <v>304</v>
      </c>
      <c r="E306" s="8"/>
    </row>
    <row r="307" s="1" customFormat="1" ht="18" customHeight="1" spans="1:5">
      <c r="A307" s="5" t="str">
        <f>"唐花"</f>
        <v>唐花</v>
      </c>
      <c r="B307" s="5" t="str">
        <f>"10101011315"</f>
        <v>10101011315</v>
      </c>
      <c r="C307" s="6">
        <v>50</v>
      </c>
      <c r="D307" s="7">
        <v>305</v>
      </c>
      <c r="E307" s="8"/>
    </row>
    <row r="308" s="1" customFormat="1" ht="18" customHeight="1" spans="1:5">
      <c r="A308" s="5" t="str">
        <f>"杨海燕"</f>
        <v>杨海燕</v>
      </c>
      <c r="B308" s="5" t="str">
        <f>"10101011318"</f>
        <v>10101011318</v>
      </c>
      <c r="C308" s="6">
        <v>50</v>
      </c>
      <c r="D308" s="7">
        <v>306</v>
      </c>
      <c r="E308" s="8"/>
    </row>
    <row r="309" s="1" customFormat="1" ht="18" customHeight="1" spans="1:5">
      <c r="A309" s="5" t="str">
        <f>"黄霞丽"</f>
        <v>黄霞丽</v>
      </c>
      <c r="B309" s="5" t="str">
        <f>"10101012010"</f>
        <v>10101012010</v>
      </c>
      <c r="C309" s="6">
        <v>50</v>
      </c>
      <c r="D309" s="7">
        <v>307</v>
      </c>
      <c r="E309" s="8"/>
    </row>
    <row r="310" s="1" customFormat="1" ht="18" customHeight="1" spans="1:5">
      <c r="A310" s="5" t="str">
        <f>"王兰圣"</f>
        <v>王兰圣</v>
      </c>
      <c r="B310" s="5" t="str">
        <f>"10101011521"</f>
        <v>10101011521</v>
      </c>
      <c r="C310" s="6">
        <v>48</v>
      </c>
      <c r="D310" s="7">
        <v>308</v>
      </c>
      <c r="E310" s="8"/>
    </row>
    <row r="311" s="1" customFormat="1" ht="18" customHeight="1" spans="1:5">
      <c r="A311" s="5" t="str">
        <f>"苏娜"</f>
        <v>苏娜</v>
      </c>
      <c r="B311" s="5" t="str">
        <f>"10101011512"</f>
        <v>10101011512</v>
      </c>
      <c r="C311" s="6">
        <v>45</v>
      </c>
      <c r="D311" s="7">
        <v>309</v>
      </c>
      <c r="E311" s="8"/>
    </row>
    <row r="312" s="1" customFormat="1" ht="18" customHeight="1" spans="1:5">
      <c r="A312" s="5" t="str">
        <f>"王微"</f>
        <v>王微</v>
      </c>
      <c r="B312" s="5" t="str">
        <f>"10101011201"</f>
        <v>10101011201</v>
      </c>
      <c r="C312" s="6">
        <v>43</v>
      </c>
      <c r="D312" s="7">
        <v>310</v>
      </c>
      <c r="E312" s="8"/>
    </row>
    <row r="313" s="1" customFormat="1" ht="18" customHeight="1" spans="1:5">
      <c r="A313" s="5" t="str">
        <f>"胡海风"</f>
        <v>胡海风</v>
      </c>
      <c r="B313" s="5" t="str">
        <f>"10101010608"</f>
        <v>10101010608</v>
      </c>
      <c r="C313" s="6">
        <v>39</v>
      </c>
      <c r="D313" s="7">
        <v>311</v>
      </c>
      <c r="E313" s="8"/>
    </row>
    <row r="314" s="1" customFormat="1" ht="18" customHeight="1" spans="1:5">
      <c r="A314" s="5" t="str">
        <f>"符海春"</f>
        <v>符海春</v>
      </c>
      <c r="B314" s="5" t="str">
        <f>"10101010404"</f>
        <v>10101010404</v>
      </c>
      <c r="C314" s="6">
        <v>34</v>
      </c>
      <c r="D314" s="7">
        <v>312</v>
      </c>
      <c r="E314" s="8"/>
    </row>
    <row r="315" s="1" customFormat="1" ht="18" customHeight="1" spans="1:5">
      <c r="A315" s="5" t="str">
        <f>"林南燕"</f>
        <v>林南燕</v>
      </c>
      <c r="B315" s="5" t="str">
        <f>"10101010101"</f>
        <v>10101010101</v>
      </c>
      <c r="C315" s="6" t="s">
        <v>8</v>
      </c>
      <c r="D315" s="6" t="s">
        <v>9</v>
      </c>
      <c r="E315" s="8"/>
    </row>
    <row r="316" s="1" customFormat="1" ht="18" customHeight="1" spans="1:5">
      <c r="A316" s="5" t="str">
        <f>"曾小玲"</f>
        <v>曾小玲</v>
      </c>
      <c r="B316" s="5" t="str">
        <f>"10101010103"</f>
        <v>10101010103</v>
      </c>
      <c r="C316" s="6" t="s">
        <v>8</v>
      </c>
      <c r="D316" s="6" t="s">
        <v>9</v>
      </c>
      <c r="E316" s="8"/>
    </row>
    <row r="317" s="1" customFormat="1" ht="18" customHeight="1" spans="1:5">
      <c r="A317" s="5" t="str">
        <f>"董悦萍"</f>
        <v>董悦萍</v>
      </c>
      <c r="B317" s="5" t="str">
        <f>"10101010104"</f>
        <v>10101010104</v>
      </c>
      <c r="C317" s="6" t="s">
        <v>8</v>
      </c>
      <c r="D317" s="6" t="s">
        <v>9</v>
      </c>
      <c r="E317" s="8"/>
    </row>
    <row r="318" s="1" customFormat="1" ht="18" customHeight="1" spans="1:5">
      <c r="A318" s="5" t="str">
        <f>"符丽艳"</f>
        <v>符丽艳</v>
      </c>
      <c r="B318" s="5" t="str">
        <f>"10101010105"</f>
        <v>10101010105</v>
      </c>
      <c r="C318" s="6" t="s">
        <v>8</v>
      </c>
      <c r="D318" s="6" t="s">
        <v>9</v>
      </c>
      <c r="E318" s="8"/>
    </row>
    <row r="319" s="1" customFormat="1" ht="18" customHeight="1" spans="1:5">
      <c r="A319" s="5" t="str">
        <f>"王韵尧"</f>
        <v>王韵尧</v>
      </c>
      <c r="B319" s="5" t="str">
        <f>"10101010106"</f>
        <v>10101010106</v>
      </c>
      <c r="C319" s="6" t="s">
        <v>8</v>
      </c>
      <c r="D319" s="6" t="s">
        <v>9</v>
      </c>
      <c r="E319" s="8"/>
    </row>
    <row r="320" s="1" customFormat="1" ht="18" customHeight="1" spans="1:5">
      <c r="A320" s="5" t="str">
        <f>"何家依"</f>
        <v>何家依</v>
      </c>
      <c r="B320" s="5" t="str">
        <f>"10101010107"</f>
        <v>10101010107</v>
      </c>
      <c r="C320" s="6" t="s">
        <v>8</v>
      </c>
      <c r="D320" s="6" t="s">
        <v>9</v>
      </c>
      <c r="E320" s="8"/>
    </row>
    <row r="321" s="1" customFormat="1" ht="18" customHeight="1" spans="1:5">
      <c r="A321" s="5" t="str">
        <f>"邝长娜"</f>
        <v>邝长娜</v>
      </c>
      <c r="B321" s="5" t="str">
        <f>"10101010108"</f>
        <v>10101010108</v>
      </c>
      <c r="C321" s="6" t="s">
        <v>8</v>
      </c>
      <c r="D321" s="6" t="s">
        <v>9</v>
      </c>
      <c r="E321" s="8"/>
    </row>
    <row r="322" s="1" customFormat="1" ht="18" customHeight="1" spans="1:5">
      <c r="A322" s="5" t="str">
        <f>"林成娟"</f>
        <v>林成娟</v>
      </c>
      <c r="B322" s="5" t="str">
        <f>"10101010109"</f>
        <v>10101010109</v>
      </c>
      <c r="C322" s="6" t="s">
        <v>8</v>
      </c>
      <c r="D322" s="6" t="s">
        <v>9</v>
      </c>
      <c r="E322" s="8"/>
    </row>
    <row r="323" s="1" customFormat="1" ht="18" customHeight="1" spans="1:5">
      <c r="A323" s="5" t="str">
        <f>"吴小莹"</f>
        <v>吴小莹</v>
      </c>
      <c r="B323" s="5" t="str">
        <f>"10101010111"</f>
        <v>10101010111</v>
      </c>
      <c r="C323" s="6" t="s">
        <v>8</v>
      </c>
      <c r="D323" s="6" t="s">
        <v>9</v>
      </c>
      <c r="E323" s="8"/>
    </row>
    <row r="324" s="1" customFormat="1" ht="18" customHeight="1" spans="1:5">
      <c r="A324" s="5" t="str">
        <f>"陈亚页"</f>
        <v>陈亚页</v>
      </c>
      <c r="B324" s="5" t="str">
        <f>"10101010112"</f>
        <v>10101010112</v>
      </c>
      <c r="C324" s="6" t="s">
        <v>8</v>
      </c>
      <c r="D324" s="6" t="s">
        <v>9</v>
      </c>
      <c r="E324" s="8"/>
    </row>
    <row r="325" s="1" customFormat="1" ht="18" customHeight="1" spans="1:5">
      <c r="A325" s="5" t="str">
        <f>"钟壮川"</f>
        <v>钟壮川</v>
      </c>
      <c r="B325" s="5" t="str">
        <f>"10101010113"</f>
        <v>10101010113</v>
      </c>
      <c r="C325" s="6" t="s">
        <v>8</v>
      </c>
      <c r="D325" s="6" t="s">
        <v>9</v>
      </c>
      <c r="E325" s="8"/>
    </row>
    <row r="326" s="1" customFormat="1" ht="18" customHeight="1" spans="1:5">
      <c r="A326" s="5" t="str">
        <f>"林咪咪"</f>
        <v>林咪咪</v>
      </c>
      <c r="B326" s="5" t="str">
        <f>"10101010114"</f>
        <v>10101010114</v>
      </c>
      <c r="C326" s="6" t="s">
        <v>8</v>
      </c>
      <c r="D326" s="6" t="s">
        <v>9</v>
      </c>
      <c r="E326" s="8"/>
    </row>
    <row r="327" s="1" customFormat="1" ht="18" customHeight="1" spans="1:5">
      <c r="A327" s="5" t="str">
        <f>"陈婧"</f>
        <v>陈婧</v>
      </c>
      <c r="B327" s="5" t="str">
        <f>"10101010115"</f>
        <v>10101010115</v>
      </c>
      <c r="C327" s="6" t="s">
        <v>8</v>
      </c>
      <c r="D327" s="6" t="s">
        <v>9</v>
      </c>
      <c r="E327" s="8"/>
    </row>
    <row r="328" s="1" customFormat="1" ht="18" customHeight="1" spans="1:5">
      <c r="A328" s="5" t="str">
        <f>"黄淑蓉"</f>
        <v>黄淑蓉</v>
      </c>
      <c r="B328" s="5" t="str">
        <f>"10101010119"</f>
        <v>10101010119</v>
      </c>
      <c r="C328" s="6" t="s">
        <v>8</v>
      </c>
      <c r="D328" s="6" t="s">
        <v>9</v>
      </c>
      <c r="E328" s="8"/>
    </row>
    <row r="329" s="1" customFormat="1" ht="18" customHeight="1" spans="1:5">
      <c r="A329" s="5" t="str">
        <f>"何秀丹"</f>
        <v>何秀丹</v>
      </c>
      <c r="B329" s="5" t="str">
        <f>"10101010122"</f>
        <v>10101010122</v>
      </c>
      <c r="C329" s="6" t="s">
        <v>8</v>
      </c>
      <c r="D329" s="6" t="s">
        <v>9</v>
      </c>
      <c r="E329" s="8"/>
    </row>
    <row r="330" s="1" customFormat="1" ht="18" customHeight="1" spans="1:5">
      <c r="A330" s="5" t="str">
        <f>"何婆丹"</f>
        <v>何婆丹</v>
      </c>
      <c r="B330" s="5" t="str">
        <f>"10101010129"</f>
        <v>10101010129</v>
      </c>
      <c r="C330" s="6" t="s">
        <v>8</v>
      </c>
      <c r="D330" s="6" t="s">
        <v>9</v>
      </c>
      <c r="E330" s="8"/>
    </row>
    <row r="331" s="1" customFormat="1" ht="18" customHeight="1" spans="1:5">
      <c r="A331" s="5" t="str">
        <f>"沈淑桃"</f>
        <v>沈淑桃</v>
      </c>
      <c r="B331" s="5" t="str">
        <f>"10101010130"</f>
        <v>10101010130</v>
      </c>
      <c r="C331" s="6" t="s">
        <v>8</v>
      </c>
      <c r="D331" s="6" t="s">
        <v>9</v>
      </c>
      <c r="E331" s="8"/>
    </row>
    <row r="332" s="1" customFormat="1" ht="18" customHeight="1" spans="1:5">
      <c r="A332" s="5" t="str">
        <f>"王小兰"</f>
        <v>王小兰</v>
      </c>
      <c r="B332" s="5" t="str">
        <f>"10101010204"</f>
        <v>10101010204</v>
      </c>
      <c r="C332" s="6" t="s">
        <v>8</v>
      </c>
      <c r="D332" s="6" t="s">
        <v>9</v>
      </c>
      <c r="E332" s="8"/>
    </row>
    <row r="333" s="1" customFormat="1" ht="18" customHeight="1" spans="1:5">
      <c r="A333" s="5" t="str">
        <f>"容英"</f>
        <v>容英</v>
      </c>
      <c r="B333" s="5" t="str">
        <f>"10101010205"</f>
        <v>10101010205</v>
      </c>
      <c r="C333" s="6" t="s">
        <v>8</v>
      </c>
      <c r="D333" s="6" t="s">
        <v>9</v>
      </c>
      <c r="E333" s="8"/>
    </row>
    <row r="334" s="1" customFormat="1" ht="18" customHeight="1" spans="1:5">
      <c r="A334" s="5" t="str">
        <f>"王彩玉"</f>
        <v>王彩玉</v>
      </c>
      <c r="B334" s="5" t="str">
        <f>"10101010210"</f>
        <v>10101010210</v>
      </c>
      <c r="C334" s="6" t="s">
        <v>8</v>
      </c>
      <c r="D334" s="6" t="s">
        <v>9</v>
      </c>
      <c r="E334" s="8"/>
    </row>
    <row r="335" s="1" customFormat="1" ht="18" customHeight="1" spans="1:5">
      <c r="A335" s="5" t="str">
        <f>"黄清秋"</f>
        <v>黄清秋</v>
      </c>
      <c r="B335" s="5" t="str">
        <f>"10101010212"</f>
        <v>10101010212</v>
      </c>
      <c r="C335" s="6" t="s">
        <v>8</v>
      </c>
      <c r="D335" s="6" t="s">
        <v>9</v>
      </c>
      <c r="E335" s="8"/>
    </row>
    <row r="336" s="1" customFormat="1" ht="18" customHeight="1" spans="1:5">
      <c r="A336" s="5" t="str">
        <f>"羊春爱"</f>
        <v>羊春爱</v>
      </c>
      <c r="B336" s="5" t="str">
        <f>"10101010214"</f>
        <v>10101010214</v>
      </c>
      <c r="C336" s="6" t="s">
        <v>8</v>
      </c>
      <c r="D336" s="6" t="s">
        <v>9</v>
      </c>
      <c r="E336" s="8"/>
    </row>
    <row r="337" s="1" customFormat="1" ht="18" customHeight="1" spans="1:5">
      <c r="A337" s="5" t="str">
        <f>"肖琼芳"</f>
        <v>肖琼芳</v>
      </c>
      <c r="B337" s="5" t="str">
        <f>"10101010215"</f>
        <v>10101010215</v>
      </c>
      <c r="C337" s="6" t="s">
        <v>8</v>
      </c>
      <c r="D337" s="6" t="s">
        <v>9</v>
      </c>
      <c r="E337" s="8"/>
    </row>
    <row r="338" s="1" customFormat="1" ht="18" customHeight="1" spans="1:5">
      <c r="A338" s="5" t="str">
        <f>"薛秀丹"</f>
        <v>薛秀丹</v>
      </c>
      <c r="B338" s="5" t="str">
        <f>"10101010219"</f>
        <v>10101010219</v>
      </c>
      <c r="C338" s="6" t="s">
        <v>8</v>
      </c>
      <c r="D338" s="6" t="s">
        <v>9</v>
      </c>
      <c r="E338" s="8"/>
    </row>
    <row r="339" s="1" customFormat="1" ht="18" customHeight="1" spans="1:5">
      <c r="A339" s="5" t="str">
        <f>"王彩妹"</f>
        <v>王彩妹</v>
      </c>
      <c r="B339" s="5" t="str">
        <f>"10101010220"</f>
        <v>10101010220</v>
      </c>
      <c r="C339" s="6" t="s">
        <v>8</v>
      </c>
      <c r="D339" s="6" t="s">
        <v>9</v>
      </c>
      <c r="E339" s="8"/>
    </row>
    <row r="340" s="1" customFormat="1" ht="18" customHeight="1" spans="1:5">
      <c r="A340" s="5" t="str">
        <f>"陈艳"</f>
        <v>陈艳</v>
      </c>
      <c r="B340" s="5" t="str">
        <f>"10101010222"</f>
        <v>10101010222</v>
      </c>
      <c r="C340" s="6" t="s">
        <v>8</v>
      </c>
      <c r="D340" s="6" t="s">
        <v>9</v>
      </c>
      <c r="E340" s="8"/>
    </row>
    <row r="341" s="1" customFormat="1" ht="18" customHeight="1" spans="1:5">
      <c r="A341" s="5" t="str">
        <f>"陈月玲"</f>
        <v>陈月玲</v>
      </c>
      <c r="B341" s="5" t="str">
        <f>"10101010224"</f>
        <v>10101010224</v>
      </c>
      <c r="C341" s="6" t="s">
        <v>8</v>
      </c>
      <c r="D341" s="6" t="s">
        <v>9</v>
      </c>
      <c r="E341" s="8"/>
    </row>
    <row r="342" s="1" customFormat="1" ht="18" customHeight="1" spans="1:5">
      <c r="A342" s="5" t="str">
        <f>"羊世娟"</f>
        <v>羊世娟</v>
      </c>
      <c r="B342" s="5" t="str">
        <f>"10101010226"</f>
        <v>10101010226</v>
      </c>
      <c r="C342" s="6" t="s">
        <v>8</v>
      </c>
      <c r="D342" s="6" t="s">
        <v>9</v>
      </c>
      <c r="E342" s="8"/>
    </row>
    <row r="343" s="1" customFormat="1" ht="18" customHeight="1" spans="1:5">
      <c r="A343" s="5" t="str">
        <f>"蔡亚会"</f>
        <v>蔡亚会</v>
      </c>
      <c r="B343" s="5" t="str">
        <f>"10101010227"</f>
        <v>10101010227</v>
      </c>
      <c r="C343" s="6" t="s">
        <v>8</v>
      </c>
      <c r="D343" s="6" t="s">
        <v>9</v>
      </c>
      <c r="E343" s="8"/>
    </row>
    <row r="344" s="1" customFormat="1" ht="18" customHeight="1" spans="1:5">
      <c r="A344" s="5" t="str">
        <f>"符思丽"</f>
        <v>符思丽</v>
      </c>
      <c r="B344" s="5" t="str">
        <f>"10101010230"</f>
        <v>10101010230</v>
      </c>
      <c r="C344" s="6" t="s">
        <v>8</v>
      </c>
      <c r="D344" s="6" t="s">
        <v>9</v>
      </c>
      <c r="E344" s="8"/>
    </row>
    <row r="345" s="1" customFormat="1" ht="18" customHeight="1" spans="1:5">
      <c r="A345" s="5" t="str">
        <f>"钟彩霞"</f>
        <v>钟彩霞</v>
      </c>
      <c r="B345" s="5" t="str">
        <f>"10101010305"</f>
        <v>10101010305</v>
      </c>
      <c r="C345" s="6" t="s">
        <v>8</v>
      </c>
      <c r="D345" s="6" t="s">
        <v>9</v>
      </c>
      <c r="E345" s="8"/>
    </row>
    <row r="346" s="1" customFormat="1" ht="18" customHeight="1" spans="1:5">
      <c r="A346" s="5" t="str">
        <f>"张春妮"</f>
        <v>张春妮</v>
      </c>
      <c r="B346" s="5" t="str">
        <f>"10101010306"</f>
        <v>10101010306</v>
      </c>
      <c r="C346" s="6" t="s">
        <v>8</v>
      </c>
      <c r="D346" s="6" t="s">
        <v>9</v>
      </c>
      <c r="E346" s="8"/>
    </row>
    <row r="347" s="1" customFormat="1" ht="18" customHeight="1" spans="1:5">
      <c r="A347" s="5" t="str">
        <f>"关惠琼"</f>
        <v>关惠琼</v>
      </c>
      <c r="B347" s="5" t="str">
        <f>"10101010307"</f>
        <v>10101010307</v>
      </c>
      <c r="C347" s="6" t="s">
        <v>8</v>
      </c>
      <c r="D347" s="6" t="s">
        <v>9</v>
      </c>
      <c r="E347" s="8"/>
    </row>
    <row r="348" s="1" customFormat="1" ht="18" customHeight="1" spans="1:5">
      <c r="A348" s="5" t="str">
        <f>"唐艺"</f>
        <v>唐艺</v>
      </c>
      <c r="B348" s="5" t="str">
        <f>"10101010308"</f>
        <v>10101010308</v>
      </c>
      <c r="C348" s="6" t="s">
        <v>8</v>
      </c>
      <c r="D348" s="6" t="s">
        <v>9</v>
      </c>
      <c r="E348" s="8"/>
    </row>
    <row r="349" s="1" customFormat="1" ht="18" customHeight="1" spans="1:5">
      <c r="A349" s="5" t="str">
        <f>"黄素红"</f>
        <v>黄素红</v>
      </c>
      <c r="B349" s="5" t="str">
        <f>"10101010309"</f>
        <v>10101010309</v>
      </c>
      <c r="C349" s="6" t="s">
        <v>8</v>
      </c>
      <c r="D349" s="6" t="s">
        <v>9</v>
      </c>
      <c r="E349" s="8"/>
    </row>
    <row r="350" s="1" customFormat="1" ht="18" customHeight="1" spans="1:5">
      <c r="A350" s="5" t="str">
        <f>"韦佳佳"</f>
        <v>韦佳佳</v>
      </c>
      <c r="B350" s="5" t="str">
        <f>"10101010310"</f>
        <v>10101010310</v>
      </c>
      <c r="C350" s="6" t="s">
        <v>8</v>
      </c>
      <c r="D350" s="6" t="s">
        <v>9</v>
      </c>
      <c r="E350" s="8"/>
    </row>
    <row r="351" s="1" customFormat="1" ht="18" customHeight="1" spans="1:5">
      <c r="A351" s="5" t="str">
        <f>"谢祥桃"</f>
        <v>谢祥桃</v>
      </c>
      <c r="B351" s="5" t="str">
        <f>"10101010311"</f>
        <v>10101010311</v>
      </c>
      <c r="C351" s="6" t="s">
        <v>8</v>
      </c>
      <c r="D351" s="6" t="s">
        <v>9</v>
      </c>
      <c r="E351" s="8"/>
    </row>
    <row r="352" s="1" customFormat="1" ht="18" customHeight="1" spans="1:5">
      <c r="A352" s="5" t="str">
        <f>"张宇婷"</f>
        <v>张宇婷</v>
      </c>
      <c r="B352" s="5" t="str">
        <f>"10101010313"</f>
        <v>10101010313</v>
      </c>
      <c r="C352" s="6" t="s">
        <v>8</v>
      </c>
      <c r="D352" s="6" t="s">
        <v>9</v>
      </c>
      <c r="E352" s="8"/>
    </row>
    <row r="353" s="1" customFormat="1" ht="18" customHeight="1" spans="1:5">
      <c r="A353" s="5" t="str">
        <f>"符东琴"</f>
        <v>符东琴</v>
      </c>
      <c r="B353" s="5" t="str">
        <f>"10101010314"</f>
        <v>10101010314</v>
      </c>
      <c r="C353" s="6" t="s">
        <v>8</v>
      </c>
      <c r="D353" s="6" t="s">
        <v>9</v>
      </c>
      <c r="E353" s="8"/>
    </row>
    <row r="354" s="1" customFormat="1" ht="18" customHeight="1" spans="1:5">
      <c r="A354" s="5" t="str">
        <f>"徐婉卿"</f>
        <v>徐婉卿</v>
      </c>
      <c r="B354" s="5" t="str">
        <f>"10101010315"</f>
        <v>10101010315</v>
      </c>
      <c r="C354" s="6" t="s">
        <v>8</v>
      </c>
      <c r="D354" s="6" t="s">
        <v>9</v>
      </c>
      <c r="E354" s="8"/>
    </row>
    <row r="355" s="1" customFormat="1" ht="18" customHeight="1" spans="1:5">
      <c r="A355" s="5" t="str">
        <f>"符志梅"</f>
        <v>符志梅</v>
      </c>
      <c r="B355" s="5" t="str">
        <f>"10101010319"</f>
        <v>10101010319</v>
      </c>
      <c r="C355" s="6" t="s">
        <v>8</v>
      </c>
      <c r="D355" s="6" t="s">
        <v>9</v>
      </c>
      <c r="E355" s="8"/>
    </row>
    <row r="356" s="1" customFormat="1" ht="18" customHeight="1" spans="1:5">
      <c r="A356" s="5" t="str">
        <f>"陈妹"</f>
        <v>陈妹</v>
      </c>
      <c r="B356" s="5" t="str">
        <f>"10101010320"</f>
        <v>10101010320</v>
      </c>
      <c r="C356" s="6" t="s">
        <v>8</v>
      </c>
      <c r="D356" s="6" t="s">
        <v>9</v>
      </c>
      <c r="E356" s="8"/>
    </row>
    <row r="357" s="1" customFormat="1" ht="18" customHeight="1" spans="1:5">
      <c r="A357" s="5" t="str">
        <f>"谢桃玉"</f>
        <v>谢桃玉</v>
      </c>
      <c r="B357" s="5" t="str">
        <f>"10101010321"</f>
        <v>10101010321</v>
      </c>
      <c r="C357" s="6" t="s">
        <v>8</v>
      </c>
      <c r="D357" s="6" t="s">
        <v>9</v>
      </c>
      <c r="E357" s="8"/>
    </row>
    <row r="358" s="1" customFormat="1" ht="18" customHeight="1" spans="1:5">
      <c r="A358" s="5" t="str">
        <f>"罗伟晶"</f>
        <v>罗伟晶</v>
      </c>
      <c r="B358" s="5" t="str">
        <f>"10101010322"</f>
        <v>10101010322</v>
      </c>
      <c r="C358" s="6" t="s">
        <v>8</v>
      </c>
      <c r="D358" s="6" t="s">
        <v>9</v>
      </c>
      <c r="E358" s="8"/>
    </row>
    <row r="359" s="1" customFormat="1" ht="18" customHeight="1" spans="1:5">
      <c r="A359" s="5" t="str">
        <f>"林佳佳"</f>
        <v>林佳佳</v>
      </c>
      <c r="B359" s="5" t="str">
        <f>"10101010324"</f>
        <v>10101010324</v>
      </c>
      <c r="C359" s="6" t="s">
        <v>8</v>
      </c>
      <c r="D359" s="6" t="s">
        <v>9</v>
      </c>
      <c r="E359" s="8"/>
    </row>
    <row r="360" s="1" customFormat="1" ht="18" customHeight="1" spans="1:5">
      <c r="A360" s="5" t="str">
        <f>"郑小丹"</f>
        <v>郑小丹</v>
      </c>
      <c r="B360" s="5" t="str">
        <f>"10101010329"</f>
        <v>10101010329</v>
      </c>
      <c r="C360" s="6" t="s">
        <v>8</v>
      </c>
      <c r="D360" s="6" t="s">
        <v>9</v>
      </c>
      <c r="E360" s="8"/>
    </row>
    <row r="361" s="1" customFormat="1" ht="18" customHeight="1" spans="1:5">
      <c r="A361" s="5" t="str">
        <f>"羊精玲"</f>
        <v>羊精玲</v>
      </c>
      <c r="B361" s="5" t="str">
        <f>"10101010402"</f>
        <v>10101010402</v>
      </c>
      <c r="C361" s="6" t="s">
        <v>8</v>
      </c>
      <c r="D361" s="6" t="s">
        <v>9</v>
      </c>
      <c r="E361" s="8"/>
    </row>
    <row r="362" s="1" customFormat="1" ht="18" customHeight="1" spans="1:5">
      <c r="A362" s="5" t="str">
        <f>"赵媛媛"</f>
        <v>赵媛媛</v>
      </c>
      <c r="B362" s="5" t="str">
        <f>"10101010403"</f>
        <v>10101010403</v>
      </c>
      <c r="C362" s="6" t="s">
        <v>8</v>
      </c>
      <c r="D362" s="6" t="s">
        <v>9</v>
      </c>
      <c r="E362" s="8"/>
    </row>
    <row r="363" s="1" customFormat="1" ht="18" customHeight="1" spans="1:5">
      <c r="A363" s="5" t="str">
        <f>"张丽珠"</f>
        <v>张丽珠</v>
      </c>
      <c r="B363" s="5" t="str">
        <f>"10101010408"</f>
        <v>10101010408</v>
      </c>
      <c r="C363" s="6" t="s">
        <v>8</v>
      </c>
      <c r="D363" s="6" t="s">
        <v>9</v>
      </c>
      <c r="E363" s="8"/>
    </row>
    <row r="364" s="1" customFormat="1" ht="18" customHeight="1" spans="1:5">
      <c r="A364" s="5" t="str">
        <f>"黎展灵"</f>
        <v>黎展灵</v>
      </c>
      <c r="B364" s="5" t="str">
        <f>"10101010412"</f>
        <v>10101010412</v>
      </c>
      <c r="C364" s="6" t="s">
        <v>8</v>
      </c>
      <c r="D364" s="6" t="s">
        <v>9</v>
      </c>
      <c r="E364" s="8"/>
    </row>
    <row r="365" s="1" customFormat="1" ht="18" customHeight="1" spans="1:5">
      <c r="A365" s="5" t="str">
        <f>"朱颖"</f>
        <v>朱颖</v>
      </c>
      <c r="B365" s="5" t="str">
        <f>"10101010414"</f>
        <v>10101010414</v>
      </c>
      <c r="C365" s="6" t="s">
        <v>8</v>
      </c>
      <c r="D365" s="6" t="s">
        <v>9</v>
      </c>
      <c r="E365" s="8"/>
    </row>
    <row r="366" s="1" customFormat="1" ht="18" customHeight="1" spans="1:5">
      <c r="A366" s="5" t="str">
        <f>"罗海霞"</f>
        <v>罗海霞</v>
      </c>
      <c r="B366" s="5" t="str">
        <f>"10101010415"</f>
        <v>10101010415</v>
      </c>
      <c r="C366" s="6" t="s">
        <v>8</v>
      </c>
      <c r="D366" s="6" t="s">
        <v>9</v>
      </c>
      <c r="E366" s="8"/>
    </row>
    <row r="367" s="1" customFormat="1" ht="18" customHeight="1" spans="1:5">
      <c r="A367" s="5" t="str">
        <f>"符丹慧"</f>
        <v>符丹慧</v>
      </c>
      <c r="B367" s="5" t="str">
        <f>"10101010422"</f>
        <v>10101010422</v>
      </c>
      <c r="C367" s="6" t="s">
        <v>8</v>
      </c>
      <c r="D367" s="6" t="s">
        <v>9</v>
      </c>
      <c r="E367" s="8"/>
    </row>
    <row r="368" s="1" customFormat="1" ht="18" customHeight="1" spans="1:5">
      <c r="A368" s="5" t="str">
        <f>"汤丽彬"</f>
        <v>汤丽彬</v>
      </c>
      <c r="B368" s="5" t="str">
        <f>"10101010424"</f>
        <v>10101010424</v>
      </c>
      <c r="C368" s="6" t="s">
        <v>8</v>
      </c>
      <c r="D368" s="6" t="s">
        <v>9</v>
      </c>
      <c r="E368" s="8"/>
    </row>
    <row r="369" s="1" customFormat="1" ht="18" customHeight="1" spans="1:5">
      <c r="A369" s="5" t="str">
        <f>"王小恋"</f>
        <v>王小恋</v>
      </c>
      <c r="B369" s="5" t="str">
        <f>"10101010426"</f>
        <v>10101010426</v>
      </c>
      <c r="C369" s="6" t="s">
        <v>8</v>
      </c>
      <c r="D369" s="6" t="s">
        <v>9</v>
      </c>
      <c r="E369" s="8"/>
    </row>
    <row r="370" s="1" customFormat="1" ht="18" customHeight="1" spans="1:5">
      <c r="A370" s="5" t="str">
        <f>"王海晶"</f>
        <v>王海晶</v>
      </c>
      <c r="B370" s="5" t="str">
        <f>"10101010429"</f>
        <v>10101010429</v>
      </c>
      <c r="C370" s="6" t="s">
        <v>8</v>
      </c>
      <c r="D370" s="6" t="s">
        <v>9</v>
      </c>
      <c r="E370" s="8"/>
    </row>
    <row r="371" s="1" customFormat="1" ht="18" customHeight="1" spans="1:5">
      <c r="A371" s="5" t="str">
        <f>"王小敏"</f>
        <v>王小敏</v>
      </c>
      <c r="B371" s="5" t="str">
        <f>"10101010501"</f>
        <v>10101010501</v>
      </c>
      <c r="C371" s="6" t="s">
        <v>8</v>
      </c>
      <c r="D371" s="6" t="s">
        <v>9</v>
      </c>
      <c r="E371" s="8"/>
    </row>
    <row r="372" s="1" customFormat="1" ht="18" customHeight="1" spans="1:5">
      <c r="A372" s="5" t="str">
        <f>"李小娟"</f>
        <v>李小娟</v>
      </c>
      <c r="B372" s="5" t="str">
        <f>"10101010503"</f>
        <v>10101010503</v>
      </c>
      <c r="C372" s="6" t="s">
        <v>8</v>
      </c>
      <c r="D372" s="6" t="s">
        <v>9</v>
      </c>
      <c r="E372" s="8"/>
    </row>
    <row r="373" s="1" customFormat="1" ht="18" customHeight="1" spans="1:5">
      <c r="A373" s="5" t="str">
        <f>"许菊艳"</f>
        <v>许菊艳</v>
      </c>
      <c r="B373" s="5" t="str">
        <f>"10101010504"</f>
        <v>10101010504</v>
      </c>
      <c r="C373" s="6" t="s">
        <v>8</v>
      </c>
      <c r="D373" s="6" t="s">
        <v>9</v>
      </c>
      <c r="E373" s="8"/>
    </row>
    <row r="374" s="1" customFormat="1" ht="18" customHeight="1" spans="1:5">
      <c r="A374" s="5" t="str">
        <f>"廖长瑶"</f>
        <v>廖长瑶</v>
      </c>
      <c r="B374" s="5" t="str">
        <f>"10101010506"</f>
        <v>10101010506</v>
      </c>
      <c r="C374" s="6" t="s">
        <v>8</v>
      </c>
      <c r="D374" s="6" t="s">
        <v>9</v>
      </c>
      <c r="E374" s="8"/>
    </row>
    <row r="375" s="1" customFormat="1" ht="18" customHeight="1" spans="1:5">
      <c r="A375" s="5" t="str">
        <f>"林柳桃"</f>
        <v>林柳桃</v>
      </c>
      <c r="B375" s="5" t="str">
        <f>"10101010508"</f>
        <v>10101010508</v>
      </c>
      <c r="C375" s="6" t="s">
        <v>8</v>
      </c>
      <c r="D375" s="6" t="s">
        <v>9</v>
      </c>
      <c r="E375" s="8"/>
    </row>
    <row r="376" s="1" customFormat="1" ht="18" customHeight="1" spans="1:5">
      <c r="A376" s="5" t="str">
        <f>"林群"</f>
        <v>林群</v>
      </c>
      <c r="B376" s="5" t="str">
        <f>"10101010509"</f>
        <v>10101010509</v>
      </c>
      <c r="C376" s="6" t="s">
        <v>8</v>
      </c>
      <c r="D376" s="6" t="s">
        <v>9</v>
      </c>
      <c r="E376" s="8"/>
    </row>
    <row r="377" s="1" customFormat="1" ht="18" customHeight="1" spans="1:5">
      <c r="A377" s="5" t="str">
        <f>"王淇"</f>
        <v>王淇</v>
      </c>
      <c r="B377" s="5" t="str">
        <f>"10101010510"</f>
        <v>10101010510</v>
      </c>
      <c r="C377" s="6" t="s">
        <v>8</v>
      </c>
      <c r="D377" s="6" t="s">
        <v>9</v>
      </c>
      <c r="E377" s="8"/>
    </row>
    <row r="378" s="1" customFormat="1" ht="18" customHeight="1" spans="1:5">
      <c r="A378" s="5" t="str">
        <f>"吴英桃"</f>
        <v>吴英桃</v>
      </c>
      <c r="B378" s="5" t="str">
        <f>"10101010512"</f>
        <v>10101010512</v>
      </c>
      <c r="C378" s="6" t="s">
        <v>8</v>
      </c>
      <c r="D378" s="6" t="s">
        <v>9</v>
      </c>
      <c r="E378" s="8"/>
    </row>
    <row r="379" s="1" customFormat="1" ht="18" customHeight="1" spans="1:5">
      <c r="A379" s="5" t="str">
        <f>"张妍"</f>
        <v>张妍</v>
      </c>
      <c r="B379" s="5" t="str">
        <f>"10101010515"</f>
        <v>10101010515</v>
      </c>
      <c r="C379" s="6" t="s">
        <v>8</v>
      </c>
      <c r="D379" s="6" t="s">
        <v>9</v>
      </c>
      <c r="E379" s="8"/>
    </row>
    <row r="380" s="1" customFormat="1" ht="18" customHeight="1" spans="1:5">
      <c r="A380" s="5" t="str">
        <f>"何元桃"</f>
        <v>何元桃</v>
      </c>
      <c r="B380" s="5" t="str">
        <f>"10101010517"</f>
        <v>10101010517</v>
      </c>
      <c r="C380" s="6" t="s">
        <v>8</v>
      </c>
      <c r="D380" s="6" t="s">
        <v>9</v>
      </c>
      <c r="E380" s="8"/>
    </row>
    <row r="381" s="1" customFormat="1" ht="18" customHeight="1" spans="1:5">
      <c r="A381" s="5" t="str">
        <f>"孙淑美"</f>
        <v>孙淑美</v>
      </c>
      <c r="B381" s="5" t="str">
        <f>"10101010520"</f>
        <v>10101010520</v>
      </c>
      <c r="C381" s="6" t="s">
        <v>8</v>
      </c>
      <c r="D381" s="6" t="s">
        <v>9</v>
      </c>
      <c r="E381" s="8"/>
    </row>
    <row r="382" s="1" customFormat="1" ht="18" customHeight="1" spans="1:5">
      <c r="A382" s="5" t="str">
        <f>"王林巧"</f>
        <v>王林巧</v>
      </c>
      <c r="B382" s="5" t="str">
        <f>"10101010521"</f>
        <v>10101010521</v>
      </c>
      <c r="C382" s="6" t="s">
        <v>8</v>
      </c>
      <c r="D382" s="6" t="s">
        <v>9</v>
      </c>
      <c r="E382" s="8"/>
    </row>
    <row r="383" s="1" customFormat="1" ht="18" customHeight="1" spans="1:5">
      <c r="A383" s="5" t="str">
        <f>"刘丹"</f>
        <v>刘丹</v>
      </c>
      <c r="B383" s="5" t="str">
        <f>"10101010529"</f>
        <v>10101010529</v>
      </c>
      <c r="C383" s="6" t="s">
        <v>8</v>
      </c>
      <c r="D383" s="6" t="s">
        <v>9</v>
      </c>
      <c r="E383" s="8"/>
    </row>
    <row r="384" s="1" customFormat="1" ht="18" customHeight="1" spans="1:5">
      <c r="A384" s="5" t="str">
        <f>"张秋香"</f>
        <v>张秋香</v>
      </c>
      <c r="B384" s="5" t="str">
        <f>"10101010530"</f>
        <v>10101010530</v>
      </c>
      <c r="C384" s="6" t="s">
        <v>8</v>
      </c>
      <c r="D384" s="6" t="s">
        <v>9</v>
      </c>
      <c r="E384" s="8"/>
    </row>
    <row r="385" s="1" customFormat="1" ht="18" customHeight="1" spans="1:5">
      <c r="A385" s="5" t="str">
        <f>"张莹"</f>
        <v>张莹</v>
      </c>
      <c r="B385" s="5" t="str">
        <f>"10101010604"</f>
        <v>10101010604</v>
      </c>
      <c r="C385" s="6" t="s">
        <v>8</v>
      </c>
      <c r="D385" s="6" t="s">
        <v>9</v>
      </c>
      <c r="E385" s="8"/>
    </row>
    <row r="386" s="1" customFormat="1" ht="18" customHeight="1" spans="1:5">
      <c r="A386" s="5" t="str">
        <f>"吴梅"</f>
        <v>吴梅</v>
      </c>
      <c r="B386" s="5" t="str">
        <f>"10101010619"</f>
        <v>10101010619</v>
      </c>
      <c r="C386" s="6" t="s">
        <v>8</v>
      </c>
      <c r="D386" s="6" t="s">
        <v>9</v>
      </c>
      <c r="E386" s="8" t="s">
        <v>10</v>
      </c>
    </row>
    <row r="387" s="1" customFormat="1" ht="18" customHeight="1" spans="1:5">
      <c r="A387" s="5" t="str">
        <f>"邢妹"</f>
        <v>邢妹</v>
      </c>
      <c r="B387" s="5" t="str">
        <f>"10101010621"</f>
        <v>10101010621</v>
      </c>
      <c r="C387" s="6" t="s">
        <v>8</v>
      </c>
      <c r="D387" s="6" t="s">
        <v>9</v>
      </c>
      <c r="E387" s="8"/>
    </row>
    <row r="388" s="1" customFormat="1" ht="18" customHeight="1" spans="1:5">
      <c r="A388" s="5" t="str">
        <f>"曾美琳"</f>
        <v>曾美琳</v>
      </c>
      <c r="B388" s="5" t="str">
        <f>"10101010622"</f>
        <v>10101010622</v>
      </c>
      <c r="C388" s="6" t="s">
        <v>8</v>
      </c>
      <c r="D388" s="6" t="s">
        <v>9</v>
      </c>
      <c r="E388" s="8"/>
    </row>
    <row r="389" s="1" customFormat="1" ht="18" customHeight="1" spans="1:5">
      <c r="A389" s="5" t="str">
        <f>"李萍丹"</f>
        <v>李萍丹</v>
      </c>
      <c r="B389" s="5" t="str">
        <f>"10101010623"</f>
        <v>10101010623</v>
      </c>
      <c r="C389" s="6" t="s">
        <v>8</v>
      </c>
      <c r="D389" s="6" t="s">
        <v>9</v>
      </c>
      <c r="E389" s="8"/>
    </row>
    <row r="390" s="1" customFormat="1" ht="18" customHeight="1" spans="1:5">
      <c r="A390" s="5" t="str">
        <f>"韦雅婷"</f>
        <v>韦雅婷</v>
      </c>
      <c r="B390" s="5" t="str">
        <f>"10101010624"</f>
        <v>10101010624</v>
      </c>
      <c r="C390" s="6" t="s">
        <v>8</v>
      </c>
      <c r="D390" s="6" t="s">
        <v>9</v>
      </c>
      <c r="E390" s="8"/>
    </row>
    <row r="391" s="1" customFormat="1" ht="18" customHeight="1" spans="1:5">
      <c r="A391" s="5" t="str">
        <f>"张晓"</f>
        <v>张晓</v>
      </c>
      <c r="B391" s="5" t="str">
        <f>"10101010628"</f>
        <v>10101010628</v>
      </c>
      <c r="C391" s="6" t="s">
        <v>8</v>
      </c>
      <c r="D391" s="6" t="s">
        <v>9</v>
      </c>
      <c r="E391" s="8" t="s">
        <v>11</v>
      </c>
    </row>
    <row r="392" s="1" customFormat="1" ht="18" customHeight="1" spans="1:5">
      <c r="A392" s="5" t="str">
        <f>"符梅琦"</f>
        <v>符梅琦</v>
      </c>
      <c r="B392" s="5" t="str">
        <f>"10101010701"</f>
        <v>10101010701</v>
      </c>
      <c r="C392" s="6" t="s">
        <v>8</v>
      </c>
      <c r="D392" s="6" t="s">
        <v>9</v>
      </c>
      <c r="E392" s="8"/>
    </row>
    <row r="393" s="1" customFormat="1" ht="18" customHeight="1" spans="1:5">
      <c r="A393" s="5" t="str">
        <f>"王娟"</f>
        <v>王娟</v>
      </c>
      <c r="B393" s="5" t="str">
        <f>"10101010703"</f>
        <v>10101010703</v>
      </c>
      <c r="C393" s="6" t="s">
        <v>8</v>
      </c>
      <c r="D393" s="6" t="s">
        <v>9</v>
      </c>
      <c r="E393" s="8"/>
    </row>
    <row r="394" s="1" customFormat="1" ht="18" customHeight="1" spans="1:5">
      <c r="A394" s="5" t="str">
        <f>"陈湾"</f>
        <v>陈湾</v>
      </c>
      <c r="B394" s="5" t="str">
        <f>"10101010704"</f>
        <v>10101010704</v>
      </c>
      <c r="C394" s="6" t="s">
        <v>8</v>
      </c>
      <c r="D394" s="6" t="s">
        <v>9</v>
      </c>
      <c r="E394" s="8"/>
    </row>
    <row r="395" s="1" customFormat="1" ht="18" customHeight="1" spans="1:5">
      <c r="A395" s="5" t="str">
        <f>"刘凤美"</f>
        <v>刘凤美</v>
      </c>
      <c r="B395" s="5" t="str">
        <f>"10101010705"</f>
        <v>10101010705</v>
      </c>
      <c r="C395" s="6" t="s">
        <v>8</v>
      </c>
      <c r="D395" s="6" t="s">
        <v>9</v>
      </c>
      <c r="E395" s="8"/>
    </row>
    <row r="396" s="1" customFormat="1" ht="18" customHeight="1" spans="1:5">
      <c r="A396" s="5" t="str">
        <f>"陈晓嫄"</f>
        <v>陈晓嫄</v>
      </c>
      <c r="B396" s="5" t="str">
        <f>"10101010706"</f>
        <v>10101010706</v>
      </c>
      <c r="C396" s="6" t="s">
        <v>8</v>
      </c>
      <c r="D396" s="6" t="s">
        <v>9</v>
      </c>
      <c r="E396" s="8"/>
    </row>
    <row r="397" s="1" customFormat="1" ht="18" customHeight="1" spans="1:5">
      <c r="A397" s="5" t="str">
        <f>"陈俏蕾"</f>
        <v>陈俏蕾</v>
      </c>
      <c r="B397" s="5" t="str">
        <f>"10101010707"</f>
        <v>10101010707</v>
      </c>
      <c r="C397" s="6" t="s">
        <v>8</v>
      </c>
      <c r="D397" s="6" t="s">
        <v>9</v>
      </c>
      <c r="E397" s="8"/>
    </row>
    <row r="398" s="1" customFormat="1" ht="18" customHeight="1" spans="1:5">
      <c r="A398" s="5" t="str">
        <f>"苏美桃"</f>
        <v>苏美桃</v>
      </c>
      <c r="B398" s="5" t="str">
        <f>"10101010712"</f>
        <v>10101010712</v>
      </c>
      <c r="C398" s="6" t="s">
        <v>8</v>
      </c>
      <c r="D398" s="6" t="s">
        <v>9</v>
      </c>
      <c r="E398" s="8"/>
    </row>
    <row r="399" s="1" customFormat="1" ht="18" customHeight="1" spans="1:5">
      <c r="A399" s="5" t="str">
        <f>"王秀女"</f>
        <v>王秀女</v>
      </c>
      <c r="B399" s="5" t="str">
        <f>"10101010713"</f>
        <v>10101010713</v>
      </c>
      <c r="C399" s="6" t="s">
        <v>8</v>
      </c>
      <c r="D399" s="6" t="s">
        <v>9</v>
      </c>
      <c r="E399" s="8"/>
    </row>
    <row r="400" s="1" customFormat="1" ht="18" customHeight="1" spans="1:5">
      <c r="A400" s="5" t="str">
        <f>"邢亚完"</f>
        <v>邢亚完</v>
      </c>
      <c r="B400" s="5" t="str">
        <f>"10101010714"</f>
        <v>10101010714</v>
      </c>
      <c r="C400" s="6" t="s">
        <v>8</v>
      </c>
      <c r="D400" s="6" t="s">
        <v>9</v>
      </c>
      <c r="E400" s="8"/>
    </row>
    <row r="401" s="1" customFormat="1" ht="18" customHeight="1" spans="1:5">
      <c r="A401" s="5" t="str">
        <f>"兰少蕊"</f>
        <v>兰少蕊</v>
      </c>
      <c r="B401" s="5" t="str">
        <f>"10101010715"</f>
        <v>10101010715</v>
      </c>
      <c r="C401" s="6" t="s">
        <v>8</v>
      </c>
      <c r="D401" s="6" t="s">
        <v>9</v>
      </c>
      <c r="E401" s="8"/>
    </row>
    <row r="402" s="1" customFormat="1" ht="18" customHeight="1" spans="1:5">
      <c r="A402" s="5" t="str">
        <f>"李思臻"</f>
        <v>李思臻</v>
      </c>
      <c r="B402" s="5" t="str">
        <f>"10101010718"</f>
        <v>10101010718</v>
      </c>
      <c r="C402" s="6" t="s">
        <v>8</v>
      </c>
      <c r="D402" s="6" t="s">
        <v>9</v>
      </c>
      <c r="E402" s="8"/>
    </row>
    <row r="403" s="1" customFormat="1" ht="18" customHeight="1" spans="1:5">
      <c r="A403" s="5" t="str">
        <f>"许丽玲"</f>
        <v>许丽玲</v>
      </c>
      <c r="B403" s="5" t="str">
        <f>"10101010719"</f>
        <v>10101010719</v>
      </c>
      <c r="C403" s="6" t="s">
        <v>8</v>
      </c>
      <c r="D403" s="6" t="s">
        <v>9</v>
      </c>
      <c r="E403" s="8"/>
    </row>
    <row r="404" s="1" customFormat="1" ht="18" customHeight="1" spans="1:5">
      <c r="A404" s="5" t="str">
        <f>"李荣欣"</f>
        <v>李荣欣</v>
      </c>
      <c r="B404" s="5" t="str">
        <f>"10101010721"</f>
        <v>10101010721</v>
      </c>
      <c r="C404" s="6" t="s">
        <v>8</v>
      </c>
      <c r="D404" s="6" t="s">
        <v>9</v>
      </c>
      <c r="E404" s="8"/>
    </row>
    <row r="405" s="1" customFormat="1" ht="18" customHeight="1" spans="1:5">
      <c r="A405" s="5" t="str">
        <f>"郭晓眯"</f>
        <v>郭晓眯</v>
      </c>
      <c r="B405" s="5" t="str">
        <f>"10101010723"</f>
        <v>10101010723</v>
      </c>
      <c r="C405" s="6" t="s">
        <v>8</v>
      </c>
      <c r="D405" s="6" t="s">
        <v>9</v>
      </c>
      <c r="E405" s="8"/>
    </row>
    <row r="406" s="1" customFormat="1" ht="18" customHeight="1" spans="1:5">
      <c r="A406" s="5" t="str">
        <f>"符喜梅"</f>
        <v>符喜梅</v>
      </c>
      <c r="B406" s="5" t="str">
        <f>"10101010727"</f>
        <v>10101010727</v>
      </c>
      <c r="C406" s="6" t="s">
        <v>8</v>
      </c>
      <c r="D406" s="6" t="s">
        <v>9</v>
      </c>
      <c r="E406" s="8"/>
    </row>
    <row r="407" s="1" customFormat="1" ht="18" customHeight="1" spans="1:5">
      <c r="A407" s="5" t="str">
        <f>"林红霞"</f>
        <v>林红霞</v>
      </c>
      <c r="B407" s="5" t="str">
        <f>"10101010729"</f>
        <v>10101010729</v>
      </c>
      <c r="C407" s="6" t="s">
        <v>8</v>
      </c>
      <c r="D407" s="6" t="s">
        <v>9</v>
      </c>
      <c r="E407" s="8"/>
    </row>
    <row r="408" s="1" customFormat="1" ht="18" customHeight="1" spans="1:5">
      <c r="A408" s="5" t="str">
        <f>"陈有迈"</f>
        <v>陈有迈</v>
      </c>
      <c r="B408" s="5" t="str">
        <f>"10101010730"</f>
        <v>10101010730</v>
      </c>
      <c r="C408" s="6" t="s">
        <v>8</v>
      </c>
      <c r="D408" s="6" t="s">
        <v>9</v>
      </c>
      <c r="E408" s="8"/>
    </row>
    <row r="409" s="1" customFormat="1" ht="18" customHeight="1" spans="1:5">
      <c r="A409" s="5" t="str">
        <f>"周斯秀"</f>
        <v>周斯秀</v>
      </c>
      <c r="B409" s="5" t="str">
        <f>"10101010802"</f>
        <v>10101010802</v>
      </c>
      <c r="C409" s="6" t="s">
        <v>8</v>
      </c>
      <c r="D409" s="6" t="s">
        <v>9</v>
      </c>
      <c r="E409" s="8"/>
    </row>
    <row r="410" s="1" customFormat="1" ht="18" customHeight="1" spans="1:5">
      <c r="A410" s="5" t="str">
        <f>"黄光锦"</f>
        <v>黄光锦</v>
      </c>
      <c r="B410" s="5" t="str">
        <f>"10101010807"</f>
        <v>10101010807</v>
      </c>
      <c r="C410" s="6" t="s">
        <v>8</v>
      </c>
      <c r="D410" s="6" t="s">
        <v>9</v>
      </c>
      <c r="E410" s="8"/>
    </row>
    <row r="411" s="1" customFormat="1" ht="18" customHeight="1" spans="1:5">
      <c r="A411" s="5" t="str">
        <f>"黄荣仙"</f>
        <v>黄荣仙</v>
      </c>
      <c r="B411" s="5" t="str">
        <f>"10101010808"</f>
        <v>10101010808</v>
      </c>
      <c r="C411" s="6" t="s">
        <v>8</v>
      </c>
      <c r="D411" s="6" t="s">
        <v>9</v>
      </c>
      <c r="E411" s="8"/>
    </row>
    <row r="412" s="1" customFormat="1" ht="18" customHeight="1" spans="1:5">
      <c r="A412" s="5" t="str">
        <f>"王木春"</f>
        <v>王木春</v>
      </c>
      <c r="B412" s="5" t="str">
        <f>"10101010809"</f>
        <v>10101010809</v>
      </c>
      <c r="C412" s="6" t="s">
        <v>8</v>
      </c>
      <c r="D412" s="6" t="s">
        <v>9</v>
      </c>
      <c r="E412" s="8"/>
    </row>
    <row r="413" s="1" customFormat="1" ht="18" customHeight="1" spans="1:5">
      <c r="A413" s="5" t="str">
        <f>"盆运兰"</f>
        <v>盆运兰</v>
      </c>
      <c r="B413" s="5" t="str">
        <f>"10101010810"</f>
        <v>10101010810</v>
      </c>
      <c r="C413" s="6" t="s">
        <v>8</v>
      </c>
      <c r="D413" s="6" t="s">
        <v>9</v>
      </c>
      <c r="E413" s="8"/>
    </row>
    <row r="414" s="1" customFormat="1" ht="18" customHeight="1" spans="1:5">
      <c r="A414" s="5" t="str">
        <f>"陈丽娟"</f>
        <v>陈丽娟</v>
      </c>
      <c r="B414" s="5" t="str">
        <f>"10101010811"</f>
        <v>10101010811</v>
      </c>
      <c r="C414" s="6" t="s">
        <v>8</v>
      </c>
      <c r="D414" s="6" t="s">
        <v>9</v>
      </c>
      <c r="E414" s="8"/>
    </row>
    <row r="415" s="1" customFormat="1" ht="18" customHeight="1" spans="1:5">
      <c r="A415" s="5" t="str">
        <f>"李暖暖"</f>
        <v>李暖暖</v>
      </c>
      <c r="B415" s="5" t="str">
        <f>"10101010812"</f>
        <v>10101010812</v>
      </c>
      <c r="C415" s="6" t="s">
        <v>8</v>
      </c>
      <c r="D415" s="6" t="s">
        <v>9</v>
      </c>
      <c r="E415" s="8"/>
    </row>
    <row r="416" s="1" customFormat="1" ht="18" customHeight="1" spans="1:5">
      <c r="A416" s="5" t="str">
        <f>"李春艳"</f>
        <v>李春艳</v>
      </c>
      <c r="B416" s="5" t="str">
        <f>"10101010817"</f>
        <v>10101010817</v>
      </c>
      <c r="C416" s="6" t="s">
        <v>8</v>
      </c>
      <c r="D416" s="6" t="s">
        <v>9</v>
      </c>
      <c r="E416" s="8"/>
    </row>
    <row r="417" s="1" customFormat="1" ht="18" customHeight="1" spans="1:5">
      <c r="A417" s="5" t="str">
        <f>"王堂娜"</f>
        <v>王堂娜</v>
      </c>
      <c r="B417" s="5" t="str">
        <f>"10101010819"</f>
        <v>10101010819</v>
      </c>
      <c r="C417" s="6" t="s">
        <v>8</v>
      </c>
      <c r="D417" s="6" t="s">
        <v>9</v>
      </c>
      <c r="E417" s="8"/>
    </row>
    <row r="418" s="1" customFormat="1" ht="18" customHeight="1" spans="1:5">
      <c r="A418" s="5" t="str">
        <f>"梁秋香"</f>
        <v>梁秋香</v>
      </c>
      <c r="B418" s="5" t="str">
        <f>"10101010823"</f>
        <v>10101010823</v>
      </c>
      <c r="C418" s="6" t="s">
        <v>8</v>
      </c>
      <c r="D418" s="6" t="s">
        <v>9</v>
      </c>
      <c r="E418" s="8"/>
    </row>
    <row r="419" s="1" customFormat="1" ht="18" customHeight="1" spans="1:5">
      <c r="A419" s="5" t="str">
        <f>"陈莹莹"</f>
        <v>陈莹莹</v>
      </c>
      <c r="B419" s="5" t="str">
        <f>"10101010824"</f>
        <v>10101010824</v>
      </c>
      <c r="C419" s="6" t="s">
        <v>8</v>
      </c>
      <c r="D419" s="6" t="s">
        <v>9</v>
      </c>
      <c r="E419" s="8"/>
    </row>
    <row r="420" s="1" customFormat="1" ht="18" customHeight="1" spans="1:5">
      <c r="A420" s="5" t="str">
        <f>"陈美儒"</f>
        <v>陈美儒</v>
      </c>
      <c r="B420" s="5" t="str">
        <f>"10101010826"</f>
        <v>10101010826</v>
      </c>
      <c r="C420" s="6" t="s">
        <v>8</v>
      </c>
      <c r="D420" s="6" t="s">
        <v>9</v>
      </c>
      <c r="E420" s="8"/>
    </row>
    <row r="421" s="1" customFormat="1" ht="18" customHeight="1" spans="1:5">
      <c r="A421" s="5" t="str">
        <f>"吴春菊"</f>
        <v>吴春菊</v>
      </c>
      <c r="B421" s="5" t="str">
        <f>"10101010828"</f>
        <v>10101010828</v>
      </c>
      <c r="C421" s="6" t="s">
        <v>8</v>
      </c>
      <c r="D421" s="6" t="s">
        <v>9</v>
      </c>
      <c r="E421" s="8"/>
    </row>
    <row r="422" s="1" customFormat="1" ht="18" customHeight="1" spans="1:5">
      <c r="A422" s="5" t="str">
        <f>"朱彩玲"</f>
        <v>朱彩玲</v>
      </c>
      <c r="B422" s="5" t="str">
        <f>"10101010902"</f>
        <v>10101010902</v>
      </c>
      <c r="C422" s="6" t="s">
        <v>8</v>
      </c>
      <c r="D422" s="6" t="s">
        <v>9</v>
      </c>
      <c r="E422" s="8"/>
    </row>
    <row r="423" s="1" customFormat="1" ht="18" customHeight="1" spans="1:5">
      <c r="A423" s="5" t="str">
        <f>"郑月娟"</f>
        <v>郑月娟</v>
      </c>
      <c r="B423" s="5" t="str">
        <f>"10101010904"</f>
        <v>10101010904</v>
      </c>
      <c r="C423" s="6" t="s">
        <v>8</v>
      </c>
      <c r="D423" s="6" t="s">
        <v>9</v>
      </c>
      <c r="E423" s="8"/>
    </row>
    <row r="424" s="1" customFormat="1" ht="18" customHeight="1" spans="1:5">
      <c r="A424" s="5" t="str">
        <f>"邢孔立"</f>
        <v>邢孔立</v>
      </c>
      <c r="B424" s="5" t="str">
        <f>"10101010906"</f>
        <v>10101010906</v>
      </c>
      <c r="C424" s="6" t="s">
        <v>8</v>
      </c>
      <c r="D424" s="6" t="s">
        <v>9</v>
      </c>
      <c r="E424" s="8"/>
    </row>
    <row r="425" s="1" customFormat="1" ht="18" customHeight="1" spans="1:5">
      <c r="A425" s="5" t="str">
        <f>"洪文妃"</f>
        <v>洪文妃</v>
      </c>
      <c r="B425" s="5" t="str">
        <f>"10101010909"</f>
        <v>10101010909</v>
      </c>
      <c r="C425" s="6" t="s">
        <v>8</v>
      </c>
      <c r="D425" s="6" t="s">
        <v>9</v>
      </c>
      <c r="E425" s="8"/>
    </row>
    <row r="426" s="1" customFormat="1" ht="18" customHeight="1" spans="1:5">
      <c r="A426" s="5" t="str">
        <f>"陈媚"</f>
        <v>陈媚</v>
      </c>
      <c r="B426" s="5" t="str">
        <f>"10101010910"</f>
        <v>10101010910</v>
      </c>
      <c r="C426" s="6" t="s">
        <v>8</v>
      </c>
      <c r="D426" s="6" t="s">
        <v>9</v>
      </c>
      <c r="E426" s="8"/>
    </row>
    <row r="427" s="1" customFormat="1" ht="18" customHeight="1" spans="1:5">
      <c r="A427" s="5" t="str">
        <f>"罗春钰"</f>
        <v>罗春钰</v>
      </c>
      <c r="B427" s="5" t="str">
        <f>"10101010911"</f>
        <v>10101010911</v>
      </c>
      <c r="C427" s="6" t="s">
        <v>8</v>
      </c>
      <c r="D427" s="6" t="s">
        <v>9</v>
      </c>
      <c r="E427" s="8"/>
    </row>
    <row r="428" s="1" customFormat="1" ht="18" customHeight="1" spans="1:5">
      <c r="A428" s="5" t="str">
        <f>"苏慧霞"</f>
        <v>苏慧霞</v>
      </c>
      <c r="B428" s="5" t="str">
        <f>"10101010915"</f>
        <v>10101010915</v>
      </c>
      <c r="C428" s="6" t="s">
        <v>8</v>
      </c>
      <c r="D428" s="6" t="s">
        <v>9</v>
      </c>
      <c r="E428" s="8"/>
    </row>
    <row r="429" s="1" customFormat="1" ht="18" customHeight="1" spans="1:5">
      <c r="A429" s="5" t="str">
        <f>"马小弟"</f>
        <v>马小弟</v>
      </c>
      <c r="B429" s="5" t="str">
        <f>"10101010918"</f>
        <v>10101010918</v>
      </c>
      <c r="C429" s="6" t="s">
        <v>8</v>
      </c>
      <c r="D429" s="6" t="s">
        <v>9</v>
      </c>
      <c r="E429" s="8"/>
    </row>
    <row r="430" s="1" customFormat="1" ht="18" customHeight="1" spans="1:5">
      <c r="A430" s="5" t="str">
        <f>"郑乐乐"</f>
        <v>郑乐乐</v>
      </c>
      <c r="B430" s="5" t="str">
        <f>"10101010919"</f>
        <v>10101010919</v>
      </c>
      <c r="C430" s="6" t="s">
        <v>8</v>
      </c>
      <c r="D430" s="6" t="s">
        <v>9</v>
      </c>
      <c r="E430" s="8"/>
    </row>
    <row r="431" s="1" customFormat="1" ht="18" customHeight="1" spans="1:5">
      <c r="A431" s="5" t="str">
        <f>"许小浪"</f>
        <v>许小浪</v>
      </c>
      <c r="B431" s="5" t="str">
        <f>"10101010920"</f>
        <v>10101010920</v>
      </c>
      <c r="C431" s="6" t="s">
        <v>8</v>
      </c>
      <c r="D431" s="6" t="s">
        <v>9</v>
      </c>
      <c r="E431" s="8"/>
    </row>
    <row r="432" s="1" customFormat="1" ht="18" customHeight="1" spans="1:5">
      <c r="A432" s="5" t="str">
        <f>"王瑞菊"</f>
        <v>王瑞菊</v>
      </c>
      <c r="B432" s="5" t="str">
        <f>"10101010921"</f>
        <v>10101010921</v>
      </c>
      <c r="C432" s="6" t="s">
        <v>8</v>
      </c>
      <c r="D432" s="6" t="s">
        <v>9</v>
      </c>
      <c r="E432" s="8"/>
    </row>
    <row r="433" s="1" customFormat="1" ht="18" customHeight="1" spans="1:5">
      <c r="A433" s="5" t="str">
        <f>"陈汝君"</f>
        <v>陈汝君</v>
      </c>
      <c r="B433" s="5" t="str">
        <f>"10101010923"</f>
        <v>10101010923</v>
      </c>
      <c r="C433" s="6" t="s">
        <v>8</v>
      </c>
      <c r="D433" s="6" t="s">
        <v>9</v>
      </c>
      <c r="E433" s="8"/>
    </row>
    <row r="434" s="1" customFormat="1" ht="18" customHeight="1" spans="1:5">
      <c r="A434" s="5" t="str">
        <f>"李秀娟"</f>
        <v>李秀娟</v>
      </c>
      <c r="B434" s="5" t="str">
        <f>"10101010925"</f>
        <v>10101010925</v>
      </c>
      <c r="C434" s="6" t="s">
        <v>8</v>
      </c>
      <c r="D434" s="6" t="s">
        <v>9</v>
      </c>
      <c r="E434" s="8"/>
    </row>
    <row r="435" s="1" customFormat="1" ht="18" customHeight="1" spans="1:5">
      <c r="A435" s="5" t="str">
        <f>"文梅霜"</f>
        <v>文梅霜</v>
      </c>
      <c r="B435" s="5" t="str">
        <f>"10101010927"</f>
        <v>10101010927</v>
      </c>
      <c r="C435" s="6" t="s">
        <v>8</v>
      </c>
      <c r="D435" s="6" t="s">
        <v>9</v>
      </c>
      <c r="E435" s="8"/>
    </row>
    <row r="436" s="1" customFormat="1" ht="18" customHeight="1" spans="1:5">
      <c r="A436" s="5" t="str">
        <f>"王慧珍"</f>
        <v>王慧珍</v>
      </c>
      <c r="B436" s="5" t="str">
        <f>"10101011002"</f>
        <v>10101011002</v>
      </c>
      <c r="C436" s="6" t="s">
        <v>8</v>
      </c>
      <c r="D436" s="6" t="s">
        <v>9</v>
      </c>
      <c r="E436" s="8"/>
    </row>
    <row r="437" s="1" customFormat="1" ht="18" customHeight="1" spans="1:5">
      <c r="A437" s="5" t="str">
        <f>"何先兰"</f>
        <v>何先兰</v>
      </c>
      <c r="B437" s="5" t="str">
        <f>"10101011003"</f>
        <v>10101011003</v>
      </c>
      <c r="C437" s="6" t="s">
        <v>8</v>
      </c>
      <c r="D437" s="6" t="s">
        <v>9</v>
      </c>
      <c r="E437" s="8"/>
    </row>
    <row r="438" s="1" customFormat="1" ht="18" customHeight="1" spans="1:5">
      <c r="A438" s="5" t="str">
        <f>"莫燕波"</f>
        <v>莫燕波</v>
      </c>
      <c r="B438" s="5" t="str">
        <f>"10101011005"</f>
        <v>10101011005</v>
      </c>
      <c r="C438" s="6" t="s">
        <v>8</v>
      </c>
      <c r="D438" s="6" t="s">
        <v>9</v>
      </c>
      <c r="E438" s="8"/>
    </row>
    <row r="439" s="1" customFormat="1" ht="18" customHeight="1" spans="1:5">
      <c r="A439" s="5" t="str">
        <f>"周奠伟"</f>
        <v>周奠伟</v>
      </c>
      <c r="B439" s="5" t="str">
        <f>"10101011006"</f>
        <v>10101011006</v>
      </c>
      <c r="C439" s="6" t="s">
        <v>8</v>
      </c>
      <c r="D439" s="6" t="s">
        <v>9</v>
      </c>
      <c r="E439" s="8"/>
    </row>
    <row r="440" s="1" customFormat="1" ht="18" customHeight="1" spans="1:5">
      <c r="A440" s="5" t="str">
        <f>"陈秀娥"</f>
        <v>陈秀娥</v>
      </c>
      <c r="B440" s="5" t="str">
        <f>"10101011007"</f>
        <v>10101011007</v>
      </c>
      <c r="C440" s="6" t="s">
        <v>8</v>
      </c>
      <c r="D440" s="6" t="s">
        <v>9</v>
      </c>
      <c r="E440" s="8"/>
    </row>
    <row r="441" s="1" customFormat="1" ht="18" customHeight="1" spans="1:5">
      <c r="A441" s="5" t="str">
        <f>"陈雄金"</f>
        <v>陈雄金</v>
      </c>
      <c r="B441" s="5" t="str">
        <f>"10101011009"</f>
        <v>10101011009</v>
      </c>
      <c r="C441" s="6" t="s">
        <v>8</v>
      </c>
      <c r="D441" s="6" t="s">
        <v>9</v>
      </c>
      <c r="E441" s="8"/>
    </row>
    <row r="442" s="1" customFormat="1" ht="18" customHeight="1" spans="1:5">
      <c r="A442" s="5" t="str">
        <f>"杨小丽"</f>
        <v>杨小丽</v>
      </c>
      <c r="B442" s="5" t="str">
        <f>"10101011011"</f>
        <v>10101011011</v>
      </c>
      <c r="C442" s="6" t="s">
        <v>8</v>
      </c>
      <c r="D442" s="6" t="s">
        <v>9</v>
      </c>
      <c r="E442" s="8"/>
    </row>
    <row r="443" s="1" customFormat="1" ht="18" customHeight="1" spans="1:5">
      <c r="A443" s="5" t="str">
        <f>"何洁仪"</f>
        <v>何洁仪</v>
      </c>
      <c r="B443" s="5" t="str">
        <f>"10101011012"</f>
        <v>10101011012</v>
      </c>
      <c r="C443" s="6" t="s">
        <v>8</v>
      </c>
      <c r="D443" s="6" t="s">
        <v>9</v>
      </c>
      <c r="E443" s="8"/>
    </row>
    <row r="444" s="1" customFormat="1" ht="18" customHeight="1" spans="1:5">
      <c r="A444" s="5" t="str">
        <f>"符韶娜"</f>
        <v>符韶娜</v>
      </c>
      <c r="B444" s="5" t="str">
        <f>"10101011015"</f>
        <v>10101011015</v>
      </c>
      <c r="C444" s="6" t="s">
        <v>8</v>
      </c>
      <c r="D444" s="6" t="s">
        <v>9</v>
      </c>
      <c r="E444" s="8"/>
    </row>
    <row r="445" s="1" customFormat="1" ht="18" customHeight="1" spans="1:5">
      <c r="A445" s="5" t="str">
        <f>"周雪平"</f>
        <v>周雪平</v>
      </c>
      <c r="B445" s="5" t="str">
        <f>"10101011018"</f>
        <v>10101011018</v>
      </c>
      <c r="C445" s="6" t="s">
        <v>8</v>
      </c>
      <c r="D445" s="6" t="s">
        <v>9</v>
      </c>
      <c r="E445" s="8"/>
    </row>
    <row r="446" s="1" customFormat="1" ht="18" customHeight="1" spans="1:5">
      <c r="A446" s="5" t="str">
        <f>"吴家丽"</f>
        <v>吴家丽</v>
      </c>
      <c r="B446" s="5" t="str">
        <f>"10101011019"</f>
        <v>10101011019</v>
      </c>
      <c r="C446" s="6" t="s">
        <v>8</v>
      </c>
      <c r="D446" s="6" t="s">
        <v>9</v>
      </c>
      <c r="E446" s="8"/>
    </row>
    <row r="447" s="1" customFormat="1" ht="18" customHeight="1" spans="1:5">
      <c r="A447" s="5" t="str">
        <f>"杨倩"</f>
        <v>杨倩</v>
      </c>
      <c r="B447" s="5" t="str">
        <f>"10101011020"</f>
        <v>10101011020</v>
      </c>
      <c r="C447" s="6" t="s">
        <v>8</v>
      </c>
      <c r="D447" s="6" t="s">
        <v>9</v>
      </c>
      <c r="E447" s="8"/>
    </row>
    <row r="448" s="1" customFormat="1" ht="18" customHeight="1" spans="1:5">
      <c r="A448" s="5" t="str">
        <f>"胡梦兰"</f>
        <v>胡梦兰</v>
      </c>
      <c r="B448" s="5" t="str">
        <f>"10101011021"</f>
        <v>10101011021</v>
      </c>
      <c r="C448" s="6" t="s">
        <v>8</v>
      </c>
      <c r="D448" s="6" t="s">
        <v>9</v>
      </c>
      <c r="E448" s="8"/>
    </row>
    <row r="449" s="1" customFormat="1" ht="18" customHeight="1" spans="1:5">
      <c r="A449" s="5" t="str">
        <f>"吴梅"</f>
        <v>吴梅</v>
      </c>
      <c r="B449" s="5" t="str">
        <f>"10101011022"</f>
        <v>10101011022</v>
      </c>
      <c r="C449" s="6" t="s">
        <v>8</v>
      </c>
      <c r="D449" s="6" t="s">
        <v>9</v>
      </c>
      <c r="E449" s="8" t="s">
        <v>12</v>
      </c>
    </row>
    <row r="450" s="1" customFormat="1" ht="18" customHeight="1" spans="1:5">
      <c r="A450" s="5" t="str">
        <f>"高悦怡"</f>
        <v>高悦怡</v>
      </c>
      <c r="B450" s="5" t="str">
        <f>"10101011025"</f>
        <v>10101011025</v>
      </c>
      <c r="C450" s="6" t="s">
        <v>8</v>
      </c>
      <c r="D450" s="6" t="s">
        <v>9</v>
      </c>
      <c r="E450" s="8"/>
    </row>
    <row r="451" s="1" customFormat="1" ht="18" customHeight="1" spans="1:5">
      <c r="A451" s="5" t="str">
        <f>"刘香东"</f>
        <v>刘香东</v>
      </c>
      <c r="B451" s="5" t="str">
        <f>"10101011027"</f>
        <v>10101011027</v>
      </c>
      <c r="C451" s="6" t="s">
        <v>8</v>
      </c>
      <c r="D451" s="6" t="s">
        <v>9</v>
      </c>
      <c r="E451" s="8"/>
    </row>
    <row r="452" s="1" customFormat="1" ht="18" customHeight="1" spans="1:5">
      <c r="A452" s="5" t="str">
        <f>"韦丽玛"</f>
        <v>韦丽玛</v>
      </c>
      <c r="B452" s="5" t="str">
        <f>"10101011028"</f>
        <v>10101011028</v>
      </c>
      <c r="C452" s="6" t="s">
        <v>8</v>
      </c>
      <c r="D452" s="6" t="s">
        <v>9</v>
      </c>
      <c r="E452" s="8"/>
    </row>
    <row r="453" s="1" customFormat="1" ht="18" customHeight="1" spans="1:5">
      <c r="A453" s="5" t="str">
        <f>"谭芸香"</f>
        <v>谭芸香</v>
      </c>
      <c r="B453" s="5" t="str">
        <f>"10101011103"</f>
        <v>10101011103</v>
      </c>
      <c r="C453" s="6" t="s">
        <v>8</v>
      </c>
      <c r="D453" s="6" t="s">
        <v>9</v>
      </c>
      <c r="E453" s="8"/>
    </row>
    <row r="454" s="1" customFormat="1" ht="18" customHeight="1" spans="1:5">
      <c r="A454" s="5" t="str">
        <f>"林娜"</f>
        <v>林娜</v>
      </c>
      <c r="B454" s="5" t="str">
        <f>"10101011105"</f>
        <v>10101011105</v>
      </c>
      <c r="C454" s="6" t="s">
        <v>8</v>
      </c>
      <c r="D454" s="6" t="s">
        <v>9</v>
      </c>
      <c r="E454" s="8"/>
    </row>
    <row r="455" s="1" customFormat="1" ht="18" customHeight="1" spans="1:5">
      <c r="A455" s="5" t="str">
        <f>"何卫平"</f>
        <v>何卫平</v>
      </c>
      <c r="B455" s="5" t="str">
        <f>"10101011107"</f>
        <v>10101011107</v>
      </c>
      <c r="C455" s="6" t="s">
        <v>8</v>
      </c>
      <c r="D455" s="6" t="s">
        <v>9</v>
      </c>
      <c r="E455" s="8"/>
    </row>
    <row r="456" s="1" customFormat="1" ht="18" customHeight="1" spans="1:5">
      <c r="A456" s="5" t="str">
        <f>"黎妹丽"</f>
        <v>黎妹丽</v>
      </c>
      <c r="B456" s="5" t="str">
        <f>"10101011109"</f>
        <v>10101011109</v>
      </c>
      <c r="C456" s="6" t="s">
        <v>8</v>
      </c>
      <c r="D456" s="6" t="s">
        <v>9</v>
      </c>
      <c r="E456" s="8"/>
    </row>
    <row r="457" s="1" customFormat="1" ht="18" customHeight="1" spans="1:5">
      <c r="A457" s="5" t="str">
        <f>"王丽娜"</f>
        <v>王丽娜</v>
      </c>
      <c r="B457" s="5" t="str">
        <f>"10101011110"</f>
        <v>10101011110</v>
      </c>
      <c r="C457" s="6" t="s">
        <v>8</v>
      </c>
      <c r="D457" s="6" t="s">
        <v>9</v>
      </c>
      <c r="E457" s="8"/>
    </row>
    <row r="458" s="1" customFormat="1" ht="18" customHeight="1" spans="1:5">
      <c r="A458" s="5" t="str">
        <f>"王康雨"</f>
        <v>王康雨</v>
      </c>
      <c r="B458" s="5" t="str">
        <f>"10101011116"</f>
        <v>10101011116</v>
      </c>
      <c r="C458" s="6" t="s">
        <v>8</v>
      </c>
      <c r="D458" s="6" t="s">
        <v>9</v>
      </c>
      <c r="E458" s="8"/>
    </row>
    <row r="459" s="1" customFormat="1" ht="18" customHeight="1" spans="1:5">
      <c r="A459" s="5" t="str">
        <f>"冯琼燕"</f>
        <v>冯琼燕</v>
      </c>
      <c r="B459" s="5" t="str">
        <f>"10101011118"</f>
        <v>10101011118</v>
      </c>
      <c r="C459" s="6" t="s">
        <v>8</v>
      </c>
      <c r="D459" s="6" t="s">
        <v>9</v>
      </c>
      <c r="E459" s="8"/>
    </row>
    <row r="460" s="1" customFormat="1" ht="18" customHeight="1" spans="1:5">
      <c r="A460" s="5" t="str">
        <f>"王乾花"</f>
        <v>王乾花</v>
      </c>
      <c r="B460" s="5" t="str">
        <f>"10101011120"</f>
        <v>10101011120</v>
      </c>
      <c r="C460" s="6" t="s">
        <v>8</v>
      </c>
      <c r="D460" s="6" t="s">
        <v>9</v>
      </c>
      <c r="E460" s="8"/>
    </row>
    <row r="461" s="1" customFormat="1" ht="18" customHeight="1" spans="1:5">
      <c r="A461" s="5" t="str">
        <f>"陈燕燕"</f>
        <v>陈燕燕</v>
      </c>
      <c r="B461" s="5" t="str">
        <f>"10101011121"</f>
        <v>10101011121</v>
      </c>
      <c r="C461" s="6" t="s">
        <v>8</v>
      </c>
      <c r="D461" s="6" t="s">
        <v>9</v>
      </c>
      <c r="E461" s="8"/>
    </row>
    <row r="462" s="1" customFormat="1" ht="18" customHeight="1" spans="1:5">
      <c r="A462" s="5" t="str">
        <f>"李吉文"</f>
        <v>李吉文</v>
      </c>
      <c r="B462" s="5" t="str">
        <f>"10101011126"</f>
        <v>10101011126</v>
      </c>
      <c r="C462" s="6" t="s">
        <v>8</v>
      </c>
      <c r="D462" s="6" t="s">
        <v>9</v>
      </c>
      <c r="E462" s="8"/>
    </row>
    <row r="463" s="1" customFormat="1" ht="18" customHeight="1" spans="1:5">
      <c r="A463" s="5" t="str">
        <f>"文晓庭"</f>
        <v>文晓庭</v>
      </c>
      <c r="B463" s="5" t="str">
        <f>"10101011127"</f>
        <v>10101011127</v>
      </c>
      <c r="C463" s="6" t="s">
        <v>8</v>
      </c>
      <c r="D463" s="6" t="s">
        <v>9</v>
      </c>
      <c r="E463" s="8"/>
    </row>
    <row r="464" s="1" customFormat="1" ht="18" customHeight="1" spans="1:5">
      <c r="A464" s="5" t="str">
        <f>"蔡小雪"</f>
        <v>蔡小雪</v>
      </c>
      <c r="B464" s="5" t="str">
        <f>"10101011128"</f>
        <v>10101011128</v>
      </c>
      <c r="C464" s="6" t="s">
        <v>8</v>
      </c>
      <c r="D464" s="6" t="s">
        <v>9</v>
      </c>
      <c r="E464" s="8"/>
    </row>
    <row r="465" s="1" customFormat="1" ht="18" customHeight="1" spans="1:5">
      <c r="A465" s="5" t="str">
        <f>"吴美粮"</f>
        <v>吴美粮</v>
      </c>
      <c r="B465" s="5" t="str">
        <f>"10101011129"</f>
        <v>10101011129</v>
      </c>
      <c r="C465" s="6" t="s">
        <v>8</v>
      </c>
      <c r="D465" s="6" t="s">
        <v>9</v>
      </c>
      <c r="E465" s="8"/>
    </row>
    <row r="466" s="1" customFormat="1" ht="18" customHeight="1" spans="1:5">
      <c r="A466" s="5" t="str">
        <f>"符春苗"</f>
        <v>符春苗</v>
      </c>
      <c r="B466" s="5" t="str">
        <f>"10101011130"</f>
        <v>10101011130</v>
      </c>
      <c r="C466" s="6" t="s">
        <v>8</v>
      </c>
      <c r="D466" s="6" t="s">
        <v>9</v>
      </c>
      <c r="E466" s="8"/>
    </row>
    <row r="467" s="1" customFormat="1" ht="18" customHeight="1" spans="1:5">
      <c r="A467" s="5" t="str">
        <f>"李慧平"</f>
        <v>李慧平</v>
      </c>
      <c r="B467" s="5" t="str">
        <f>"10101011207"</f>
        <v>10101011207</v>
      </c>
      <c r="C467" s="6" t="s">
        <v>8</v>
      </c>
      <c r="D467" s="6" t="s">
        <v>9</v>
      </c>
      <c r="E467" s="8"/>
    </row>
    <row r="468" s="1" customFormat="1" ht="18" customHeight="1" spans="1:5">
      <c r="A468" s="5" t="str">
        <f>"杨泽芬"</f>
        <v>杨泽芬</v>
      </c>
      <c r="B468" s="5" t="str">
        <f>"10101011209"</f>
        <v>10101011209</v>
      </c>
      <c r="C468" s="6" t="s">
        <v>8</v>
      </c>
      <c r="D468" s="6" t="s">
        <v>9</v>
      </c>
      <c r="E468" s="8"/>
    </row>
    <row r="469" s="1" customFormat="1" ht="18" customHeight="1" spans="1:5">
      <c r="A469" s="5" t="str">
        <f>"陈石彩"</f>
        <v>陈石彩</v>
      </c>
      <c r="B469" s="5" t="str">
        <f>"10101011213"</f>
        <v>10101011213</v>
      </c>
      <c r="C469" s="6" t="s">
        <v>8</v>
      </c>
      <c r="D469" s="6" t="s">
        <v>9</v>
      </c>
      <c r="E469" s="8"/>
    </row>
    <row r="470" s="1" customFormat="1" ht="18" customHeight="1" spans="1:5">
      <c r="A470" s="5" t="str">
        <f>"胡金虹"</f>
        <v>胡金虹</v>
      </c>
      <c r="B470" s="5" t="str">
        <f>"10101011215"</f>
        <v>10101011215</v>
      </c>
      <c r="C470" s="6" t="s">
        <v>8</v>
      </c>
      <c r="D470" s="6" t="s">
        <v>9</v>
      </c>
      <c r="E470" s="8"/>
    </row>
    <row r="471" s="1" customFormat="1" ht="18" customHeight="1" spans="1:5">
      <c r="A471" s="5" t="str">
        <f>"羊笑莹"</f>
        <v>羊笑莹</v>
      </c>
      <c r="B471" s="5" t="str">
        <f>"10101011216"</f>
        <v>10101011216</v>
      </c>
      <c r="C471" s="6" t="s">
        <v>8</v>
      </c>
      <c r="D471" s="6" t="s">
        <v>9</v>
      </c>
      <c r="E471" s="8"/>
    </row>
    <row r="472" s="1" customFormat="1" ht="18" customHeight="1" spans="1:5">
      <c r="A472" s="5" t="str">
        <f>"林小小"</f>
        <v>林小小</v>
      </c>
      <c r="B472" s="5" t="str">
        <f>"10101011217"</f>
        <v>10101011217</v>
      </c>
      <c r="C472" s="6" t="s">
        <v>8</v>
      </c>
      <c r="D472" s="6" t="s">
        <v>9</v>
      </c>
      <c r="E472" s="8"/>
    </row>
    <row r="473" s="1" customFormat="1" ht="18" customHeight="1" spans="1:5">
      <c r="A473" s="5" t="str">
        <f>"陈来欢"</f>
        <v>陈来欢</v>
      </c>
      <c r="B473" s="5" t="str">
        <f>"10101011220"</f>
        <v>10101011220</v>
      </c>
      <c r="C473" s="6" t="s">
        <v>8</v>
      </c>
      <c r="D473" s="6" t="s">
        <v>9</v>
      </c>
      <c r="E473" s="8"/>
    </row>
    <row r="474" s="1" customFormat="1" ht="18" customHeight="1" spans="1:5">
      <c r="A474" s="5" t="str">
        <f>"何荣岸"</f>
        <v>何荣岸</v>
      </c>
      <c r="B474" s="5" t="str">
        <f>"10101011223"</f>
        <v>10101011223</v>
      </c>
      <c r="C474" s="6" t="s">
        <v>8</v>
      </c>
      <c r="D474" s="6" t="s">
        <v>9</v>
      </c>
      <c r="E474" s="8"/>
    </row>
    <row r="475" s="1" customFormat="1" ht="18" customHeight="1" spans="1:5">
      <c r="A475" s="5" t="str">
        <f>"郭嫦媛"</f>
        <v>郭嫦媛</v>
      </c>
      <c r="B475" s="5" t="str">
        <f>"10101011224"</f>
        <v>10101011224</v>
      </c>
      <c r="C475" s="6" t="s">
        <v>8</v>
      </c>
      <c r="D475" s="6" t="s">
        <v>9</v>
      </c>
      <c r="E475" s="8"/>
    </row>
    <row r="476" s="1" customFormat="1" ht="18" customHeight="1" spans="1:5">
      <c r="A476" s="5" t="str">
        <f>"陈映丹"</f>
        <v>陈映丹</v>
      </c>
      <c r="B476" s="5" t="str">
        <f>"10101011225"</f>
        <v>10101011225</v>
      </c>
      <c r="C476" s="6" t="s">
        <v>8</v>
      </c>
      <c r="D476" s="6" t="s">
        <v>9</v>
      </c>
      <c r="E476" s="8"/>
    </row>
    <row r="477" s="1" customFormat="1" ht="18" customHeight="1" spans="1:5">
      <c r="A477" s="5" t="str">
        <f>"符琼艳"</f>
        <v>符琼艳</v>
      </c>
      <c r="B477" s="5" t="str">
        <f>"10101011226"</f>
        <v>10101011226</v>
      </c>
      <c r="C477" s="6" t="s">
        <v>8</v>
      </c>
      <c r="D477" s="6" t="s">
        <v>9</v>
      </c>
      <c r="E477" s="8"/>
    </row>
    <row r="478" s="1" customFormat="1" ht="18" customHeight="1" spans="1:5">
      <c r="A478" s="5" t="str">
        <f>"罗妹娟"</f>
        <v>罗妹娟</v>
      </c>
      <c r="B478" s="5" t="str">
        <f>"10101011228"</f>
        <v>10101011228</v>
      </c>
      <c r="C478" s="6" t="s">
        <v>8</v>
      </c>
      <c r="D478" s="6" t="s">
        <v>9</v>
      </c>
      <c r="E478" s="8"/>
    </row>
    <row r="479" s="1" customFormat="1" ht="18" customHeight="1" spans="1:5">
      <c r="A479" s="5" t="str">
        <f>"何娜"</f>
        <v>何娜</v>
      </c>
      <c r="B479" s="5" t="str">
        <f>"10101011229"</f>
        <v>10101011229</v>
      </c>
      <c r="C479" s="6" t="s">
        <v>8</v>
      </c>
      <c r="D479" s="6" t="s">
        <v>9</v>
      </c>
      <c r="E479" s="8"/>
    </row>
    <row r="480" s="1" customFormat="1" ht="18" customHeight="1" spans="1:5">
      <c r="A480" s="5" t="str">
        <f>"种惠"</f>
        <v>种惠</v>
      </c>
      <c r="B480" s="5" t="str">
        <f>"10101011302"</f>
        <v>10101011302</v>
      </c>
      <c r="C480" s="6" t="s">
        <v>8</v>
      </c>
      <c r="D480" s="6" t="s">
        <v>9</v>
      </c>
      <c r="E480" s="8"/>
    </row>
    <row r="481" s="1" customFormat="1" ht="18" customHeight="1" spans="1:5">
      <c r="A481" s="5" t="str">
        <f>"邢增盈"</f>
        <v>邢增盈</v>
      </c>
      <c r="B481" s="5" t="str">
        <f>"10101011304"</f>
        <v>10101011304</v>
      </c>
      <c r="C481" s="6" t="s">
        <v>8</v>
      </c>
      <c r="D481" s="6" t="s">
        <v>9</v>
      </c>
      <c r="E481" s="8"/>
    </row>
    <row r="482" s="1" customFormat="1" ht="18" customHeight="1" spans="1:5">
      <c r="A482" s="5" t="str">
        <f>"蒲慧芳"</f>
        <v>蒲慧芳</v>
      </c>
      <c r="B482" s="5" t="str">
        <f>"10101011307"</f>
        <v>10101011307</v>
      </c>
      <c r="C482" s="6" t="s">
        <v>8</v>
      </c>
      <c r="D482" s="6" t="s">
        <v>9</v>
      </c>
      <c r="E482" s="8"/>
    </row>
    <row r="483" s="1" customFormat="1" ht="18" customHeight="1" spans="1:5">
      <c r="A483" s="5" t="str">
        <f>"陈土妹"</f>
        <v>陈土妹</v>
      </c>
      <c r="B483" s="5" t="str">
        <f>"10101011310"</f>
        <v>10101011310</v>
      </c>
      <c r="C483" s="6" t="s">
        <v>8</v>
      </c>
      <c r="D483" s="6" t="s">
        <v>9</v>
      </c>
      <c r="E483" s="8"/>
    </row>
    <row r="484" s="1" customFormat="1" ht="18" customHeight="1" spans="1:5">
      <c r="A484" s="5" t="str">
        <f>"李德霞"</f>
        <v>李德霞</v>
      </c>
      <c r="B484" s="5" t="str">
        <f>"10101011312"</f>
        <v>10101011312</v>
      </c>
      <c r="C484" s="6" t="s">
        <v>8</v>
      </c>
      <c r="D484" s="6" t="s">
        <v>9</v>
      </c>
      <c r="E484" s="8"/>
    </row>
    <row r="485" s="1" customFormat="1" ht="18" customHeight="1" spans="1:5">
      <c r="A485" s="5" t="str">
        <f>"韦慧茹"</f>
        <v>韦慧茹</v>
      </c>
      <c r="B485" s="5" t="str">
        <f>"10101011313"</f>
        <v>10101011313</v>
      </c>
      <c r="C485" s="6" t="s">
        <v>8</v>
      </c>
      <c r="D485" s="6" t="s">
        <v>9</v>
      </c>
      <c r="E485" s="8"/>
    </row>
    <row r="486" s="1" customFormat="1" ht="18" customHeight="1" spans="1:5">
      <c r="A486" s="5" t="str">
        <f>"陈有善"</f>
        <v>陈有善</v>
      </c>
      <c r="B486" s="5" t="str">
        <f>"10101011314"</f>
        <v>10101011314</v>
      </c>
      <c r="C486" s="6" t="s">
        <v>8</v>
      </c>
      <c r="D486" s="6" t="s">
        <v>9</v>
      </c>
      <c r="E486" s="8"/>
    </row>
    <row r="487" s="1" customFormat="1" ht="18" customHeight="1" spans="1:5">
      <c r="A487" s="5" t="str">
        <f>"吴益转"</f>
        <v>吴益转</v>
      </c>
      <c r="B487" s="5" t="str">
        <f>"10101011316"</f>
        <v>10101011316</v>
      </c>
      <c r="C487" s="6" t="s">
        <v>8</v>
      </c>
      <c r="D487" s="6" t="s">
        <v>9</v>
      </c>
      <c r="E487" s="8"/>
    </row>
    <row r="488" s="1" customFormat="1" ht="18" customHeight="1" spans="1:5">
      <c r="A488" s="5" t="str">
        <f>"邹春芳"</f>
        <v>邹春芳</v>
      </c>
      <c r="B488" s="5" t="str">
        <f>"10101011317"</f>
        <v>10101011317</v>
      </c>
      <c r="C488" s="6" t="s">
        <v>8</v>
      </c>
      <c r="D488" s="6" t="s">
        <v>9</v>
      </c>
      <c r="E488" s="8"/>
    </row>
    <row r="489" s="1" customFormat="1" ht="18" customHeight="1" spans="1:5">
      <c r="A489" s="5" t="str">
        <f>"曾招琦"</f>
        <v>曾招琦</v>
      </c>
      <c r="B489" s="5" t="str">
        <f>"10101011322"</f>
        <v>10101011322</v>
      </c>
      <c r="C489" s="6" t="s">
        <v>8</v>
      </c>
      <c r="D489" s="6" t="s">
        <v>9</v>
      </c>
      <c r="E489" s="8"/>
    </row>
    <row r="490" s="1" customFormat="1" ht="18" customHeight="1" spans="1:5">
      <c r="A490" s="5" t="str">
        <f>"黄平梅"</f>
        <v>黄平梅</v>
      </c>
      <c r="B490" s="5" t="str">
        <f>"10101011323"</f>
        <v>10101011323</v>
      </c>
      <c r="C490" s="6" t="s">
        <v>8</v>
      </c>
      <c r="D490" s="6" t="s">
        <v>9</v>
      </c>
      <c r="E490" s="8"/>
    </row>
    <row r="491" s="1" customFormat="1" ht="18" customHeight="1" spans="1:5">
      <c r="A491" s="5" t="str">
        <f>"杨玉环"</f>
        <v>杨玉环</v>
      </c>
      <c r="B491" s="5" t="str">
        <f>"10101011326"</f>
        <v>10101011326</v>
      </c>
      <c r="C491" s="6" t="s">
        <v>8</v>
      </c>
      <c r="D491" s="6" t="s">
        <v>9</v>
      </c>
      <c r="E491" s="8"/>
    </row>
    <row r="492" s="1" customFormat="1" ht="18" customHeight="1" spans="1:5">
      <c r="A492" s="5" t="str">
        <f>"羊柳美"</f>
        <v>羊柳美</v>
      </c>
      <c r="B492" s="5" t="str">
        <f>"10101011329"</f>
        <v>10101011329</v>
      </c>
      <c r="C492" s="6" t="s">
        <v>8</v>
      </c>
      <c r="D492" s="6" t="s">
        <v>9</v>
      </c>
      <c r="E492" s="8"/>
    </row>
    <row r="493" s="1" customFormat="1" ht="18" customHeight="1" spans="1:5">
      <c r="A493" s="5" t="str">
        <f>"李雪婷"</f>
        <v>李雪婷</v>
      </c>
      <c r="B493" s="5" t="str">
        <f>"10101011404"</f>
        <v>10101011404</v>
      </c>
      <c r="C493" s="6" t="s">
        <v>8</v>
      </c>
      <c r="D493" s="6" t="s">
        <v>9</v>
      </c>
      <c r="E493" s="8"/>
    </row>
    <row r="494" s="1" customFormat="1" ht="18" customHeight="1" spans="1:5">
      <c r="A494" s="5" t="str">
        <f>"林逢雨"</f>
        <v>林逢雨</v>
      </c>
      <c r="B494" s="5" t="str">
        <f>"10101011408"</f>
        <v>10101011408</v>
      </c>
      <c r="C494" s="6" t="s">
        <v>8</v>
      </c>
      <c r="D494" s="6" t="s">
        <v>9</v>
      </c>
      <c r="E494" s="8"/>
    </row>
    <row r="495" s="1" customFormat="1" ht="18" customHeight="1" spans="1:5">
      <c r="A495" s="5" t="str">
        <f>"林高芳"</f>
        <v>林高芳</v>
      </c>
      <c r="B495" s="5" t="str">
        <f>"10101011409"</f>
        <v>10101011409</v>
      </c>
      <c r="C495" s="6" t="s">
        <v>8</v>
      </c>
      <c r="D495" s="6" t="s">
        <v>9</v>
      </c>
      <c r="E495" s="8"/>
    </row>
    <row r="496" s="1" customFormat="1" ht="18" customHeight="1" spans="1:5">
      <c r="A496" s="5" t="str">
        <f>"符少哪"</f>
        <v>符少哪</v>
      </c>
      <c r="B496" s="5" t="str">
        <f>"10101011411"</f>
        <v>10101011411</v>
      </c>
      <c r="C496" s="6" t="s">
        <v>8</v>
      </c>
      <c r="D496" s="6" t="s">
        <v>9</v>
      </c>
      <c r="E496" s="8"/>
    </row>
    <row r="497" s="1" customFormat="1" ht="18" customHeight="1" spans="1:5">
      <c r="A497" s="5" t="str">
        <f>"罗婷"</f>
        <v>罗婷</v>
      </c>
      <c r="B497" s="5" t="str">
        <f>"10101011412"</f>
        <v>10101011412</v>
      </c>
      <c r="C497" s="6" t="s">
        <v>8</v>
      </c>
      <c r="D497" s="6" t="s">
        <v>9</v>
      </c>
      <c r="E497" s="8"/>
    </row>
    <row r="498" s="1" customFormat="1" ht="18" customHeight="1" spans="1:5">
      <c r="A498" s="5" t="str">
        <f>"王永河"</f>
        <v>王永河</v>
      </c>
      <c r="B498" s="5" t="str">
        <f>"10101011413"</f>
        <v>10101011413</v>
      </c>
      <c r="C498" s="6" t="s">
        <v>8</v>
      </c>
      <c r="D498" s="6" t="s">
        <v>9</v>
      </c>
      <c r="E498" s="8"/>
    </row>
    <row r="499" s="1" customFormat="1" ht="18" customHeight="1" spans="1:5">
      <c r="A499" s="5" t="str">
        <f>"卢虹杉"</f>
        <v>卢虹杉</v>
      </c>
      <c r="B499" s="5" t="str">
        <f>"10101011417"</f>
        <v>10101011417</v>
      </c>
      <c r="C499" s="6" t="s">
        <v>8</v>
      </c>
      <c r="D499" s="6" t="s">
        <v>9</v>
      </c>
      <c r="E499" s="8"/>
    </row>
    <row r="500" s="1" customFormat="1" ht="18" customHeight="1" spans="1:5">
      <c r="A500" s="5" t="str">
        <f>"洪家凤"</f>
        <v>洪家凤</v>
      </c>
      <c r="B500" s="5" t="str">
        <f>"10101011418"</f>
        <v>10101011418</v>
      </c>
      <c r="C500" s="6" t="s">
        <v>8</v>
      </c>
      <c r="D500" s="6" t="s">
        <v>9</v>
      </c>
      <c r="E500" s="8"/>
    </row>
    <row r="501" s="1" customFormat="1" ht="18" customHeight="1" spans="1:5">
      <c r="A501" s="5" t="str">
        <f>"彭振会"</f>
        <v>彭振会</v>
      </c>
      <c r="B501" s="5" t="str">
        <f>"10101011421"</f>
        <v>10101011421</v>
      </c>
      <c r="C501" s="6" t="s">
        <v>8</v>
      </c>
      <c r="D501" s="6" t="s">
        <v>9</v>
      </c>
      <c r="E501" s="8"/>
    </row>
    <row r="502" s="1" customFormat="1" ht="18" customHeight="1" spans="1:5">
      <c r="A502" s="5" t="str">
        <f>"张新玲"</f>
        <v>张新玲</v>
      </c>
      <c r="B502" s="5" t="str">
        <f>"10101011422"</f>
        <v>10101011422</v>
      </c>
      <c r="C502" s="6" t="s">
        <v>8</v>
      </c>
      <c r="D502" s="6" t="s">
        <v>9</v>
      </c>
      <c r="E502" s="8"/>
    </row>
    <row r="503" s="1" customFormat="1" ht="18" customHeight="1" spans="1:5">
      <c r="A503" s="5" t="str">
        <f>"金红楼"</f>
        <v>金红楼</v>
      </c>
      <c r="B503" s="5" t="str">
        <f>"10101011423"</f>
        <v>10101011423</v>
      </c>
      <c r="C503" s="6" t="s">
        <v>8</v>
      </c>
      <c r="D503" s="6" t="s">
        <v>9</v>
      </c>
      <c r="E503" s="8"/>
    </row>
    <row r="504" s="1" customFormat="1" ht="18" customHeight="1" spans="1:5">
      <c r="A504" s="5" t="str">
        <f>"羊鸿秋"</f>
        <v>羊鸿秋</v>
      </c>
      <c r="B504" s="5" t="str">
        <f>"10101011424"</f>
        <v>10101011424</v>
      </c>
      <c r="C504" s="6" t="s">
        <v>8</v>
      </c>
      <c r="D504" s="6" t="s">
        <v>9</v>
      </c>
      <c r="E504" s="8"/>
    </row>
    <row r="505" s="1" customFormat="1" ht="18" customHeight="1" spans="1:5">
      <c r="A505" s="5" t="str">
        <f>"张思琪"</f>
        <v>张思琪</v>
      </c>
      <c r="B505" s="5" t="str">
        <f>"10101011426"</f>
        <v>10101011426</v>
      </c>
      <c r="C505" s="6" t="s">
        <v>8</v>
      </c>
      <c r="D505" s="6" t="s">
        <v>9</v>
      </c>
      <c r="E505" s="8"/>
    </row>
    <row r="506" s="1" customFormat="1" ht="18" customHeight="1" spans="1:5">
      <c r="A506" s="5" t="str">
        <f>"陈小珊"</f>
        <v>陈小珊</v>
      </c>
      <c r="B506" s="5" t="str">
        <f>"10101011427"</f>
        <v>10101011427</v>
      </c>
      <c r="C506" s="6" t="s">
        <v>8</v>
      </c>
      <c r="D506" s="6" t="s">
        <v>9</v>
      </c>
      <c r="E506" s="8"/>
    </row>
    <row r="507" s="1" customFormat="1" ht="18" customHeight="1" spans="1:5">
      <c r="A507" s="5" t="str">
        <f>"周蝶"</f>
        <v>周蝶</v>
      </c>
      <c r="B507" s="5" t="str">
        <f>"10101011430"</f>
        <v>10101011430</v>
      </c>
      <c r="C507" s="6" t="s">
        <v>8</v>
      </c>
      <c r="D507" s="6" t="s">
        <v>9</v>
      </c>
      <c r="E507" s="8"/>
    </row>
    <row r="508" s="1" customFormat="1" ht="18" customHeight="1" spans="1:5">
      <c r="A508" s="5" t="str">
        <f>"郭义婷"</f>
        <v>郭义婷</v>
      </c>
      <c r="B508" s="5" t="str">
        <f>"10101011501"</f>
        <v>10101011501</v>
      </c>
      <c r="C508" s="6" t="s">
        <v>8</v>
      </c>
      <c r="D508" s="6" t="s">
        <v>9</v>
      </c>
      <c r="E508" s="8"/>
    </row>
    <row r="509" s="1" customFormat="1" ht="18" customHeight="1" spans="1:5">
      <c r="A509" s="5" t="str">
        <f>"颜美瑜"</f>
        <v>颜美瑜</v>
      </c>
      <c r="B509" s="5" t="str">
        <f>"10101011504"</f>
        <v>10101011504</v>
      </c>
      <c r="C509" s="6" t="s">
        <v>8</v>
      </c>
      <c r="D509" s="6" t="s">
        <v>9</v>
      </c>
      <c r="E509" s="8"/>
    </row>
    <row r="510" s="1" customFormat="1" ht="18" customHeight="1" spans="1:5">
      <c r="A510" s="5" t="str">
        <f>"蔡井桃"</f>
        <v>蔡井桃</v>
      </c>
      <c r="B510" s="5" t="str">
        <f>"10101011505"</f>
        <v>10101011505</v>
      </c>
      <c r="C510" s="6" t="s">
        <v>8</v>
      </c>
      <c r="D510" s="6" t="s">
        <v>9</v>
      </c>
      <c r="E510" s="8"/>
    </row>
    <row r="511" s="1" customFormat="1" ht="18" customHeight="1" spans="1:5">
      <c r="A511" s="5" t="str">
        <f>"陈娇"</f>
        <v>陈娇</v>
      </c>
      <c r="B511" s="5" t="str">
        <f>"10101011507"</f>
        <v>10101011507</v>
      </c>
      <c r="C511" s="6" t="s">
        <v>8</v>
      </c>
      <c r="D511" s="6" t="s">
        <v>9</v>
      </c>
      <c r="E511" s="8"/>
    </row>
    <row r="512" s="1" customFormat="1" ht="18" customHeight="1" spans="1:5">
      <c r="A512" s="5" t="str">
        <f>"颜亚梨"</f>
        <v>颜亚梨</v>
      </c>
      <c r="B512" s="5" t="str">
        <f>"10101011510"</f>
        <v>10101011510</v>
      </c>
      <c r="C512" s="6" t="s">
        <v>8</v>
      </c>
      <c r="D512" s="6" t="s">
        <v>9</v>
      </c>
      <c r="E512" s="8"/>
    </row>
    <row r="513" s="1" customFormat="1" ht="18" customHeight="1" spans="1:5">
      <c r="A513" s="5" t="str">
        <f>"黄和庆"</f>
        <v>黄和庆</v>
      </c>
      <c r="B513" s="5" t="str">
        <f>"10101011514"</f>
        <v>10101011514</v>
      </c>
      <c r="C513" s="6" t="s">
        <v>8</v>
      </c>
      <c r="D513" s="6" t="s">
        <v>9</v>
      </c>
      <c r="E513" s="8"/>
    </row>
    <row r="514" s="1" customFormat="1" ht="18" customHeight="1" spans="1:5">
      <c r="A514" s="5" t="str">
        <f>"蔡游"</f>
        <v>蔡游</v>
      </c>
      <c r="B514" s="5" t="str">
        <f>"10101011515"</f>
        <v>10101011515</v>
      </c>
      <c r="C514" s="6" t="s">
        <v>8</v>
      </c>
      <c r="D514" s="6" t="s">
        <v>9</v>
      </c>
      <c r="E514" s="8"/>
    </row>
    <row r="515" s="1" customFormat="1" ht="18" customHeight="1" spans="1:5">
      <c r="A515" s="5" t="str">
        <f>"林志雅"</f>
        <v>林志雅</v>
      </c>
      <c r="B515" s="5" t="str">
        <f>"10101011516"</f>
        <v>10101011516</v>
      </c>
      <c r="C515" s="6" t="s">
        <v>8</v>
      </c>
      <c r="D515" s="6" t="s">
        <v>9</v>
      </c>
      <c r="E515" s="8"/>
    </row>
    <row r="516" s="1" customFormat="1" ht="18" customHeight="1" spans="1:5">
      <c r="A516" s="5" t="str">
        <f>"麦月妹"</f>
        <v>麦月妹</v>
      </c>
      <c r="B516" s="5" t="str">
        <f>"10101011517"</f>
        <v>10101011517</v>
      </c>
      <c r="C516" s="6" t="s">
        <v>8</v>
      </c>
      <c r="D516" s="6" t="s">
        <v>9</v>
      </c>
      <c r="E516" s="8"/>
    </row>
    <row r="517" s="1" customFormat="1" ht="18" customHeight="1" spans="1:5">
      <c r="A517" s="5" t="str">
        <f>"邱康丽"</f>
        <v>邱康丽</v>
      </c>
      <c r="B517" s="5" t="str">
        <f>"10101011520"</f>
        <v>10101011520</v>
      </c>
      <c r="C517" s="6" t="s">
        <v>8</v>
      </c>
      <c r="D517" s="6" t="s">
        <v>9</v>
      </c>
      <c r="E517" s="8"/>
    </row>
    <row r="518" s="1" customFormat="1" ht="18" customHeight="1" spans="1:5">
      <c r="A518" s="5" t="str">
        <f>"邢丽影"</f>
        <v>邢丽影</v>
      </c>
      <c r="B518" s="5" t="str">
        <f>"10101011522"</f>
        <v>10101011522</v>
      </c>
      <c r="C518" s="6" t="s">
        <v>8</v>
      </c>
      <c r="D518" s="6" t="s">
        <v>9</v>
      </c>
      <c r="E518" s="8"/>
    </row>
    <row r="519" s="1" customFormat="1" ht="18" customHeight="1" spans="1:5">
      <c r="A519" s="5" t="str">
        <f>"张丹"</f>
        <v>张丹</v>
      </c>
      <c r="B519" s="5" t="str">
        <f>"10101011523"</f>
        <v>10101011523</v>
      </c>
      <c r="C519" s="6" t="s">
        <v>8</v>
      </c>
      <c r="D519" s="6" t="s">
        <v>9</v>
      </c>
      <c r="E519" s="8"/>
    </row>
    <row r="520" s="1" customFormat="1" ht="18" customHeight="1" spans="1:5">
      <c r="A520" s="5" t="str">
        <f>"许万丽"</f>
        <v>许万丽</v>
      </c>
      <c r="B520" s="5" t="str">
        <f>"10101011525"</f>
        <v>10101011525</v>
      </c>
      <c r="C520" s="6" t="s">
        <v>8</v>
      </c>
      <c r="D520" s="6" t="s">
        <v>9</v>
      </c>
      <c r="E520" s="8"/>
    </row>
    <row r="521" s="1" customFormat="1" ht="18" customHeight="1" spans="1:5">
      <c r="A521" s="5" t="str">
        <f>"陈仕婷"</f>
        <v>陈仕婷</v>
      </c>
      <c r="B521" s="5" t="str">
        <f>"10101011526"</f>
        <v>10101011526</v>
      </c>
      <c r="C521" s="6" t="s">
        <v>8</v>
      </c>
      <c r="D521" s="6" t="s">
        <v>9</v>
      </c>
      <c r="E521" s="8"/>
    </row>
    <row r="522" s="1" customFormat="1" ht="18" customHeight="1" spans="1:5">
      <c r="A522" s="5" t="str">
        <f>"文凯凯"</f>
        <v>文凯凯</v>
      </c>
      <c r="B522" s="5" t="str">
        <f>"10101011527"</f>
        <v>10101011527</v>
      </c>
      <c r="C522" s="6" t="s">
        <v>8</v>
      </c>
      <c r="D522" s="6" t="s">
        <v>9</v>
      </c>
      <c r="E522" s="8"/>
    </row>
    <row r="523" s="1" customFormat="1" ht="18" customHeight="1" spans="1:5">
      <c r="A523" s="5" t="str">
        <f>"郭妹"</f>
        <v>郭妹</v>
      </c>
      <c r="B523" s="5" t="str">
        <f>"10101011528"</f>
        <v>10101011528</v>
      </c>
      <c r="C523" s="6" t="s">
        <v>8</v>
      </c>
      <c r="D523" s="6" t="s">
        <v>9</v>
      </c>
      <c r="E523" s="8"/>
    </row>
    <row r="524" s="1" customFormat="1" ht="18" customHeight="1" spans="1:5">
      <c r="A524" s="5" t="str">
        <f>"韦全琴"</f>
        <v>韦全琴</v>
      </c>
      <c r="B524" s="5" t="str">
        <f>"10101011601"</f>
        <v>10101011601</v>
      </c>
      <c r="C524" s="6" t="s">
        <v>8</v>
      </c>
      <c r="D524" s="6" t="s">
        <v>9</v>
      </c>
      <c r="E524" s="8"/>
    </row>
    <row r="525" s="1" customFormat="1" ht="18" customHeight="1" spans="1:5">
      <c r="A525" s="5" t="str">
        <f>"钟海转"</f>
        <v>钟海转</v>
      </c>
      <c r="B525" s="5" t="str">
        <f>"10101011607"</f>
        <v>10101011607</v>
      </c>
      <c r="C525" s="6" t="s">
        <v>8</v>
      </c>
      <c r="D525" s="6" t="s">
        <v>9</v>
      </c>
      <c r="E525" s="8"/>
    </row>
    <row r="526" s="1" customFormat="1" ht="18" customHeight="1" spans="1:5">
      <c r="A526" s="5" t="str">
        <f>"梁育优"</f>
        <v>梁育优</v>
      </c>
      <c r="B526" s="5" t="str">
        <f>"10101011609"</f>
        <v>10101011609</v>
      </c>
      <c r="C526" s="6" t="s">
        <v>8</v>
      </c>
      <c r="D526" s="6" t="s">
        <v>9</v>
      </c>
      <c r="E526" s="8"/>
    </row>
    <row r="527" s="1" customFormat="1" ht="18" customHeight="1" spans="1:5">
      <c r="A527" s="5" t="str">
        <f>"吴魏尔"</f>
        <v>吴魏尔</v>
      </c>
      <c r="B527" s="5" t="str">
        <f>"10101011617"</f>
        <v>10101011617</v>
      </c>
      <c r="C527" s="6" t="s">
        <v>8</v>
      </c>
      <c r="D527" s="6" t="s">
        <v>9</v>
      </c>
      <c r="E527" s="8"/>
    </row>
    <row r="528" s="1" customFormat="1" ht="18" customHeight="1" spans="1:5">
      <c r="A528" s="5" t="str">
        <f>"王会莉"</f>
        <v>王会莉</v>
      </c>
      <c r="B528" s="5" t="str">
        <f>"10101011618"</f>
        <v>10101011618</v>
      </c>
      <c r="C528" s="6" t="s">
        <v>8</v>
      </c>
      <c r="D528" s="6" t="s">
        <v>9</v>
      </c>
      <c r="E528" s="8"/>
    </row>
    <row r="529" s="1" customFormat="1" ht="18" customHeight="1" spans="1:5">
      <c r="A529" s="5" t="str">
        <f>"杨活活"</f>
        <v>杨活活</v>
      </c>
      <c r="B529" s="5" t="str">
        <f>"10101011620"</f>
        <v>10101011620</v>
      </c>
      <c r="C529" s="6" t="s">
        <v>8</v>
      </c>
      <c r="D529" s="6" t="s">
        <v>9</v>
      </c>
      <c r="E529" s="8"/>
    </row>
    <row r="530" s="1" customFormat="1" ht="18" customHeight="1" spans="1:5">
      <c r="A530" s="5" t="str">
        <f>"何美妃"</f>
        <v>何美妃</v>
      </c>
      <c r="B530" s="5" t="str">
        <f>"10101011621"</f>
        <v>10101011621</v>
      </c>
      <c r="C530" s="6" t="s">
        <v>8</v>
      </c>
      <c r="D530" s="6" t="s">
        <v>9</v>
      </c>
      <c r="E530" s="8"/>
    </row>
    <row r="531" s="1" customFormat="1" ht="18" customHeight="1" spans="1:5">
      <c r="A531" s="5" t="str">
        <f>"张燕青"</f>
        <v>张燕青</v>
      </c>
      <c r="B531" s="5" t="str">
        <f>"10101011623"</f>
        <v>10101011623</v>
      </c>
      <c r="C531" s="6" t="s">
        <v>8</v>
      </c>
      <c r="D531" s="6" t="s">
        <v>9</v>
      </c>
      <c r="E531" s="8"/>
    </row>
    <row r="532" s="1" customFormat="1" ht="18" customHeight="1" spans="1:5">
      <c r="A532" s="5" t="str">
        <f>"杨孟琼"</f>
        <v>杨孟琼</v>
      </c>
      <c r="B532" s="5" t="str">
        <f>"10101011701"</f>
        <v>10101011701</v>
      </c>
      <c r="C532" s="6" t="s">
        <v>8</v>
      </c>
      <c r="D532" s="6" t="s">
        <v>9</v>
      </c>
      <c r="E532" s="8"/>
    </row>
    <row r="533" s="1" customFormat="1" ht="18" customHeight="1" spans="1:5">
      <c r="A533" s="5" t="str">
        <f>"李美菊"</f>
        <v>李美菊</v>
      </c>
      <c r="B533" s="5" t="str">
        <f>"10101011705"</f>
        <v>10101011705</v>
      </c>
      <c r="C533" s="6" t="s">
        <v>8</v>
      </c>
      <c r="D533" s="6" t="s">
        <v>9</v>
      </c>
      <c r="E533" s="8"/>
    </row>
    <row r="534" s="1" customFormat="1" ht="18" customHeight="1" spans="1:5">
      <c r="A534" s="5" t="str">
        <f>"卢运双"</f>
        <v>卢运双</v>
      </c>
      <c r="B534" s="5" t="str">
        <f>"10101011706"</f>
        <v>10101011706</v>
      </c>
      <c r="C534" s="6" t="s">
        <v>8</v>
      </c>
      <c r="D534" s="6" t="s">
        <v>9</v>
      </c>
      <c r="E534" s="8"/>
    </row>
    <row r="535" s="1" customFormat="1" ht="18" customHeight="1" spans="1:5">
      <c r="A535" s="5" t="str">
        <f>"高冬利"</f>
        <v>高冬利</v>
      </c>
      <c r="B535" s="5" t="str">
        <f>"10101011707"</f>
        <v>10101011707</v>
      </c>
      <c r="C535" s="6" t="s">
        <v>8</v>
      </c>
      <c r="D535" s="6" t="s">
        <v>9</v>
      </c>
      <c r="E535" s="8"/>
    </row>
    <row r="536" s="1" customFormat="1" ht="18" customHeight="1" spans="1:5">
      <c r="A536" s="5" t="str">
        <f>"符丽春"</f>
        <v>符丽春</v>
      </c>
      <c r="B536" s="5" t="str">
        <f>"10101011709"</f>
        <v>10101011709</v>
      </c>
      <c r="C536" s="6" t="s">
        <v>8</v>
      </c>
      <c r="D536" s="6" t="s">
        <v>9</v>
      </c>
      <c r="E536" s="8"/>
    </row>
    <row r="537" s="1" customFormat="1" ht="18" customHeight="1" spans="1:5">
      <c r="A537" s="5" t="str">
        <f>"李江曼"</f>
        <v>李江曼</v>
      </c>
      <c r="B537" s="5" t="str">
        <f>"10101011710"</f>
        <v>10101011710</v>
      </c>
      <c r="C537" s="6" t="s">
        <v>8</v>
      </c>
      <c r="D537" s="6" t="s">
        <v>9</v>
      </c>
      <c r="E537" s="8"/>
    </row>
    <row r="538" s="1" customFormat="1" ht="18" customHeight="1" spans="1:5">
      <c r="A538" s="5" t="str">
        <f>"吴乙凤"</f>
        <v>吴乙凤</v>
      </c>
      <c r="B538" s="5" t="str">
        <f>"10101011715"</f>
        <v>10101011715</v>
      </c>
      <c r="C538" s="6" t="s">
        <v>8</v>
      </c>
      <c r="D538" s="6" t="s">
        <v>9</v>
      </c>
      <c r="E538" s="8"/>
    </row>
    <row r="539" s="1" customFormat="1" ht="18" customHeight="1" spans="1:5">
      <c r="A539" s="5" t="str">
        <f>"何娜欣"</f>
        <v>何娜欣</v>
      </c>
      <c r="B539" s="5" t="str">
        <f>"10101011716"</f>
        <v>10101011716</v>
      </c>
      <c r="C539" s="6" t="s">
        <v>8</v>
      </c>
      <c r="D539" s="6" t="s">
        <v>9</v>
      </c>
      <c r="E539" s="8"/>
    </row>
    <row r="540" s="1" customFormat="1" ht="18" customHeight="1" spans="1:5">
      <c r="A540" s="5" t="str">
        <f>"林秀妹"</f>
        <v>林秀妹</v>
      </c>
      <c r="B540" s="5" t="str">
        <f>"10101011718"</f>
        <v>10101011718</v>
      </c>
      <c r="C540" s="6" t="s">
        <v>8</v>
      </c>
      <c r="D540" s="6" t="s">
        <v>9</v>
      </c>
      <c r="E540" s="8"/>
    </row>
    <row r="541" s="1" customFormat="1" ht="18" customHeight="1" spans="1:5">
      <c r="A541" s="5" t="str">
        <f>"黄慧玥"</f>
        <v>黄慧玥</v>
      </c>
      <c r="B541" s="5" t="str">
        <f>"10101011720"</f>
        <v>10101011720</v>
      </c>
      <c r="C541" s="6" t="s">
        <v>8</v>
      </c>
      <c r="D541" s="6" t="s">
        <v>9</v>
      </c>
      <c r="E541" s="8"/>
    </row>
    <row r="542" s="1" customFormat="1" ht="18" customHeight="1" spans="1:5">
      <c r="A542" s="5" t="str">
        <f>"钟丽媚"</f>
        <v>钟丽媚</v>
      </c>
      <c r="B542" s="5" t="str">
        <f>"10101011721"</f>
        <v>10101011721</v>
      </c>
      <c r="C542" s="6" t="s">
        <v>8</v>
      </c>
      <c r="D542" s="6" t="s">
        <v>9</v>
      </c>
      <c r="E542" s="8"/>
    </row>
    <row r="543" s="1" customFormat="1" ht="18" customHeight="1" spans="1:5">
      <c r="A543" s="5" t="str">
        <f>"林芳静"</f>
        <v>林芳静</v>
      </c>
      <c r="B543" s="5" t="str">
        <f>"10101011722"</f>
        <v>10101011722</v>
      </c>
      <c r="C543" s="6" t="s">
        <v>8</v>
      </c>
      <c r="D543" s="6" t="s">
        <v>9</v>
      </c>
      <c r="E543" s="8"/>
    </row>
    <row r="544" s="1" customFormat="1" ht="18" customHeight="1" spans="1:5">
      <c r="A544" s="5" t="str">
        <f>"文体芳"</f>
        <v>文体芳</v>
      </c>
      <c r="B544" s="5" t="str">
        <f>"10101011724"</f>
        <v>10101011724</v>
      </c>
      <c r="C544" s="6" t="s">
        <v>8</v>
      </c>
      <c r="D544" s="6" t="s">
        <v>9</v>
      </c>
      <c r="E544" s="8"/>
    </row>
    <row r="545" s="1" customFormat="1" ht="18" customHeight="1" spans="1:5">
      <c r="A545" s="5" t="str">
        <f>"黄冠丹"</f>
        <v>黄冠丹</v>
      </c>
      <c r="B545" s="5" t="str">
        <f>"10101011726"</f>
        <v>10101011726</v>
      </c>
      <c r="C545" s="6" t="s">
        <v>8</v>
      </c>
      <c r="D545" s="6" t="s">
        <v>9</v>
      </c>
      <c r="E545" s="8"/>
    </row>
    <row r="546" s="1" customFormat="1" ht="18" customHeight="1" spans="1:5">
      <c r="A546" s="5" t="str">
        <f>"邓婷"</f>
        <v>邓婷</v>
      </c>
      <c r="B546" s="5" t="str">
        <f>"10101011728"</f>
        <v>10101011728</v>
      </c>
      <c r="C546" s="6" t="s">
        <v>8</v>
      </c>
      <c r="D546" s="6" t="s">
        <v>9</v>
      </c>
      <c r="E546" s="8"/>
    </row>
    <row r="547" s="1" customFormat="1" ht="18" customHeight="1" spans="1:5">
      <c r="A547" s="5" t="str">
        <f>"陈茹芳"</f>
        <v>陈茹芳</v>
      </c>
      <c r="B547" s="5" t="str">
        <f>"10101011730"</f>
        <v>10101011730</v>
      </c>
      <c r="C547" s="6" t="s">
        <v>8</v>
      </c>
      <c r="D547" s="6" t="s">
        <v>9</v>
      </c>
      <c r="E547" s="8"/>
    </row>
    <row r="548" s="1" customFormat="1" ht="18" customHeight="1" spans="1:5">
      <c r="A548" s="5" t="str">
        <f>"文成倩"</f>
        <v>文成倩</v>
      </c>
      <c r="B548" s="5" t="str">
        <f>"10101011801"</f>
        <v>10101011801</v>
      </c>
      <c r="C548" s="6" t="s">
        <v>8</v>
      </c>
      <c r="D548" s="6" t="s">
        <v>9</v>
      </c>
      <c r="E548" s="8"/>
    </row>
    <row r="549" s="1" customFormat="1" ht="18" customHeight="1" spans="1:5">
      <c r="A549" s="5" t="str">
        <f>"陶嘉嘉"</f>
        <v>陶嘉嘉</v>
      </c>
      <c r="B549" s="5" t="str">
        <f>"10101011804"</f>
        <v>10101011804</v>
      </c>
      <c r="C549" s="6" t="s">
        <v>8</v>
      </c>
      <c r="D549" s="6" t="s">
        <v>9</v>
      </c>
      <c r="E549" s="8"/>
    </row>
    <row r="550" s="1" customFormat="1" ht="18" customHeight="1" spans="1:5">
      <c r="A550" s="5" t="str">
        <f>"陈群"</f>
        <v>陈群</v>
      </c>
      <c r="B550" s="5" t="str">
        <f>"10101011806"</f>
        <v>10101011806</v>
      </c>
      <c r="C550" s="6" t="s">
        <v>8</v>
      </c>
      <c r="D550" s="6" t="s">
        <v>9</v>
      </c>
      <c r="E550" s="8"/>
    </row>
    <row r="551" s="1" customFormat="1" ht="18" customHeight="1" spans="1:5">
      <c r="A551" s="5" t="str">
        <f>"杨彬琼"</f>
        <v>杨彬琼</v>
      </c>
      <c r="B551" s="5" t="str">
        <f>"10101011808"</f>
        <v>10101011808</v>
      </c>
      <c r="C551" s="6" t="s">
        <v>8</v>
      </c>
      <c r="D551" s="6" t="s">
        <v>9</v>
      </c>
      <c r="E551" s="8"/>
    </row>
    <row r="552" s="1" customFormat="1" ht="18" customHeight="1" spans="1:5">
      <c r="A552" s="5" t="str">
        <f>"洪彩月"</f>
        <v>洪彩月</v>
      </c>
      <c r="B552" s="5" t="str">
        <f>"10101011810"</f>
        <v>10101011810</v>
      </c>
      <c r="C552" s="6" t="s">
        <v>8</v>
      </c>
      <c r="D552" s="6" t="s">
        <v>9</v>
      </c>
      <c r="E552" s="8"/>
    </row>
    <row r="553" s="1" customFormat="1" ht="18" customHeight="1" spans="1:5">
      <c r="A553" s="5" t="str">
        <f>"黄文晓"</f>
        <v>黄文晓</v>
      </c>
      <c r="B553" s="5" t="str">
        <f>"10101011812"</f>
        <v>10101011812</v>
      </c>
      <c r="C553" s="6" t="s">
        <v>8</v>
      </c>
      <c r="D553" s="6" t="s">
        <v>9</v>
      </c>
      <c r="E553" s="8"/>
    </row>
    <row r="554" s="1" customFormat="1" ht="18" customHeight="1" spans="1:5">
      <c r="A554" s="5" t="str">
        <f>"符晓冰"</f>
        <v>符晓冰</v>
      </c>
      <c r="B554" s="5" t="str">
        <f>"10101011814"</f>
        <v>10101011814</v>
      </c>
      <c r="C554" s="6" t="s">
        <v>8</v>
      </c>
      <c r="D554" s="6" t="s">
        <v>9</v>
      </c>
      <c r="E554" s="8"/>
    </row>
    <row r="555" s="1" customFormat="1" ht="18" customHeight="1" spans="1:5">
      <c r="A555" s="5" t="str">
        <f>"王艺铮"</f>
        <v>王艺铮</v>
      </c>
      <c r="B555" s="5" t="str">
        <f>"10101011815"</f>
        <v>10101011815</v>
      </c>
      <c r="C555" s="6" t="s">
        <v>8</v>
      </c>
      <c r="D555" s="6" t="s">
        <v>9</v>
      </c>
      <c r="E555" s="8"/>
    </row>
    <row r="556" s="1" customFormat="1" ht="18" customHeight="1" spans="1:5">
      <c r="A556" s="5" t="str">
        <f>"邢晓姗"</f>
        <v>邢晓姗</v>
      </c>
      <c r="B556" s="5" t="str">
        <f>"10101011818"</f>
        <v>10101011818</v>
      </c>
      <c r="C556" s="6" t="s">
        <v>8</v>
      </c>
      <c r="D556" s="6" t="s">
        <v>9</v>
      </c>
      <c r="E556" s="8"/>
    </row>
    <row r="557" s="1" customFormat="1" ht="18" customHeight="1" spans="1:5">
      <c r="A557" s="5" t="str">
        <f>"文凤纯"</f>
        <v>文凤纯</v>
      </c>
      <c r="B557" s="5" t="str">
        <f>"10101011819"</f>
        <v>10101011819</v>
      </c>
      <c r="C557" s="6" t="s">
        <v>8</v>
      </c>
      <c r="D557" s="6" t="s">
        <v>9</v>
      </c>
      <c r="E557" s="8"/>
    </row>
    <row r="558" s="1" customFormat="1" ht="18" customHeight="1" spans="1:5">
      <c r="A558" s="5" t="str">
        <f>"钟婷婷"</f>
        <v>钟婷婷</v>
      </c>
      <c r="B558" s="5" t="str">
        <f>"10101011821"</f>
        <v>10101011821</v>
      </c>
      <c r="C558" s="6" t="s">
        <v>8</v>
      </c>
      <c r="D558" s="6" t="s">
        <v>9</v>
      </c>
      <c r="E558" s="8"/>
    </row>
    <row r="559" s="1" customFormat="1" ht="18" customHeight="1" spans="1:5">
      <c r="A559" s="5" t="str">
        <f>"宋晓丽"</f>
        <v>宋晓丽</v>
      </c>
      <c r="B559" s="5" t="str">
        <f>"10101011824"</f>
        <v>10101011824</v>
      </c>
      <c r="C559" s="6" t="s">
        <v>8</v>
      </c>
      <c r="D559" s="6" t="s">
        <v>9</v>
      </c>
      <c r="E559" s="8"/>
    </row>
    <row r="560" s="1" customFormat="1" ht="18" customHeight="1" spans="1:5">
      <c r="A560" s="5" t="str">
        <f>"钟浪"</f>
        <v>钟浪</v>
      </c>
      <c r="B560" s="5" t="str">
        <f>"10101011825"</f>
        <v>10101011825</v>
      </c>
      <c r="C560" s="6" t="s">
        <v>8</v>
      </c>
      <c r="D560" s="6" t="s">
        <v>9</v>
      </c>
      <c r="E560" s="8"/>
    </row>
    <row r="561" s="1" customFormat="1" ht="18" customHeight="1" spans="1:5">
      <c r="A561" s="5" t="str">
        <f>"吴丽丽"</f>
        <v>吴丽丽</v>
      </c>
      <c r="B561" s="5" t="str">
        <f>"10101011828"</f>
        <v>10101011828</v>
      </c>
      <c r="C561" s="6" t="s">
        <v>8</v>
      </c>
      <c r="D561" s="6" t="s">
        <v>9</v>
      </c>
      <c r="E561" s="8"/>
    </row>
    <row r="562" s="1" customFormat="1" ht="18" customHeight="1" spans="1:5">
      <c r="A562" s="5" t="str">
        <f>"王慧转"</f>
        <v>王慧转</v>
      </c>
      <c r="B562" s="5" t="str">
        <f>"10101011830"</f>
        <v>10101011830</v>
      </c>
      <c r="C562" s="6" t="s">
        <v>8</v>
      </c>
      <c r="D562" s="6" t="s">
        <v>9</v>
      </c>
      <c r="E562" s="8"/>
    </row>
    <row r="563" s="1" customFormat="1" ht="18" customHeight="1" spans="1:5">
      <c r="A563" s="5" t="str">
        <f>"袁佳卉"</f>
        <v>袁佳卉</v>
      </c>
      <c r="B563" s="5" t="str">
        <f>"10101011901"</f>
        <v>10101011901</v>
      </c>
      <c r="C563" s="6" t="s">
        <v>8</v>
      </c>
      <c r="D563" s="6" t="s">
        <v>9</v>
      </c>
      <c r="E563" s="8"/>
    </row>
    <row r="564" s="1" customFormat="1" ht="18" customHeight="1" spans="1:5">
      <c r="A564" s="5" t="str">
        <f>"何开彩"</f>
        <v>何开彩</v>
      </c>
      <c r="B564" s="5" t="str">
        <f>"10101011902"</f>
        <v>10101011902</v>
      </c>
      <c r="C564" s="6" t="s">
        <v>8</v>
      </c>
      <c r="D564" s="6" t="s">
        <v>9</v>
      </c>
      <c r="E564" s="8"/>
    </row>
    <row r="565" s="1" customFormat="1" ht="18" customHeight="1" spans="1:5">
      <c r="A565" s="5" t="str">
        <f>"柯珊珊"</f>
        <v>柯珊珊</v>
      </c>
      <c r="B565" s="5" t="str">
        <f>"10101011904"</f>
        <v>10101011904</v>
      </c>
      <c r="C565" s="6" t="s">
        <v>8</v>
      </c>
      <c r="D565" s="6" t="s">
        <v>9</v>
      </c>
      <c r="E565" s="8"/>
    </row>
    <row r="566" s="1" customFormat="1" ht="18" customHeight="1" spans="1:5">
      <c r="A566" s="5" t="str">
        <f>"黎晶晶"</f>
        <v>黎晶晶</v>
      </c>
      <c r="B566" s="5" t="str">
        <f>"10101011906"</f>
        <v>10101011906</v>
      </c>
      <c r="C566" s="6" t="s">
        <v>8</v>
      </c>
      <c r="D566" s="6" t="s">
        <v>9</v>
      </c>
      <c r="E566" s="8"/>
    </row>
    <row r="567" s="1" customFormat="1" ht="18" customHeight="1" spans="1:5">
      <c r="A567" s="5" t="str">
        <f>"罗慧"</f>
        <v>罗慧</v>
      </c>
      <c r="B567" s="5" t="str">
        <f>"10101011910"</f>
        <v>10101011910</v>
      </c>
      <c r="C567" s="6" t="s">
        <v>8</v>
      </c>
      <c r="D567" s="6" t="s">
        <v>9</v>
      </c>
      <c r="E567" s="8"/>
    </row>
    <row r="568" s="1" customFormat="1" ht="18" customHeight="1" spans="1:5">
      <c r="A568" s="5" t="str">
        <f>"周秋萍"</f>
        <v>周秋萍</v>
      </c>
      <c r="B568" s="5" t="str">
        <f>"10101011911"</f>
        <v>10101011911</v>
      </c>
      <c r="C568" s="6" t="s">
        <v>8</v>
      </c>
      <c r="D568" s="6" t="s">
        <v>9</v>
      </c>
      <c r="E568" s="8"/>
    </row>
    <row r="569" s="1" customFormat="1" ht="18" customHeight="1" spans="1:5">
      <c r="A569" s="5" t="str">
        <f>"郑珍珍"</f>
        <v>郑珍珍</v>
      </c>
      <c r="B569" s="5" t="str">
        <f>"10101011912"</f>
        <v>10101011912</v>
      </c>
      <c r="C569" s="6" t="s">
        <v>8</v>
      </c>
      <c r="D569" s="6" t="s">
        <v>9</v>
      </c>
      <c r="E569" s="8"/>
    </row>
    <row r="570" s="1" customFormat="1" ht="18" customHeight="1" spans="1:5">
      <c r="A570" s="5" t="str">
        <f>"胡秀妃"</f>
        <v>胡秀妃</v>
      </c>
      <c r="B570" s="5" t="str">
        <f>"10101011913"</f>
        <v>10101011913</v>
      </c>
      <c r="C570" s="6" t="s">
        <v>8</v>
      </c>
      <c r="D570" s="6" t="s">
        <v>9</v>
      </c>
      <c r="E570" s="8"/>
    </row>
    <row r="571" s="1" customFormat="1" ht="18" customHeight="1" spans="1:5">
      <c r="A571" s="5" t="str">
        <f>"陈敏"</f>
        <v>陈敏</v>
      </c>
      <c r="B571" s="5" t="str">
        <f>"10101011914"</f>
        <v>10101011914</v>
      </c>
      <c r="C571" s="6" t="s">
        <v>8</v>
      </c>
      <c r="D571" s="6" t="s">
        <v>9</v>
      </c>
      <c r="E571" s="8"/>
    </row>
    <row r="572" s="1" customFormat="1" ht="18" customHeight="1" spans="1:5">
      <c r="A572" s="5" t="str">
        <f>"王彩莹"</f>
        <v>王彩莹</v>
      </c>
      <c r="B572" s="5" t="str">
        <f>"10101011917"</f>
        <v>10101011917</v>
      </c>
      <c r="C572" s="6" t="s">
        <v>8</v>
      </c>
      <c r="D572" s="6" t="s">
        <v>9</v>
      </c>
      <c r="E572" s="8"/>
    </row>
    <row r="573" s="1" customFormat="1" ht="18" customHeight="1" spans="1:5">
      <c r="A573" s="5" t="str">
        <f>"赵春娜"</f>
        <v>赵春娜</v>
      </c>
      <c r="B573" s="5" t="str">
        <f>"10101011918"</f>
        <v>10101011918</v>
      </c>
      <c r="C573" s="6" t="s">
        <v>8</v>
      </c>
      <c r="D573" s="6" t="s">
        <v>9</v>
      </c>
      <c r="E573" s="8"/>
    </row>
    <row r="574" s="1" customFormat="1" ht="18" customHeight="1" spans="1:5">
      <c r="A574" s="5" t="str">
        <f>"王浦东"</f>
        <v>王浦东</v>
      </c>
      <c r="B574" s="5" t="str">
        <f>"10101011922"</f>
        <v>10101011922</v>
      </c>
      <c r="C574" s="6" t="s">
        <v>8</v>
      </c>
      <c r="D574" s="6" t="s">
        <v>9</v>
      </c>
      <c r="E574" s="8"/>
    </row>
    <row r="575" s="1" customFormat="1" ht="18" customHeight="1" spans="1:5">
      <c r="A575" s="5" t="str">
        <f>"李秋幸"</f>
        <v>李秋幸</v>
      </c>
      <c r="B575" s="5" t="str">
        <f>"10101011928"</f>
        <v>10101011928</v>
      </c>
      <c r="C575" s="6" t="s">
        <v>8</v>
      </c>
      <c r="D575" s="6" t="s">
        <v>9</v>
      </c>
      <c r="E575" s="8"/>
    </row>
    <row r="576" s="1" customFormat="1" ht="18" customHeight="1" spans="1:5">
      <c r="A576" s="5" t="str">
        <f>"邢娜"</f>
        <v>邢娜</v>
      </c>
      <c r="B576" s="5" t="str">
        <f>"10101011929"</f>
        <v>10101011929</v>
      </c>
      <c r="C576" s="6" t="s">
        <v>8</v>
      </c>
      <c r="D576" s="6" t="s">
        <v>9</v>
      </c>
      <c r="E576" s="8"/>
    </row>
    <row r="577" s="1" customFormat="1" ht="18" customHeight="1" spans="1:5">
      <c r="A577" s="5" t="str">
        <f>"蒋上珠"</f>
        <v>蒋上珠</v>
      </c>
      <c r="B577" s="5" t="str">
        <f>"10101011930"</f>
        <v>10101011930</v>
      </c>
      <c r="C577" s="6" t="s">
        <v>8</v>
      </c>
      <c r="D577" s="6" t="s">
        <v>9</v>
      </c>
      <c r="E577" s="8"/>
    </row>
    <row r="578" s="1" customFormat="1" ht="18" customHeight="1" spans="1:5">
      <c r="A578" s="5" t="str">
        <f>"黄冬飞"</f>
        <v>黄冬飞</v>
      </c>
      <c r="B578" s="5" t="str">
        <f>"10101012003"</f>
        <v>10101012003</v>
      </c>
      <c r="C578" s="6" t="s">
        <v>8</v>
      </c>
      <c r="D578" s="6" t="s">
        <v>9</v>
      </c>
      <c r="E578" s="8"/>
    </row>
    <row r="579" s="1" customFormat="1" ht="18" customHeight="1" spans="1:5">
      <c r="A579" s="5" t="str">
        <f>"孙如新"</f>
        <v>孙如新</v>
      </c>
      <c r="B579" s="5" t="str">
        <f>"10101012005"</f>
        <v>10101012005</v>
      </c>
      <c r="C579" s="6" t="s">
        <v>8</v>
      </c>
      <c r="D579" s="6" t="s">
        <v>9</v>
      </c>
      <c r="E579" s="8"/>
    </row>
    <row r="580" s="1" customFormat="1" ht="18" customHeight="1" spans="1:5">
      <c r="A580" s="5" t="str">
        <f>"王娜"</f>
        <v>王娜</v>
      </c>
      <c r="B580" s="5" t="str">
        <f>"10101012006"</f>
        <v>10101012006</v>
      </c>
      <c r="C580" s="6" t="s">
        <v>8</v>
      </c>
      <c r="D580" s="6" t="s">
        <v>9</v>
      </c>
      <c r="E580" s="8"/>
    </row>
    <row r="581" s="1" customFormat="1" ht="18" customHeight="1" spans="1:5">
      <c r="A581" s="5" t="str">
        <f>"黄少丹"</f>
        <v>黄少丹</v>
      </c>
      <c r="B581" s="5" t="str">
        <f>"10101012007"</f>
        <v>10101012007</v>
      </c>
      <c r="C581" s="6" t="s">
        <v>8</v>
      </c>
      <c r="D581" s="6" t="s">
        <v>9</v>
      </c>
      <c r="E581" s="8"/>
    </row>
    <row r="582" s="1" customFormat="1" ht="18" customHeight="1" spans="1:5">
      <c r="A582" s="5" t="str">
        <f>"陈海萍"</f>
        <v>陈海萍</v>
      </c>
      <c r="B582" s="5" t="str">
        <f>"10101012008"</f>
        <v>10101012008</v>
      </c>
      <c r="C582" s="6" t="s">
        <v>8</v>
      </c>
      <c r="D582" s="6" t="s">
        <v>9</v>
      </c>
      <c r="E582" s="8"/>
    </row>
    <row r="583" s="1" customFormat="1" ht="18" customHeight="1" spans="1:5">
      <c r="A583" s="5" t="str">
        <f>"袁美娜"</f>
        <v>袁美娜</v>
      </c>
      <c r="B583" s="5" t="str">
        <f>"10101012009"</f>
        <v>10101012009</v>
      </c>
      <c r="C583" s="6" t="s">
        <v>8</v>
      </c>
      <c r="D583" s="6" t="s">
        <v>9</v>
      </c>
      <c r="E583" s="8"/>
    </row>
  </sheetData>
  <sheetProtection password="C7D5" sheet="1" objects="1"/>
  <protectedRanges>
    <protectedRange sqref="D3:D314" name="岗位排名"/>
  </protectedRanges>
  <autoFilter ref="A2:E583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0"/>
  <sheetViews>
    <sheetView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10" customWidth="1"/>
    <col min="2" max="2" width="17.6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13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"钟红凤"</f>
        <v>钟红凤</v>
      </c>
      <c r="B3" s="5" t="str">
        <f>"10101014429"</f>
        <v>10101014429</v>
      </c>
      <c r="C3" s="6">
        <v>87</v>
      </c>
      <c r="D3" s="7">
        <v>1</v>
      </c>
      <c r="E3" s="8"/>
    </row>
    <row r="4" s="1" customFormat="1" ht="18" customHeight="1" spans="1:5">
      <c r="A4" s="5" t="str">
        <f>"刘雅慧"</f>
        <v>刘雅慧</v>
      </c>
      <c r="B4" s="5" t="str">
        <f>"10101013901"</f>
        <v>10101013901</v>
      </c>
      <c r="C4" s="6">
        <v>85</v>
      </c>
      <c r="D4" s="7">
        <v>2</v>
      </c>
      <c r="E4" s="8"/>
    </row>
    <row r="5" s="1" customFormat="1" ht="18" customHeight="1" spans="1:5">
      <c r="A5" s="5" t="str">
        <f>"赵静"</f>
        <v>赵静</v>
      </c>
      <c r="B5" s="5" t="str">
        <f>"10101013314"</f>
        <v>10101013314</v>
      </c>
      <c r="C5" s="6">
        <v>84</v>
      </c>
      <c r="D5" s="7">
        <v>3</v>
      </c>
      <c r="E5" s="8"/>
    </row>
    <row r="6" s="1" customFormat="1" ht="18" customHeight="1" spans="1:5">
      <c r="A6" s="5" t="str">
        <f>"杨泽芳"</f>
        <v>杨泽芳</v>
      </c>
      <c r="B6" s="5" t="str">
        <f>"10101012212"</f>
        <v>10101012212</v>
      </c>
      <c r="C6" s="6">
        <v>83</v>
      </c>
      <c r="D6" s="7">
        <v>4</v>
      </c>
      <c r="E6" s="8"/>
    </row>
    <row r="7" s="1" customFormat="1" ht="18" customHeight="1" spans="1:5">
      <c r="A7" s="5" t="str">
        <f>"吉霜"</f>
        <v>吉霜</v>
      </c>
      <c r="B7" s="5" t="str">
        <f>"10101012905"</f>
        <v>10101012905</v>
      </c>
      <c r="C7" s="6">
        <v>83</v>
      </c>
      <c r="D7" s="7">
        <v>5</v>
      </c>
      <c r="E7" s="8"/>
    </row>
    <row r="8" s="1" customFormat="1" ht="18" customHeight="1" spans="1:5">
      <c r="A8" s="5" t="str">
        <f>"吴良月"</f>
        <v>吴良月</v>
      </c>
      <c r="B8" s="5" t="str">
        <f>"10101013520"</f>
        <v>10101013520</v>
      </c>
      <c r="C8" s="6">
        <v>83</v>
      </c>
      <c r="D8" s="7">
        <v>6</v>
      </c>
      <c r="E8" s="8"/>
    </row>
    <row r="9" s="1" customFormat="1" ht="18" customHeight="1" spans="1:5">
      <c r="A9" s="5" t="str">
        <f>"吴婷"</f>
        <v>吴婷</v>
      </c>
      <c r="B9" s="5" t="str">
        <f>"10101014228"</f>
        <v>10101014228</v>
      </c>
      <c r="C9" s="6">
        <v>83</v>
      </c>
      <c r="D9" s="7">
        <v>7</v>
      </c>
      <c r="E9" s="8"/>
    </row>
    <row r="10" s="1" customFormat="1" ht="18" customHeight="1" spans="1:5">
      <c r="A10" s="5" t="str">
        <f>"林明称"</f>
        <v>林明称</v>
      </c>
      <c r="B10" s="5" t="str">
        <f>"10101012601"</f>
        <v>10101012601</v>
      </c>
      <c r="C10" s="6">
        <v>82</v>
      </c>
      <c r="D10" s="7">
        <v>8</v>
      </c>
      <c r="E10" s="8"/>
    </row>
    <row r="11" s="1" customFormat="1" ht="18" customHeight="1" spans="1:5">
      <c r="A11" s="5" t="str">
        <f>"符夏兰"</f>
        <v>符夏兰</v>
      </c>
      <c r="B11" s="5" t="str">
        <f>"10101014023"</f>
        <v>10101014023</v>
      </c>
      <c r="C11" s="6">
        <v>82</v>
      </c>
      <c r="D11" s="7">
        <v>9</v>
      </c>
      <c r="E11" s="8"/>
    </row>
    <row r="12" s="1" customFormat="1" ht="18" customHeight="1" spans="1:5">
      <c r="A12" s="5" t="str">
        <f>"吉利梅"</f>
        <v>吉利梅</v>
      </c>
      <c r="B12" s="5" t="str">
        <f>"10101014711"</f>
        <v>10101014711</v>
      </c>
      <c r="C12" s="6">
        <v>82</v>
      </c>
      <c r="D12" s="7">
        <v>10</v>
      </c>
      <c r="E12" s="8"/>
    </row>
    <row r="13" s="1" customFormat="1" ht="18" customHeight="1" spans="1:5">
      <c r="A13" s="5" t="str">
        <f>"李燕琼"</f>
        <v>李燕琼</v>
      </c>
      <c r="B13" s="5" t="str">
        <f>"10101015215"</f>
        <v>10101015215</v>
      </c>
      <c r="C13" s="6">
        <v>82</v>
      </c>
      <c r="D13" s="7">
        <v>11</v>
      </c>
      <c r="E13" s="8"/>
    </row>
    <row r="14" s="1" customFormat="1" ht="18" customHeight="1" spans="1:5">
      <c r="A14" s="5" t="str">
        <f>"赵婷婷"</f>
        <v>赵婷婷</v>
      </c>
      <c r="B14" s="5" t="str">
        <f>"10101013112"</f>
        <v>10101013112</v>
      </c>
      <c r="C14" s="6">
        <v>81</v>
      </c>
      <c r="D14" s="7">
        <v>12</v>
      </c>
      <c r="E14" s="8"/>
    </row>
    <row r="15" s="1" customFormat="1" ht="18" customHeight="1" spans="1:5">
      <c r="A15" s="5" t="str">
        <f>"周燕"</f>
        <v>周燕</v>
      </c>
      <c r="B15" s="5" t="str">
        <f>"10101013113"</f>
        <v>10101013113</v>
      </c>
      <c r="C15" s="6">
        <v>81</v>
      </c>
      <c r="D15" s="7">
        <v>13</v>
      </c>
      <c r="E15" s="8"/>
    </row>
    <row r="16" s="1" customFormat="1" ht="18" customHeight="1" spans="1:5">
      <c r="A16" s="5" t="str">
        <f>"杨燕"</f>
        <v>杨燕</v>
      </c>
      <c r="B16" s="5" t="str">
        <f>"10101013318"</f>
        <v>10101013318</v>
      </c>
      <c r="C16" s="6">
        <v>81</v>
      </c>
      <c r="D16" s="7">
        <v>14</v>
      </c>
      <c r="E16" s="8"/>
    </row>
    <row r="17" s="1" customFormat="1" ht="18" customHeight="1" spans="1:5">
      <c r="A17" s="5" t="str">
        <f>"文雅"</f>
        <v>文雅</v>
      </c>
      <c r="B17" s="5" t="str">
        <f>"10101012316"</f>
        <v>10101012316</v>
      </c>
      <c r="C17" s="6">
        <v>80</v>
      </c>
      <c r="D17" s="7">
        <v>15</v>
      </c>
      <c r="E17" s="8"/>
    </row>
    <row r="18" s="1" customFormat="1" ht="18" customHeight="1" spans="1:5">
      <c r="A18" s="5" t="str">
        <f>"李小敏"</f>
        <v>李小敏</v>
      </c>
      <c r="B18" s="5" t="str">
        <f>"10101013512"</f>
        <v>10101013512</v>
      </c>
      <c r="C18" s="6">
        <v>80</v>
      </c>
      <c r="D18" s="7">
        <v>16</v>
      </c>
      <c r="E18" s="8"/>
    </row>
    <row r="19" s="1" customFormat="1" ht="18" customHeight="1" spans="1:5">
      <c r="A19" s="5" t="str">
        <f>"符志睿"</f>
        <v>符志睿</v>
      </c>
      <c r="B19" s="5" t="str">
        <f>"10101013713"</f>
        <v>10101013713</v>
      </c>
      <c r="C19" s="6">
        <v>80</v>
      </c>
      <c r="D19" s="7">
        <v>17</v>
      </c>
      <c r="E19" s="8"/>
    </row>
    <row r="20" s="1" customFormat="1" ht="18" customHeight="1" spans="1:5">
      <c r="A20" s="5" t="str">
        <f>"李世雅"</f>
        <v>李世雅</v>
      </c>
      <c r="B20" s="5" t="str">
        <f>"10101013827"</f>
        <v>10101013827</v>
      </c>
      <c r="C20" s="6">
        <v>80</v>
      </c>
      <c r="D20" s="7">
        <v>18</v>
      </c>
      <c r="E20" s="8"/>
    </row>
    <row r="21" s="1" customFormat="1" ht="18" customHeight="1" spans="1:5">
      <c r="A21" s="5" t="str">
        <f>"莫新称"</f>
        <v>莫新称</v>
      </c>
      <c r="B21" s="5" t="str">
        <f>"10101013907"</f>
        <v>10101013907</v>
      </c>
      <c r="C21" s="6">
        <v>80</v>
      </c>
      <c r="D21" s="7">
        <v>19</v>
      </c>
      <c r="E21" s="8"/>
    </row>
    <row r="22" s="1" customFormat="1" ht="18" customHeight="1" spans="1:5">
      <c r="A22" s="5" t="str">
        <f>"周志花"</f>
        <v>周志花</v>
      </c>
      <c r="B22" s="5" t="str">
        <f>"10101014304"</f>
        <v>10101014304</v>
      </c>
      <c r="C22" s="6">
        <v>80</v>
      </c>
      <c r="D22" s="7">
        <v>20</v>
      </c>
      <c r="E22" s="8"/>
    </row>
    <row r="23" s="1" customFormat="1" ht="18" customHeight="1" spans="1:5">
      <c r="A23" s="5" t="str">
        <f>"张用叶"</f>
        <v>张用叶</v>
      </c>
      <c r="B23" s="5" t="str">
        <f>"10101014714"</f>
        <v>10101014714</v>
      </c>
      <c r="C23" s="6">
        <v>80</v>
      </c>
      <c r="D23" s="7">
        <v>21</v>
      </c>
      <c r="E23" s="8"/>
    </row>
    <row r="24" s="1" customFormat="1" ht="18" customHeight="1" spans="1:5">
      <c r="A24" s="5" t="str">
        <f>"文开尾"</f>
        <v>文开尾</v>
      </c>
      <c r="B24" s="5" t="str">
        <f>"10101015017"</f>
        <v>10101015017</v>
      </c>
      <c r="C24" s="6">
        <v>80</v>
      </c>
      <c r="D24" s="7">
        <v>22</v>
      </c>
      <c r="E24" s="8"/>
    </row>
    <row r="25" s="1" customFormat="1" ht="18" customHeight="1" spans="1:5">
      <c r="A25" s="5" t="str">
        <f>"徐华凤"</f>
        <v>徐华凤</v>
      </c>
      <c r="B25" s="5" t="str">
        <f>"10101012121"</f>
        <v>10101012121</v>
      </c>
      <c r="C25" s="6">
        <v>79</v>
      </c>
      <c r="D25" s="7">
        <v>23</v>
      </c>
      <c r="E25" s="8"/>
    </row>
    <row r="26" s="1" customFormat="1" ht="18" customHeight="1" spans="1:5">
      <c r="A26" s="5" t="str">
        <f>"陈启云"</f>
        <v>陈启云</v>
      </c>
      <c r="B26" s="5" t="str">
        <f>"10101012202"</f>
        <v>10101012202</v>
      </c>
      <c r="C26" s="6">
        <v>79</v>
      </c>
      <c r="D26" s="7">
        <v>24</v>
      </c>
      <c r="E26" s="8"/>
    </row>
    <row r="27" s="1" customFormat="1" ht="18" customHeight="1" spans="1:5">
      <c r="A27" s="5" t="str">
        <f>"郭教飞"</f>
        <v>郭教飞</v>
      </c>
      <c r="B27" s="5" t="str">
        <f>"10101012703"</f>
        <v>10101012703</v>
      </c>
      <c r="C27" s="6">
        <v>79</v>
      </c>
      <c r="D27" s="7">
        <v>25</v>
      </c>
      <c r="E27" s="8"/>
    </row>
    <row r="28" s="1" customFormat="1" ht="18" customHeight="1" spans="1:5">
      <c r="A28" s="5" t="str">
        <f>"符寸柳"</f>
        <v>符寸柳</v>
      </c>
      <c r="B28" s="5" t="str">
        <f>"10101013121"</f>
        <v>10101013121</v>
      </c>
      <c r="C28" s="6">
        <v>79</v>
      </c>
      <c r="D28" s="7">
        <v>26</v>
      </c>
      <c r="E28" s="8"/>
    </row>
    <row r="29" s="1" customFormat="1" ht="18" customHeight="1" spans="1:5">
      <c r="A29" s="5" t="str">
        <f>"汤飞燕"</f>
        <v>汤飞燕</v>
      </c>
      <c r="B29" s="5" t="str">
        <f>"10101013129"</f>
        <v>10101013129</v>
      </c>
      <c r="C29" s="6">
        <v>79</v>
      </c>
      <c r="D29" s="7">
        <v>27</v>
      </c>
      <c r="E29" s="8"/>
    </row>
    <row r="30" s="1" customFormat="1" ht="18" customHeight="1" spans="1:5">
      <c r="A30" s="5" t="str">
        <f>"刘慧"</f>
        <v>刘慧</v>
      </c>
      <c r="B30" s="5" t="str">
        <f>"10101013420"</f>
        <v>10101013420</v>
      </c>
      <c r="C30" s="6">
        <v>79</v>
      </c>
      <c r="D30" s="7">
        <v>28</v>
      </c>
      <c r="E30" s="8"/>
    </row>
    <row r="31" s="1" customFormat="1" ht="18" customHeight="1" spans="1:5">
      <c r="A31" s="5" t="str">
        <f>"朱双秀"</f>
        <v>朱双秀</v>
      </c>
      <c r="B31" s="5" t="str">
        <f>"10101014315"</f>
        <v>10101014315</v>
      </c>
      <c r="C31" s="6">
        <v>79</v>
      </c>
      <c r="D31" s="7">
        <v>29</v>
      </c>
      <c r="E31" s="8"/>
    </row>
    <row r="32" s="1" customFormat="1" ht="18" customHeight="1" spans="1:5">
      <c r="A32" s="5" t="str">
        <f>"符小红"</f>
        <v>符小红</v>
      </c>
      <c r="B32" s="5" t="str">
        <f>"10101014903"</f>
        <v>10101014903</v>
      </c>
      <c r="C32" s="6">
        <v>79</v>
      </c>
      <c r="D32" s="7">
        <v>30</v>
      </c>
      <c r="E32" s="8"/>
    </row>
    <row r="33" s="1" customFormat="1" ht="18" customHeight="1" spans="1:5">
      <c r="A33" s="5" t="str">
        <f>"张影"</f>
        <v>张影</v>
      </c>
      <c r="B33" s="5" t="str">
        <f>"10101014908"</f>
        <v>10101014908</v>
      </c>
      <c r="C33" s="6">
        <v>79</v>
      </c>
      <c r="D33" s="7">
        <v>31</v>
      </c>
      <c r="E33" s="8"/>
    </row>
    <row r="34" s="1" customFormat="1" ht="18" customHeight="1" spans="1:5">
      <c r="A34" s="5" t="str">
        <f>"林霞"</f>
        <v>林霞</v>
      </c>
      <c r="B34" s="5" t="str">
        <f>"10101015024"</f>
        <v>10101015024</v>
      </c>
      <c r="C34" s="6">
        <v>79</v>
      </c>
      <c r="D34" s="7">
        <v>32</v>
      </c>
      <c r="E34" s="8"/>
    </row>
    <row r="35" s="1" customFormat="1" ht="18" customHeight="1" spans="1:5">
      <c r="A35" s="5" t="str">
        <f>"符香霞"</f>
        <v>符香霞</v>
      </c>
      <c r="B35" s="5" t="str">
        <f>"10101012508"</f>
        <v>10101012508</v>
      </c>
      <c r="C35" s="6">
        <v>79</v>
      </c>
      <c r="D35" s="7">
        <v>33</v>
      </c>
      <c r="E35" s="8"/>
    </row>
    <row r="36" s="1" customFormat="1" ht="18" customHeight="1" spans="1:5">
      <c r="A36" s="5" t="str">
        <f>"吉阿尾"</f>
        <v>吉阿尾</v>
      </c>
      <c r="B36" s="5" t="str">
        <f>"10101012520"</f>
        <v>10101012520</v>
      </c>
      <c r="C36" s="6">
        <v>78</v>
      </c>
      <c r="D36" s="7">
        <v>34</v>
      </c>
      <c r="E36" s="8"/>
    </row>
    <row r="37" s="1" customFormat="1" ht="18" customHeight="1" spans="1:5">
      <c r="A37" s="5" t="str">
        <f>"符小霞"</f>
        <v>符小霞</v>
      </c>
      <c r="B37" s="5" t="str">
        <f>"10101012809"</f>
        <v>10101012809</v>
      </c>
      <c r="C37" s="6">
        <v>78</v>
      </c>
      <c r="D37" s="7">
        <v>35</v>
      </c>
      <c r="E37" s="8"/>
    </row>
    <row r="38" s="1" customFormat="1" ht="18" customHeight="1" spans="1:5">
      <c r="A38" s="5" t="str">
        <f>"陈国玲"</f>
        <v>陈国玲</v>
      </c>
      <c r="B38" s="5" t="str">
        <f>"10101012909"</f>
        <v>10101012909</v>
      </c>
      <c r="C38" s="6">
        <v>78</v>
      </c>
      <c r="D38" s="7">
        <v>36</v>
      </c>
      <c r="E38" s="8"/>
    </row>
    <row r="39" s="1" customFormat="1" ht="18" customHeight="1" spans="1:5">
      <c r="A39" s="5" t="str">
        <f>"文喜临"</f>
        <v>文喜临</v>
      </c>
      <c r="B39" s="5" t="str">
        <f>"10101013004"</f>
        <v>10101013004</v>
      </c>
      <c r="C39" s="6">
        <v>78</v>
      </c>
      <c r="D39" s="7">
        <v>37</v>
      </c>
      <c r="E39" s="8"/>
    </row>
    <row r="40" s="1" customFormat="1" ht="18" customHeight="1" spans="1:5">
      <c r="A40" s="5" t="str">
        <f>"黄懿婷"</f>
        <v>黄懿婷</v>
      </c>
      <c r="B40" s="5" t="str">
        <f>"10101013120"</f>
        <v>10101013120</v>
      </c>
      <c r="C40" s="6">
        <v>78</v>
      </c>
      <c r="D40" s="7">
        <v>38</v>
      </c>
      <c r="E40" s="8"/>
    </row>
    <row r="41" s="1" customFormat="1" ht="18" customHeight="1" spans="1:5">
      <c r="A41" s="5" t="str">
        <f>"符义确"</f>
        <v>符义确</v>
      </c>
      <c r="B41" s="5" t="str">
        <f>"10101013313"</f>
        <v>10101013313</v>
      </c>
      <c r="C41" s="6">
        <v>78</v>
      </c>
      <c r="D41" s="7">
        <v>39</v>
      </c>
      <c r="E41" s="8"/>
    </row>
    <row r="42" s="1" customFormat="1" ht="18" customHeight="1" spans="1:5">
      <c r="A42" s="5" t="str">
        <f>"吴元碧"</f>
        <v>吴元碧</v>
      </c>
      <c r="B42" s="5" t="str">
        <f>"10101013424"</f>
        <v>10101013424</v>
      </c>
      <c r="C42" s="6">
        <v>78</v>
      </c>
      <c r="D42" s="7">
        <v>40</v>
      </c>
      <c r="E42" s="8"/>
    </row>
    <row r="43" s="1" customFormat="1" ht="18" customHeight="1" spans="1:5">
      <c r="A43" s="5" t="str">
        <f>"吴菲菲"</f>
        <v>吴菲菲</v>
      </c>
      <c r="B43" s="5" t="str">
        <f>"10101014220"</f>
        <v>10101014220</v>
      </c>
      <c r="C43" s="6">
        <v>78</v>
      </c>
      <c r="D43" s="7">
        <v>41</v>
      </c>
      <c r="E43" s="8"/>
    </row>
    <row r="44" s="1" customFormat="1" ht="18" customHeight="1" spans="1:5">
      <c r="A44" s="5" t="str">
        <f>"符梅香"</f>
        <v>符梅香</v>
      </c>
      <c r="B44" s="5" t="str">
        <f>"10101014511"</f>
        <v>10101014511</v>
      </c>
      <c r="C44" s="6">
        <v>78</v>
      </c>
      <c r="D44" s="7">
        <v>42</v>
      </c>
      <c r="E44" s="8"/>
    </row>
    <row r="45" s="1" customFormat="1" ht="18" customHeight="1" spans="1:5">
      <c r="A45" s="5" t="str">
        <f>"梁君彩"</f>
        <v>梁君彩</v>
      </c>
      <c r="B45" s="5" t="str">
        <f>"10101013009"</f>
        <v>10101013009</v>
      </c>
      <c r="C45" s="6">
        <v>78</v>
      </c>
      <c r="D45" s="7">
        <v>43</v>
      </c>
      <c r="E45" s="8"/>
    </row>
    <row r="46" s="1" customFormat="1" ht="18" customHeight="1" spans="1:5">
      <c r="A46" s="5" t="str">
        <f>"许丽梅"</f>
        <v>许丽梅</v>
      </c>
      <c r="B46" s="5" t="str">
        <f>"10101012126"</f>
        <v>10101012126</v>
      </c>
      <c r="C46" s="6">
        <v>77</v>
      </c>
      <c r="D46" s="7">
        <v>44</v>
      </c>
      <c r="E46" s="8"/>
    </row>
    <row r="47" s="1" customFormat="1" ht="18" customHeight="1" spans="1:5">
      <c r="A47" s="5" t="str">
        <f>"王有玲"</f>
        <v>王有玲</v>
      </c>
      <c r="B47" s="5" t="str">
        <f>"10101012204"</f>
        <v>10101012204</v>
      </c>
      <c r="C47" s="6">
        <v>77</v>
      </c>
      <c r="D47" s="7">
        <v>45</v>
      </c>
      <c r="E47" s="8"/>
    </row>
    <row r="48" s="1" customFormat="1" ht="18" customHeight="1" spans="1:5">
      <c r="A48" s="5" t="str">
        <f>"吉祥楠"</f>
        <v>吉祥楠</v>
      </c>
      <c r="B48" s="5" t="str">
        <f>"10101012302"</f>
        <v>10101012302</v>
      </c>
      <c r="C48" s="6">
        <v>77</v>
      </c>
      <c r="D48" s="7">
        <v>46</v>
      </c>
      <c r="E48" s="8"/>
    </row>
    <row r="49" s="1" customFormat="1" ht="18" customHeight="1" spans="1:5">
      <c r="A49" s="5" t="str">
        <f>"钟祥兰"</f>
        <v>钟祥兰</v>
      </c>
      <c r="B49" s="5" t="str">
        <f>"10101012501"</f>
        <v>10101012501</v>
      </c>
      <c r="C49" s="6">
        <v>77</v>
      </c>
      <c r="D49" s="7">
        <v>47</v>
      </c>
      <c r="E49" s="8"/>
    </row>
    <row r="50" s="1" customFormat="1" ht="18" customHeight="1" spans="1:5">
      <c r="A50" s="5" t="str">
        <f>"方宝婷"</f>
        <v>方宝婷</v>
      </c>
      <c r="B50" s="5" t="str">
        <f>"10101012510"</f>
        <v>10101012510</v>
      </c>
      <c r="C50" s="6">
        <v>77</v>
      </c>
      <c r="D50" s="7">
        <v>48</v>
      </c>
      <c r="E50" s="8"/>
    </row>
    <row r="51" s="1" customFormat="1" ht="18" customHeight="1" spans="1:5">
      <c r="A51" s="5" t="str">
        <f>"文俏茜"</f>
        <v>文俏茜</v>
      </c>
      <c r="B51" s="5" t="str">
        <f>"10101012829"</f>
        <v>10101012829</v>
      </c>
      <c r="C51" s="6">
        <v>77</v>
      </c>
      <c r="D51" s="7">
        <v>49</v>
      </c>
      <c r="E51" s="8"/>
    </row>
    <row r="52" s="1" customFormat="1" ht="18" customHeight="1" spans="1:5">
      <c r="A52" s="5" t="str">
        <f>"林婷"</f>
        <v>林婷</v>
      </c>
      <c r="B52" s="5" t="str">
        <f>"10101013028"</f>
        <v>10101013028</v>
      </c>
      <c r="C52" s="6">
        <v>77</v>
      </c>
      <c r="D52" s="7">
        <v>50</v>
      </c>
      <c r="E52" s="8" t="s">
        <v>14</v>
      </c>
    </row>
    <row r="53" s="1" customFormat="1" ht="18" customHeight="1" spans="1:5">
      <c r="A53" s="5" t="str">
        <f>"吴小娟"</f>
        <v>吴小娟</v>
      </c>
      <c r="B53" s="5" t="str">
        <f>"10101013030"</f>
        <v>10101013030</v>
      </c>
      <c r="C53" s="6">
        <v>77</v>
      </c>
      <c r="D53" s="7">
        <v>51</v>
      </c>
      <c r="E53" s="8"/>
    </row>
    <row r="54" s="1" customFormat="1" ht="18" customHeight="1" spans="1:5">
      <c r="A54" s="5" t="str">
        <f>"杨泽娇"</f>
        <v>杨泽娇</v>
      </c>
      <c r="B54" s="5" t="str">
        <f>"10101013403"</f>
        <v>10101013403</v>
      </c>
      <c r="C54" s="6">
        <v>77</v>
      </c>
      <c r="D54" s="7">
        <v>52</v>
      </c>
      <c r="E54" s="8"/>
    </row>
    <row r="55" s="1" customFormat="1" ht="18" customHeight="1" spans="1:5">
      <c r="A55" s="5" t="str">
        <f>"文开梨"</f>
        <v>文开梨</v>
      </c>
      <c r="B55" s="5" t="str">
        <f>"10101014211"</f>
        <v>10101014211</v>
      </c>
      <c r="C55" s="6">
        <v>77</v>
      </c>
      <c r="D55" s="7">
        <v>53</v>
      </c>
      <c r="E55" s="8"/>
    </row>
    <row r="56" s="1" customFormat="1" ht="18" customHeight="1" spans="1:5">
      <c r="A56" s="5" t="str">
        <f>"陈华君"</f>
        <v>陈华君</v>
      </c>
      <c r="B56" s="5" t="str">
        <f>"10101014216"</f>
        <v>10101014216</v>
      </c>
      <c r="C56" s="6">
        <v>77</v>
      </c>
      <c r="D56" s="7">
        <v>54</v>
      </c>
      <c r="E56" s="8"/>
    </row>
    <row r="57" s="1" customFormat="1" ht="18" customHeight="1" spans="1:5">
      <c r="A57" s="5" t="str">
        <f>"王明丽"</f>
        <v>王明丽</v>
      </c>
      <c r="B57" s="5" t="str">
        <f>"10101014218"</f>
        <v>10101014218</v>
      </c>
      <c r="C57" s="6">
        <v>77</v>
      </c>
      <c r="D57" s="7">
        <v>55</v>
      </c>
      <c r="E57" s="8"/>
    </row>
    <row r="58" s="1" customFormat="1" ht="18" customHeight="1" spans="1:5">
      <c r="A58" s="5" t="str">
        <f>"唐于凤"</f>
        <v>唐于凤</v>
      </c>
      <c r="B58" s="5" t="str">
        <f>"10101014415"</f>
        <v>10101014415</v>
      </c>
      <c r="C58" s="6">
        <v>77</v>
      </c>
      <c r="D58" s="7">
        <v>56</v>
      </c>
      <c r="E58" s="8"/>
    </row>
    <row r="59" s="1" customFormat="1" ht="18" customHeight="1" spans="1:5">
      <c r="A59" s="5" t="str">
        <f>"赵美梅"</f>
        <v>赵美梅</v>
      </c>
      <c r="B59" s="5" t="str">
        <f>"10101014909"</f>
        <v>10101014909</v>
      </c>
      <c r="C59" s="9">
        <v>77</v>
      </c>
      <c r="D59" s="7">
        <v>57</v>
      </c>
      <c r="E59" s="8"/>
    </row>
    <row r="60" s="1" customFormat="1" ht="18" customHeight="1" spans="1:5">
      <c r="A60" s="5" t="str">
        <f>"张秋"</f>
        <v>张秋</v>
      </c>
      <c r="B60" s="5" t="str">
        <f>"10101015010"</f>
        <v>10101015010</v>
      </c>
      <c r="C60" s="6">
        <v>77</v>
      </c>
      <c r="D60" s="7">
        <v>58</v>
      </c>
      <c r="E60" s="8"/>
    </row>
    <row r="61" s="1" customFormat="1" ht="18" customHeight="1" spans="1:5">
      <c r="A61" s="5" t="str">
        <f>"符文玉"</f>
        <v>符文玉</v>
      </c>
      <c r="B61" s="5" t="str">
        <f>"10101015114"</f>
        <v>10101015114</v>
      </c>
      <c r="C61" s="6">
        <v>77</v>
      </c>
      <c r="D61" s="7">
        <v>59</v>
      </c>
      <c r="E61" s="8"/>
    </row>
    <row r="62" s="1" customFormat="1" ht="18" customHeight="1" spans="1:5">
      <c r="A62" s="5" t="str">
        <f>"柳春凤"</f>
        <v>柳春凤</v>
      </c>
      <c r="B62" s="5" t="str">
        <f>"10101015428"</f>
        <v>10101015428</v>
      </c>
      <c r="C62" s="6">
        <v>77</v>
      </c>
      <c r="D62" s="7">
        <v>60</v>
      </c>
      <c r="E62" s="8"/>
    </row>
    <row r="63" s="1" customFormat="1" ht="18" customHeight="1" spans="1:5">
      <c r="A63" s="5" t="str">
        <f>"徐小燕"</f>
        <v>徐小燕</v>
      </c>
      <c r="B63" s="5" t="str">
        <f>"10101012228"</f>
        <v>10101012228</v>
      </c>
      <c r="C63" s="6">
        <v>76</v>
      </c>
      <c r="D63" s="7">
        <v>61</v>
      </c>
      <c r="E63" s="8"/>
    </row>
    <row r="64" s="1" customFormat="1" ht="18" customHeight="1" spans="1:5">
      <c r="A64" s="5" t="str">
        <f>"罗崇霞"</f>
        <v>罗崇霞</v>
      </c>
      <c r="B64" s="5" t="str">
        <f>"10101012518"</f>
        <v>10101012518</v>
      </c>
      <c r="C64" s="6">
        <v>76</v>
      </c>
      <c r="D64" s="7">
        <v>62</v>
      </c>
      <c r="E64" s="8"/>
    </row>
    <row r="65" s="1" customFormat="1" ht="18" customHeight="1" spans="1:5">
      <c r="A65" s="5" t="str">
        <f>"罗少平"</f>
        <v>罗少平</v>
      </c>
      <c r="B65" s="5" t="str">
        <f>"10101012711"</f>
        <v>10101012711</v>
      </c>
      <c r="C65" s="6">
        <v>76</v>
      </c>
      <c r="D65" s="7">
        <v>63</v>
      </c>
      <c r="E65" s="8"/>
    </row>
    <row r="66" s="1" customFormat="1" ht="18" customHeight="1" spans="1:5">
      <c r="A66" s="5" t="str">
        <f>"殷俊丽"</f>
        <v>殷俊丽</v>
      </c>
      <c r="B66" s="5" t="str">
        <f>"10101012727"</f>
        <v>10101012727</v>
      </c>
      <c r="C66" s="6">
        <v>76</v>
      </c>
      <c r="D66" s="7">
        <v>64</v>
      </c>
      <c r="E66" s="8"/>
    </row>
    <row r="67" s="1" customFormat="1" ht="18" customHeight="1" spans="1:5">
      <c r="A67" s="5" t="str">
        <f>"朱霞"</f>
        <v>朱霞</v>
      </c>
      <c r="B67" s="5" t="str">
        <f>"10101012811"</f>
        <v>10101012811</v>
      </c>
      <c r="C67" s="6">
        <v>76</v>
      </c>
      <c r="D67" s="7">
        <v>65</v>
      </c>
      <c r="E67" s="8"/>
    </row>
    <row r="68" s="1" customFormat="1" ht="18" customHeight="1" spans="1:5">
      <c r="A68" s="5" t="str">
        <f>"林婷"</f>
        <v>林婷</v>
      </c>
      <c r="B68" s="5" t="str">
        <f>"10101013513"</f>
        <v>10101013513</v>
      </c>
      <c r="C68" s="6">
        <v>76</v>
      </c>
      <c r="D68" s="7">
        <v>66</v>
      </c>
      <c r="E68" s="8" t="s">
        <v>15</v>
      </c>
    </row>
    <row r="69" s="1" customFormat="1" ht="18" customHeight="1" spans="1:5">
      <c r="A69" s="5" t="str">
        <f>"陈天美"</f>
        <v>陈天美</v>
      </c>
      <c r="B69" s="5" t="str">
        <f>"10101013528"</f>
        <v>10101013528</v>
      </c>
      <c r="C69" s="9">
        <v>76</v>
      </c>
      <c r="D69" s="7">
        <v>67</v>
      </c>
      <c r="E69" s="8"/>
    </row>
    <row r="70" s="1" customFormat="1" ht="18" customHeight="1" spans="1:5">
      <c r="A70" s="5" t="str">
        <f>"徐梦卿"</f>
        <v>徐梦卿</v>
      </c>
      <c r="B70" s="5" t="str">
        <f>"10101014104"</f>
        <v>10101014104</v>
      </c>
      <c r="C70" s="6">
        <v>76</v>
      </c>
      <c r="D70" s="7">
        <v>68</v>
      </c>
      <c r="E70" s="8"/>
    </row>
    <row r="71" s="1" customFormat="1" ht="18" customHeight="1" spans="1:5">
      <c r="A71" s="5" t="str">
        <f>"陈丽曼"</f>
        <v>陈丽曼</v>
      </c>
      <c r="B71" s="5" t="str">
        <f>"10101014206"</f>
        <v>10101014206</v>
      </c>
      <c r="C71" s="6">
        <v>76</v>
      </c>
      <c r="D71" s="7">
        <v>69</v>
      </c>
      <c r="E71" s="8"/>
    </row>
    <row r="72" s="1" customFormat="1" ht="18" customHeight="1" spans="1:5">
      <c r="A72" s="5" t="str">
        <f>"文青梅"</f>
        <v>文青梅</v>
      </c>
      <c r="B72" s="5" t="str">
        <f>"10101014308"</f>
        <v>10101014308</v>
      </c>
      <c r="C72" s="6">
        <v>76</v>
      </c>
      <c r="D72" s="7">
        <v>70</v>
      </c>
      <c r="E72" s="8"/>
    </row>
    <row r="73" s="1" customFormat="1" ht="18" customHeight="1" spans="1:5">
      <c r="A73" s="5" t="str">
        <f>"符中琪"</f>
        <v>符中琪</v>
      </c>
      <c r="B73" s="5" t="str">
        <f>"10101014524"</f>
        <v>10101014524</v>
      </c>
      <c r="C73" s="6">
        <v>76</v>
      </c>
      <c r="D73" s="7">
        <v>71</v>
      </c>
      <c r="E73" s="8"/>
    </row>
    <row r="74" s="1" customFormat="1" ht="18" customHeight="1" spans="1:5">
      <c r="A74" s="5" t="str">
        <f>"文姜花"</f>
        <v>文姜花</v>
      </c>
      <c r="B74" s="5" t="str">
        <f>"10101014810"</f>
        <v>10101014810</v>
      </c>
      <c r="C74" s="6">
        <v>76</v>
      </c>
      <c r="D74" s="7">
        <v>72</v>
      </c>
      <c r="E74" s="8"/>
    </row>
    <row r="75" s="1" customFormat="1" ht="18" customHeight="1" spans="1:5">
      <c r="A75" s="5" t="str">
        <f>"王隆燕"</f>
        <v>王隆燕</v>
      </c>
      <c r="B75" s="5" t="str">
        <f>"10101014901"</f>
        <v>10101014901</v>
      </c>
      <c r="C75" s="6">
        <v>76</v>
      </c>
      <c r="D75" s="7">
        <v>73</v>
      </c>
      <c r="E75" s="8"/>
    </row>
    <row r="76" s="1" customFormat="1" ht="18" customHeight="1" spans="1:5">
      <c r="A76" s="5" t="str">
        <f>"陈琴妹"</f>
        <v>陈琴妹</v>
      </c>
      <c r="B76" s="5" t="str">
        <f>"10101015018"</f>
        <v>10101015018</v>
      </c>
      <c r="C76" s="6">
        <v>76</v>
      </c>
      <c r="D76" s="7">
        <v>74</v>
      </c>
      <c r="E76" s="8"/>
    </row>
    <row r="77" s="1" customFormat="1" ht="18" customHeight="1" spans="1:5">
      <c r="A77" s="5" t="str">
        <f>"黄丽倩"</f>
        <v>黄丽倩</v>
      </c>
      <c r="B77" s="5" t="str">
        <f>"10101012110"</f>
        <v>10101012110</v>
      </c>
      <c r="C77" s="6">
        <v>75</v>
      </c>
      <c r="D77" s="7">
        <v>75</v>
      </c>
      <c r="E77" s="8"/>
    </row>
    <row r="78" s="1" customFormat="1" ht="18" customHeight="1" spans="1:5">
      <c r="A78" s="5" t="str">
        <f>"范萍云"</f>
        <v>范萍云</v>
      </c>
      <c r="B78" s="5" t="str">
        <f>"10101012118"</f>
        <v>10101012118</v>
      </c>
      <c r="C78" s="6">
        <v>75</v>
      </c>
      <c r="D78" s="7">
        <v>76</v>
      </c>
      <c r="E78" s="8"/>
    </row>
    <row r="79" s="1" customFormat="1" ht="18" customHeight="1" spans="1:5">
      <c r="A79" s="5" t="str">
        <f>"卞勤燕"</f>
        <v>卞勤燕</v>
      </c>
      <c r="B79" s="5" t="str">
        <f>"10101012304"</f>
        <v>10101012304</v>
      </c>
      <c r="C79" s="6">
        <v>75</v>
      </c>
      <c r="D79" s="7">
        <v>77</v>
      </c>
      <c r="E79" s="8"/>
    </row>
    <row r="80" s="1" customFormat="1" ht="18" customHeight="1" spans="1:5">
      <c r="A80" s="5" t="str">
        <f>"苏婷"</f>
        <v>苏婷</v>
      </c>
      <c r="B80" s="5" t="str">
        <f>"10101012908"</f>
        <v>10101012908</v>
      </c>
      <c r="C80" s="6">
        <v>75</v>
      </c>
      <c r="D80" s="7">
        <v>78</v>
      </c>
      <c r="E80" s="8"/>
    </row>
    <row r="81" s="1" customFormat="1" ht="18" customHeight="1" spans="1:5">
      <c r="A81" s="5" t="str">
        <f>"王丽转"</f>
        <v>王丽转</v>
      </c>
      <c r="B81" s="5" t="str">
        <f>"10101013010"</f>
        <v>10101013010</v>
      </c>
      <c r="C81" s="6">
        <v>75</v>
      </c>
      <c r="D81" s="7">
        <v>79</v>
      </c>
      <c r="E81" s="8"/>
    </row>
    <row r="82" s="1" customFormat="1" ht="18" customHeight="1" spans="1:5">
      <c r="A82" s="5" t="str">
        <f>"符梅乖"</f>
        <v>符梅乖</v>
      </c>
      <c r="B82" s="5" t="str">
        <f>"10101013111"</f>
        <v>10101013111</v>
      </c>
      <c r="C82" s="6">
        <v>75</v>
      </c>
      <c r="D82" s="7">
        <v>80</v>
      </c>
      <c r="E82" s="8"/>
    </row>
    <row r="83" s="1" customFormat="1" ht="18" customHeight="1" spans="1:5">
      <c r="A83" s="5" t="str">
        <f>"郭宏伶"</f>
        <v>郭宏伶</v>
      </c>
      <c r="B83" s="5" t="str">
        <f>"10101013127"</f>
        <v>10101013127</v>
      </c>
      <c r="C83" s="6">
        <v>75</v>
      </c>
      <c r="D83" s="7">
        <v>81</v>
      </c>
      <c r="E83" s="8"/>
    </row>
    <row r="84" s="1" customFormat="1" ht="18" customHeight="1" spans="1:5">
      <c r="A84" s="5" t="str">
        <f>"周小良"</f>
        <v>周小良</v>
      </c>
      <c r="B84" s="5" t="str">
        <f>"10101013402"</f>
        <v>10101013402</v>
      </c>
      <c r="C84" s="6">
        <v>75</v>
      </c>
      <c r="D84" s="7">
        <v>82</v>
      </c>
      <c r="E84" s="8"/>
    </row>
    <row r="85" s="1" customFormat="1" ht="18" customHeight="1" spans="1:5">
      <c r="A85" s="5" t="str">
        <f>"符英饶"</f>
        <v>符英饶</v>
      </c>
      <c r="B85" s="5" t="str">
        <f>"10101013601"</f>
        <v>10101013601</v>
      </c>
      <c r="C85" s="6">
        <v>75</v>
      </c>
      <c r="D85" s="7">
        <v>83</v>
      </c>
      <c r="E85" s="8"/>
    </row>
    <row r="86" s="1" customFormat="1" ht="18" customHeight="1" spans="1:5">
      <c r="A86" s="5" t="str">
        <f>"符海珍"</f>
        <v>符海珍</v>
      </c>
      <c r="B86" s="5" t="str">
        <f>"10101013612"</f>
        <v>10101013612</v>
      </c>
      <c r="C86" s="6">
        <v>75</v>
      </c>
      <c r="D86" s="7">
        <v>84</v>
      </c>
      <c r="E86" s="8"/>
    </row>
    <row r="87" s="1" customFormat="1" ht="18" customHeight="1" spans="1:5">
      <c r="A87" s="5" t="str">
        <f>"王清"</f>
        <v>王清</v>
      </c>
      <c r="B87" s="5" t="str">
        <f>"10101014001"</f>
        <v>10101014001</v>
      </c>
      <c r="C87" s="6">
        <v>75</v>
      </c>
      <c r="D87" s="7">
        <v>85</v>
      </c>
      <c r="E87" s="8"/>
    </row>
    <row r="88" s="1" customFormat="1" ht="18" customHeight="1" spans="1:5">
      <c r="A88" s="5" t="str">
        <f>"徐春锦"</f>
        <v>徐春锦</v>
      </c>
      <c r="B88" s="5" t="str">
        <f>"10101014011"</f>
        <v>10101014011</v>
      </c>
      <c r="C88" s="6">
        <v>75</v>
      </c>
      <c r="D88" s="7">
        <v>86</v>
      </c>
      <c r="E88" s="8"/>
    </row>
    <row r="89" s="1" customFormat="1" ht="18" customHeight="1" spans="1:5">
      <c r="A89" s="5" t="str">
        <f>"符芸"</f>
        <v>符芸</v>
      </c>
      <c r="B89" s="5" t="str">
        <f>"10101014119"</f>
        <v>10101014119</v>
      </c>
      <c r="C89" s="6">
        <v>75</v>
      </c>
      <c r="D89" s="7">
        <v>87</v>
      </c>
      <c r="E89" s="8"/>
    </row>
    <row r="90" s="1" customFormat="1" ht="18" customHeight="1" spans="1:5">
      <c r="A90" s="5" t="str">
        <f>"符金杰"</f>
        <v>符金杰</v>
      </c>
      <c r="B90" s="5" t="str">
        <f>"10101014227"</f>
        <v>10101014227</v>
      </c>
      <c r="C90" s="6">
        <v>75</v>
      </c>
      <c r="D90" s="7">
        <v>88</v>
      </c>
      <c r="E90" s="8"/>
    </row>
    <row r="91" s="1" customFormat="1" ht="18" customHeight="1" spans="1:5">
      <c r="A91" s="5" t="str">
        <f>"邢丽娟"</f>
        <v>邢丽娟</v>
      </c>
      <c r="B91" s="5" t="str">
        <f>"10101014309"</f>
        <v>10101014309</v>
      </c>
      <c r="C91" s="6">
        <v>75</v>
      </c>
      <c r="D91" s="7">
        <v>89</v>
      </c>
      <c r="E91" s="8"/>
    </row>
    <row r="92" s="1" customFormat="1" ht="18" customHeight="1" spans="1:5">
      <c r="A92" s="5" t="str">
        <f>"苏英会"</f>
        <v>苏英会</v>
      </c>
      <c r="B92" s="5" t="str">
        <f>"10101014324"</f>
        <v>10101014324</v>
      </c>
      <c r="C92" s="6">
        <v>75</v>
      </c>
      <c r="D92" s="7">
        <v>90</v>
      </c>
      <c r="E92" s="8"/>
    </row>
    <row r="93" s="1" customFormat="1" ht="18" customHeight="1" spans="1:5">
      <c r="A93" s="5" t="str">
        <f>"秦青"</f>
        <v>秦青</v>
      </c>
      <c r="B93" s="5" t="str">
        <f>"10101014804"</f>
        <v>10101014804</v>
      </c>
      <c r="C93" s="6">
        <v>75</v>
      </c>
      <c r="D93" s="7">
        <v>91</v>
      </c>
      <c r="E93" s="8"/>
    </row>
    <row r="94" s="1" customFormat="1" ht="18" customHeight="1" spans="1:5">
      <c r="A94" s="5" t="str">
        <f>"曾维维"</f>
        <v>曾维维</v>
      </c>
      <c r="B94" s="5" t="str">
        <f>"10101014816"</f>
        <v>10101014816</v>
      </c>
      <c r="C94" s="6">
        <v>75</v>
      </c>
      <c r="D94" s="7">
        <v>92</v>
      </c>
      <c r="E94" s="8"/>
    </row>
    <row r="95" s="1" customFormat="1" ht="18" customHeight="1" spans="1:5">
      <c r="A95" s="5" t="str">
        <f>"陈迎星"</f>
        <v>陈迎星</v>
      </c>
      <c r="B95" s="5" t="str">
        <f>"10101015013"</f>
        <v>10101015013</v>
      </c>
      <c r="C95" s="6">
        <v>75</v>
      </c>
      <c r="D95" s="7">
        <v>93</v>
      </c>
      <c r="E95" s="8"/>
    </row>
    <row r="96" s="1" customFormat="1" ht="18" customHeight="1" spans="1:5">
      <c r="A96" s="5" t="str">
        <f>"王远敏"</f>
        <v>王远敏</v>
      </c>
      <c r="B96" s="5" t="str">
        <f>"10101012506"</f>
        <v>10101012506</v>
      </c>
      <c r="C96" s="6">
        <v>75</v>
      </c>
      <c r="D96" s="7">
        <v>94</v>
      </c>
      <c r="E96" s="8"/>
    </row>
    <row r="97" s="1" customFormat="1" ht="18" customHeight="1" spans="1:5">
      <c r="A97" s="5" t="str">
        <f>"赵开晓"</f>
        <v>赵开晓</v>
      </c>
      <c r="B97" s="5" t="str">
        <f>"10101012111"</f>
        <v>10101012111</v>
      </c>
      <c r="C97" s="6">
        <v>74</v>
      </c>
      <c r="D97" s="7">
        <v>95</v>
      </c>
      <c r="E97" s="8"/>
    </row>
    <row r="98" s="1" customFormat="1" ht="18" customHeight="1" spans="1:5">
      <c r="A98" s="5" t="str">
        <f>"高英"</f>
        <v>高英</v>
      </c>
      <c r="B98" s="5" t="str">
        <f>"10101012218"</f>
        <v>10101012218</v>
      </c>
      <c r="C98" s="6">
        <v>74</v>
      </c>
      <c r="D98" s="7">
        <v>96</v>
      </c>
      <c r="E98" s="8"/>
    </row>
    <row r="99" s="1" customFormat="1" ht="18" customHeight="1" spans="1:5">
      <c r="A99" s="5" t="str">
        <f>"朱美兰"</f>
        <v>朱美兰</v>
      </c>
      <c r="B99" s="5" t="str">
        <f>"10101012230"</f>
        <v>10101012230</v>
      </c>
      <c r="C99" s="6">
        <v>74</v>
      </c>
      <c r="D99" s="7">
        <v>97</v>
      </c>
      <c r="E99" s="8"/>
    </row>
    <row r="100" s="1" customFormat="1" ht="18" customHeight="1" spans="1:5">
      <c r="A100" s="5" t="str">
        <f>"王妹施"</f>
        <v>王妹施</v>
      </c>
      <c r="B100" s="5" t="str">
        <f>"10101013003"</f>
        <v>10101013003</v>
      </c>
      <c r="C100" s="6">
        <v>74</v>
      </c>
      <c r="D100" s="7">
        <v>98</v>
      </c>
      <c r="E100" s="8"/>
    </row>
    <row r="101" s="1" customFormat="1" ht="18" customHeight="1" spans="1:5">
      <c r="A101" s="5" t="str">
        <f>"麦玉梅"</f>
        <v>麦玉梅</v>
      </c>
      <c r="B101" s="5" t="str">
        <f>"10101013027"</f>
        <v>10101013027</v>
      </c>
      <c r="C101" s="6">
        <v>74</v>
      </c>
      <c r="D101" s="7">
        <v>99</v>
      </c>
      <c r="E101" s="8"/>
    </row>
    <row r="102" s="1" customFormat="1" ht="18" customHeight="1" spans="1:5">
      <c r="A102" s="5" t="str">
        <f>"文萍"</f>
        <v>文萍</v>
      </c>
      <c r="B102" s="5" t="str">
        <f>"10101013411"</f>
        <v>10101013411</v>
      </c>
      <c r="C102" s="6">
        <v>74</v>
      </c>
      <c r="D102" s="7">
        <v>100</v>
      </c>
      <c r="E102" s="8"/>
    </row>
    <row r="103" s="1" customFormat="1" ht="18" customHeight="1" spans="1:5">
      <c r="A103" s="5" t="str">
        <f>"马脆英"</f>
        <v>马脆英</v>
      </c>
      <c r="B103" s="5" t="str">
        <f>"10101013619"</f>
        <v>10101013619</v>
      </c>
      <c r="C103" s="6">
        <v>74</v>
      </c>
      <c r="D103" s="7">
        <v>101</v>
      </c>
      <c r="E103" s="8"/>
    </row>
    <row r="104" s="1" customFormat="1" ht="18" customHeight="1" spans="1:5">
      <c r="A104" s="5" t="str">
        <f>"符兴燕"</f>
        <v>符兴燕</v>
      </c>
      <c r="B104" s="5" t="str">
        <f>"10101013629"</f>
        <v>10101013629</v>
      </c>
      <c r="C104" s="6">
        <v>74</v>
      </c>
      <c r="D104" s="7">
        <v>102</v>
      </c>
      <c r="E104" s="8"/>
    </row>
    <row r="105" s="1" customFormat="1" ht="18" customHeight="1" spans="1:5">
      <c r="A105" s="5" t="str">
        <f>"许青丹"</f>
        <v>许青丹</v>
      </c>
      <c r="B105" s="5" t="str">
        <f>"10101013704"</f>
        <v>10101013704</v>
      </c>
      <c r="C105" s="6">
        <v>74</v>
      </c>
      <c r="D105" s="7">
        <v>103</v>
      </c>
      <c r="E105" s="8"/>
    </row>
    <row r="106" s="1" customFormat="1" ht="18" customHeight="1" spans="1:5">
      <c r="A106" s="5" t="str">
        <f>"陈修娓"</f>
        <v>陈修娓</v>
      </c>
      <c r="B106" s="5" t="str">
        <f>"10101013720"</f>
        <v>10101013720</v>
      </c>
      <c r="C106" s="6">
        <v>74</v>
      </c>
      <c r="D106" s="7">
        <v>104</v>
      </c>
      <c r="E106" s="8"/>
    </row>
    <row r="107" s="1" customFormat="1" ht="18" customHeight="1" spans="1:5">
      <c r="A107" s="5" t="str">
        <f>"赵艳芳"</f>
        <v>赵艳芳</v>
      </c>
      <c r="B107" s="5" t="str">
        <f>"10101013821"</f>
        <v>10101013821</v>
      </c>
      <c r="C107" s="6">
        <v>74</v>
      </c>
      <c r="D107" s="7">
        <v>105</v>
      </c>
      <c r="E107" s="8"/>
    </row>
    <row r="108" s="1" customFormat="1" ht="18" customHeight="1" spans="1:5">
      <c r="A108" s="5" t="str">
        <f>"符艳"</f>
        <v>符艳</v>
      </c>
      <c r="B108" s="5" t="str">
        <f>"10101013822"</f>
        <v>10101013822</v>
      </c>
      <c r="C108" s="6">
        <v>74</v>
      </c>
      <c r="D108" s="7">
        <v>106</v>
      </c>
      <c r="E108" s="8"/>
    </row>
    <row r="109" s="1" customFormat="1" ht="18" customHeight="1" spans="1:5">
      <c r="A109" s="5" t="str">
        <f>"张正丽"</f>
        <v>张正丽</v>
      </c>
      <c r="B109" s="5" t="str">
        <f>"10101014021"</f>
        <v>10101014021</v>
      </c>
      <c r="C109" s="6">
        <v>74</v>
      </c>
      <c r="D109" s="7">
        <v>107</v>
      </c>
      <c r="E109" s="8" t="s">
        <v>16</v>
      </c>
    </row>
    <row r="110" s="1" customFormat="1" ht="18" customHeight="1" spans="1:5">
      <c r="A110" s="5" t="str">
        <f>"刘晶晶"</f>
        <v>刘晶晶</v>
      </c>
      <c r="B110" s="5" t="str">
        <f>"10101014302"</f>
        <v>10101014302</v>
      </c>
      <c r="C110" s="6">
        <v>74</v>
      </c>
      <c r="D110" s="7">
        <v>108</v>
      </c>
      <c r="E110" s="8"/>
    </row>
    <row r="111" s="1" customFormat="1" ht="18" customHeight="1" spans="1:5">
      <c r="A111" s="5" t="str">
        <f>"赵开静"</f>
        <v>赵开静</v>
      </c>
      <c r="B111" s="5" t="str">
        <f>"10101014414"</f>
        <v>10101014414</v>
      </c>
      <c r="C111" s="6">
        <v>74</v>
      </c>
      <c r="D111" s="7">
        <v>109</v>
      </c>
      <c r="E111" s="8"/>
    </row>
    <row r="112" s="1" customFormat="1" ht="18" customHeight="1" spans="1:5">
      <c r="A112" s="5" t="str">
        <f>"李才燕"</f>
        <v>李才燕</v>
      </c>
      <c r="B112" s="5" t="str">
        <f>"10101014513"</f>
        <v>10101014513</v>
      </c>
      <c r="C112" s="6">
        <v>74</v>
      </c>
      <c r="D112" s="7">
        <v>110</v>
      </c>
      <c r="E112" s="8"/>
    </row>
    <row r="113" s="1" customFormat="1" ht="18" customHeight="1" spans="1:5">
      <c r="A113" s="5" t="str">
        <f>"文晓芳"</f>
        <v>文晓芳</v>
      </c>
      <c r="B113" s="5" t="str">
        <f>"10101014705"</f>
        <v>10101014705</v>
      </c>
      <c r="C113" s="6">
        <v>74</v>
      </c>
      <c r="D113" s="7">
        <v>111</v>
      </c>
      <c r="E113" s="8"/>
    </row>
    <row r="114" s="1" customFormat="1" ht="18" customHeight="1" spans="1:5">
      <c r="A114" s="5" t="str">
        <f>"庄言琪"</f>
        <v>庄言琪</v>
      </c>
      <c r="B114" s="5" t="str">
        <f>"10101014806"</f>
        <v>10101014806</v>
      </c>
      <c r="C114" s="6">
        <v>74</v>
      </c>
      <c r="D114" s="7">
        <v>112</v>
      </c>
      <c r="E114" s="8"/>
    </row>
    <row r="115" s="1" customFormat="1" ht="18" customHeight="1" spans="1:5">
      <c r="A115" s="5" t="str">
        <f>"文来招"</f>
        <v>文来招</v>
      </c>
      <c r="B115" s="5" t="str">
        <f>"10101014905"</f>
        <v>10101014905</v>
      </c>
      <c r="C115" s="6">
        <v>74</v>
      </c>
      <c r="D115" s="7">
        <v>113</v>
      </c>
      <c r="E115" s="8"/>
    </row>
    <row r="116" s="1" customFormat="1" ht="18" customHeight="1" spans="1:5">
      <c r="A116" s="5" t="str">
        <f>"汤珍丽"</f>
        <v>汤珍丽</v>
      </c>
      <c r="B116" s="5" t="str">
        <f>"10101015227"</f>
        <v>10101015227</v>
      </c>
      <c r="C116" s="6">
        <v>74</v>
      </c>
      <c r="D116" s="7">
        <v>114</v>
      </c>
      <c r="E116" s="8"/>
    </row>
    <row r="117" s="1" customFormat="1" ht="18" customHeight="1" spans="1:5">
      <c r="A117" s="5" t="str">
        <f>"翁灵"</f>
        <v>翁灵</v>
      </c>
      <c r="B117" s="5" t="str">
        <f>"10101012119"</f>
        <v>10101012119</v>
      </c>
      <c r="C117" s="6">
        <v>73</v>
      </c>
      <c r="D117" s="7">
        <v>115</v>
      </c>
      <c r="E117" s="8"/>
    </row>
    <row r="118" s="1" customFormat="1" ht="18" customHeight="1" spans="1:5">
      <c r="A118" s="5" t="str">
        <f>"赵正婷"</f>
        <v>赵正婷</v>
      </c>
      <c r="B118" s="5" t="str">
        <f>"10101012406"</f>
        <v>10101012406</v>
      </c>
      <c r="C118" s="6">
        <v>73</v>
      </c>
      <c r="D118" s="7">
        <v>116</v>
      </c>
      <c r="E118" s="8"/>
    </row>
    <row r="119" s="1" customFormat="1" ht="18" customHeight="1" spans="1:5">
      <c r="A119" s="5" t="str">
        <f>"黄燕平"</f>
        <v>黄燕平</v>
      </c>
      <c r="B119" s="5" t="str">
        <f>"10101012408"</f>
        <v>10101012408</v>
      </c>
      <c r="C119" s="6">
        <v>73</v>
      </c>
      <c r="D119" s="7">
        <v>117</v>
      </c>
      <c r="E119" s="8"/>
    </row>
    <row r="120" s="1" customFormat="1" ht="18" customHeight="1" spans="1:5">
      <c r="A120" s="5" t="str">
        <f>"庞蓉"</f>
        <v>庞蓉</v>
      </c>
      <c r="B120" s="5" t="str">
        <f>"10101012504"</f>
        <v>10101012504</v>
      </c>
      <c r="C120" s="6">
        <v>73</v>
      </c>
      <c r="D120" s="7">
        <v>118</v>
      </c>
      <c r="E120" s="8"/>
    </row>
    <row r="121" s="1" customFormat="1" ht="18" customHeight="1" spans="1:5">
      <c r="A121" s="5" t="str">
        <f>"敦教瑶"</f>
        <v>敦教瑶</v>
      </c>
      <c r="B121" s="5" t="str">
        <f>"10101012626"</f>
        <v>10101012626</v>
      </c>
      <c r="C121" s="6">
        <v>73</v>
      </c>
      <c r="D121" s="7">
        <v>119</v>
      </c>
      <c r="E121" s="8"/>
    </row>
    <row r="122" s="1" customFormat="1" ht="18" customHeight="1" spans="1:5">
      <c r="A122" s="5" t="str">
        <f>"林朝苗"</f>
        <v>林朝苗</v>
      </c>
      <c r="B122" s="5" t="str">
        <f>"10101012701"</f>
        <v>10101012701</v>
      </c>
      <c r="C122" s="6">
        <v>73</v>
      </c>
      <c r="D122" s="7">
        <v>120</v>
      </c>
      <c r="E122" s="8"/>
    </row>
    <row r="123" s="1" customFormat="1" ht="18" customHeight="1" spans="1:5">
      <c r="A123" s="5" t="str">
        <f>"陈玉翠"</f>
        <v>陈玉翠</v>
      </c>
      <c r="B123" s="5" t="str">
        <f>"10101013025"</f>
        <v>10101013025</v>
      </c>
      <c r="C123" s="6">
        <v>73</v>
      </c>
      <c r="D123" s="7">
        <v>121</v>
      </c>
      <c r="E123" s="8"/>
    </row>
    <row r="124" s="1" customFormat="1" ht="18" customHeight="1" spans="1:5">
      <c r="A124" s="5" t="str">
        <f>"唐万凤"</f>
        <v>唐万凤</v>
      </c>
      <c r="B124" s="5" t="str">
        <f>"10101013110"</f>
        <v>10101013110</v>
      </c>
      <c r="C124" s="6">
        <v>73</v>
      </c>
      <c r="D124" s="7">
        <v>122</v>
      </c>
      <c r="E124" s="8"/>
    </row>
    <row r="125" s="1" customFormat="1" ht="18" customHeight="1" spans="1:5">
      <c r="A125" s="5" t="str">
        <f>"吉琼俊"</f>
        <v>吉琼俊</v>
      </c>
      <c r="B125" s="5" t="str">
        <f>"10101013214"</f>
        <v>10101013214</v>
      </c>
      <c r="C125" s="6">
        <v>73</v>
      </c>
      <c r="D125" s="7">
        <v>123</v>
      </c>
      <c r="E125" s="8"/>
    </row>
    <row r="126" s="1" customFormat="1" ht="18" customHeight="1" spans="1:5">
      <c r="A126" s="5" t="str">
        <f>"陈明娇"</f>
        <v>陈明娇</v>
      </c>
      <c r="B126" s="5" t="str">
        <f>"10101013317"</f>
        <v>10101013317</v>
      </c>
      <c r="C126" s="6">
        <v>73</v>
      </c>
      <c r="D126" s="7">
        <v>124</v>
      </c>
      <c r="E126" s="8"/>
    </row>
    <row r="127" s="1" customFormat="1" ht="18" customHeight="1" spans="1:5">
      <c r="A127" s="5" t="str">
        <f>"王锡月"</f>
        <v>王锡月</v>
      </c>
      <c r="B127" s="5" t="str">
        <f>"10101013417"</f>
        <v>10101013417</v>
      </c>
      <c r="C127" s="6">
        <v>73</v>
      </c>
      <c r="D127" s="7">
        <v>125</v>
      </c>
      <c r="E127" s="8"/>
    </row>
    <row r="128" s="1" customFormat="1" ht="18" customHeight="1" spans="1:5">
      <c r="A128" s="5" t="str">
        <f>"骆琪琪 "</f>
        <v>骆琪琪 </v>
      </c>
      <c r="B128" s="5" t="str">
        <f>"10101013503"</f>
        <v>10101013503</v>
      </c>
      <c r="C128" s="6">
        <v>73</v>
      </c>
      <c r="D128" s="7">
        <v>126</v>
      </c>
      <c r="E128" s="8"/>
    </row>
    <row r="129" s="1" customFormat="1" ht="18" customHeight="1" spans="1:5">
      <c r="A129" s="5" t="str">
        <f>"张小倩"</f>
        <v>张小倩</v>
      </c>
      <c r="B129" s="5" t="str">
        <f>"10101013926"</f>
        <v>10101013926</v>
      </c>
      <c r="C129" s="6">
        <v>73</v>
      </c>
      <c r="D129" s="7">
        <v>127</v>
      </c>
      <c r="E129" s="8"/>
    </row>
    <row r="130" s="1" customFormat="1" ht="18" customHeight="1" spans="1:5">
      <c r="A130" s="5" t="str">
        <f>"吉海秀"</f>
        <v>吉海秀</v>
      </c>
      <c r="B130" s="5" t="str">
        <f>"10101014123"</f>
        <v>10101014123</v>
      </c>
      <c r="C130" s="6">
        <v>73</v>
      </c>
      <c r="D130" s="7">
        <v>128</v>
      </c>
      <c r="E130" s="8"/>
    </row>
    <row r="131" s="1" customFormat="1" ht="18" customHeight="1" spans="1:5">
      <c r="A131" s="5" t="str">
        <f>"林发霞"</f>
        <v>林发霞</v>
      </c>
      <c r="B131" s="5" t="str">
        <f>"10101014124"</f>
        <v>10101014124</v>
      </c>
      <c r="C131" s="6">
        <v>73</v>
      </c>
      <c r="D131" s="7">
        <v>129</v>
      </c>
      <c r="E131" s="8"/>
    </row>
    <row r="132" s="1" customFormat="1" ht="18" customHeight="1" spans="1:5">
      <c r="A132" s="5" t="str">
        <f>"符美妮"</f>
        <v>符美妮</v>
      </c>
      <c r="B132" s="5" t="str">
        <f>"10101014204"</f>
        <v>10101014204</v>
      </c>
      <c r="C132" s="6">
        <v>73</v>
      </c>
      <c r="D132" s="7">
        <v>130</v>
      </c>
      <c r="E132" s="8"/>
    </row>
    <row r="133" s="1" customFormat="1" ht="18" customHeight="1" spans="1:5">
      <c r="A133" s="5" t="str">
        <f>"符春凤"</f>
        <v>符春凤</v>
      </c>
      <c r="B133" s="5" t="str">
        <f>"10101014325"</f>
        <v>10101014325</v>
      </c>
      <c r="C133" s="6">
        <v>73</v>
      </c>
      <c r="D133" s="7">
        <v>131</v>
      </c>
      <c r="E133" s="8"/>
    </row>
    <row r="134" s="1" customFormat="1" ht="18" customHeight="1" spans="1:5">
      <c r="A134" s="5" t="str">
        <f>"范其月"</f>
        <v>范其月</v>
      </c>
      <c r="B134" s="5" t="str">
        <f>"10101014527"</f>
        <v>10101014527</v>
      </c>
      <c r="C134" s="6">
        <v>73</v>
      </c>
      <c r="D134" s="7">
        <v>132</v>
      </c>
      <c r="E134" s="8"/>
    </row>
    <row r="135" s="1" customFormat="1" ht="18" customHeight="1" spans="1:5">
      <c r="A135" s="5" t="str">
        <f>"张慧"</f>
        <v>张慧</v>
      </c>
      <c r="B135" s="5" t="str">
        <f>"10101014727"</f>
        <v>10101014727</v>
      </c>
      <c r="C135" s="6">
        <v>73</v>
      </c>
      <c r="D135" s="7">
        <v>133</v>
      </c>
      <c r="E135" s="8"/>
    </row>
    <row r="136" s="1" customFormat="1" ht="18" customHeight="1" spans="1:5">
      <c r="A136" s="5" t="str">
        <f>"蔡若莹"</f>
        <v>蔡若莹</v>
      </c>
      <c r="B136" s="5" t="str">
        <f>"10101014904"</f>
        <v>10101014904</v>
      </c>
      <c r="C136" s="6">
        <v>73</v>
      </c>
      <c r="D136" s="7">
        <v>134</v>
      </c>
      <c r="E136" s="8"/>
    </row>
    <row r="137" s="1" customFormat="1" ht="18" customHeight="1" spans="1:5">
      <c r="A137" s="5" t="str">
        <f>"王丽花"</f>
        <v>王丽花</v>
      </c>
      <c r="B137" s="5" t="str">
        <f>"10101015110"</f>
        <v>10101015110</v>
      </c>
      <c r="C137" s="6">
        <v>73</v>
      </c>
      <c r="D137" s="7">
        <v>135</v>
      </c>
      <c r="E137" s="8"/>
    </row>
    <row r="138" s="1" customFormat="1" ht="18" customHeight="1" spans="1:5">
      <c r="A138" s="5" t="str">
        <f>"符文霞"</f>
        <v>符文霞</v>
      </c>
      <c r="B138" s="5" t="str">
        <f>"10101015122"</f>
        <v>10101015122</v>
      </c>
      <c r="C138" s="6">
        <v>73</v>
      </c>
      <c r="D138" s="7">
        <v>136</v>
      </c>
      <c r="E138" s="8"/>
    </row>
    <row r="139" s="1" customFormat="1" ht="18" customHeight="1" spans="1:5">
      <c r="A139" s="5" t="str">
        <f>"苏良慧"</f>
        <v>苏良慧</v>
      </c>
      <c r="B139" s="5" t="str">
        <f>"10101015210"</f>
        <v>10101015210</v>
      </c>
      <c r="C139" s="6">
        <v>73</v>
      </c>
      <c r="D139" s="7">
        <v>137</v>
      </c>
      <c r="E139" s="8"/>
    </row>
    <row r="140" s="1" customFormat="1" ht="18" customHeight="1" spans="1:5">
      <c r="A140" s="5" t="str">
        <f>"苏玉鲜"</f>
        <v>苏玉鲜</v>
      </c>
      <c r="B140" s="5" t="str">
        <f>"10101015223"</f>
        <v>10101015223</v>
      </c>
      <c r="C140" s="6">
        <v>73</v>
      </c>
      <c r="D140" s="7">
        <v>138</v>
      </c>
      <c r="E140" s="8"/>
    </row>
    <row r="141" s="1" customFormat="1" ht="18" customHeight="1" spans="1:5">
      <c r="A141" s="5" t="str">
        <f>"周圆"</f>
        <v>周圆</v>
      </c>
      <c r="B141" s="5" t="str">
        <f>"10101015410"</f>
        <v>10101015410</v>
      </c>
      <c r="C141" s="6">
        <v>73</v>
      </c>
      <c r="D141" s="7">
        <v>139</v>
      </c>
      <c r="E141" s="8"/>
    </row>
    <row r="142" s="1" customFormat="1" ht="18" customHeight="1" spans="1:5">
      <c r="A142" s="5" t="str">
        <f>"符井凤"</f>
        <v>符井凤</v>
      </c>
      <c r="B142" s="5" t="str">
        <f>"10101012425"</f>
        <v>10101012425</v>
      </c>
      <c r="C142" s="6">
        <v>72</v>
      </c>
      <c r="D142" s="7">
        <v>140</v>
      </c>
      <c r="E142" s="8"/>
    </row>
    <row r="143" s="1" customFormat="1" ht="18" customHeight="1" spans="1:5">
      <c r="A143" s="5" t="str">
        <f>"李敏"</f>
        <v>李敏</v>
      </c>
      <c r="B143" s="5" t="str">
        <f>"10101012710"</f>
        <v>10101012710</v>
      </c>
      <c r="C143" s="6">
        <v>72</v>
      </c>
      <c r="D143" s="7">
        <v>141</v>
      </c>
      <c r="E143" s="8"/>
    </row>
    <row r="144" s="1" customFormat="1" ht="18" customHeight="1" spans="1:5">
      <c r="A144" s="5" t="str">
        <f>"张美珍"</f>
        <v>张美珍</v>
      </c>
      <c r="B144" s="5" t="str">
        <f>"10101013014"</f>
        <v>10101013014</v>
      </c>
      <c r="C144" s="6">
        <v>72</v>
      </c>
      <c r="D144" s="7">
        <v>142</v>
      </c>
      <c r="E144" s="8"/>
    </row>
    <row r="145" s="1" customFormat="1" ht="18" customHeight="1" spans="1:5">
      <c r="A145" s="5" t="str">
        <f>"符李霞"</f>
        <v>符李霞</v>
      </c>
      <c r="B145" s="5" t="str">
        <f>"10101013325"</f>
        <v>10101013325</v>
      </c>
      <c r="C145" s="6">
        <v>72</v>
      </c>
      <c r="D145" s="7">
        <v>143</v>
      </c>
      <c r="E145" s="8"/>
    </row>
    <row r="146" s="1" customFormat="1" ht="18" customHeight="1" spans="1:5">
      <c r="A146" s="5" t="str">
        <f>"王红花"</f>
        <v>王红花</v>
      </c>
      <c r="B146" s="5" t="str">
        <f>"10101013505"</f>
        <v>10101013505</v>
      </c>
      <c r="C146" s="6">
        <v>72</v>
      </c>
      <c r="D146" s="7">
        <v>144</v>
      </c>
      <c r="E146" s="8"/>
    </row>
    <row r="147" s="1" customFormat="1" ht="18" customHeight="1" spans="1:5">
      <c r="A147" s="5" t="str">
        <f>"文洋"</f>
        <v>文洋</v>
      </c>
      <c r="B147" s="5" t="str">
        <f>"10101013523"</f>
        <v>10101013523</v>
      </c>
      <c r="C147" s="6">
        <v>72</v>
      </c>
      <c r="D147" s="7">
        <v>145</v>
      </c>
      <c r="E147" s="8"/>
    </row>
    <row r="148" s="1" customFormat="1" ht="18" customHeight="1" spans="1:5">
      <c r="A148" s="5" t="str">
        <f>"曾国丽"</f>
        <v>曾国丽</v>
      </c>
      <c r="B148" s="5" t="str">
        <f>"10101013624"</f>
        <v>10101013624</v>
      </c>
      <c r="C148" s="6">
        <v>72</v>
      </c>
      <c r="D148" s="7">
        <v>146</v>
      </c>
      <c r="E148" s="8"/>
    </row>
    <row r="149" s="1" customFormat="1" ht="18" customHeight="1" spans="1:5">
      <c r="A149" s="5" t="str">
        <f>"黄雪琼"</f>
        <v>黄雪琼</v>
      </c>
      <c r="B149" s="5" t="str">
        <f>"10101014018"</f>
        <v>10101014018</v>
      </c>
      <c r="C149" s="6">
        <v>72</v>
      </c>
      <c r="D149" s="7">
        <v>147</v>
      </c>
      <c r="E149" s="8"/>
    </row>
    <row r="150" s="1" customFormat="1" ht="18" customHeight="1" spans="1:5">
      <c r="A150" s="5" t="str">
        <f>"唐心江"</f>
        <v>唐心江</v>
      </c>
      <c r="B150" s="5" t="str">
        <f>"10101014301"</f>
        <v>10101014301</v>
      </c>
      <c r="C150" s="6">
        <v>72</v>
      </c>
      <c r="D150" s="7">
        <v>148</v>
      </c>
      <c r="E150" s="8"/>
    </row>
    <row r="151" s="1" customFormat="1" ht="18" customHeight="1" spans="1:5">
      <c r="A151" s="5" t="str">
        <f>"陈丽"</f>
        <v>陈丽</v>
      </c>
      <c r="B151" s="5" t="str">
        <f>"10101014317"</f>
        <v>10101014317</v>
      </c>
      <c r="C151" s="6">
        <v>72</v>
      </c>
      <c r="D151" s="7">
        <v>149</v>
      </c>
      <c r="E151" s="8"/>
    </row>
    <row r="152" s="1" customFormat="1" ht="18" customHeight="1" spans="1:5">
      <c r="A152" s="5" t="str">
        <f>"韦玉雯"</f>
        <v>韦玉雯</v>
      </c>
      <c r="B152" s="5" t="str">
        <f>"10101014419"</f>
        <v>10101014419</v>
      </c>
      <c r="C152" s="6">
        <v>72</v>
      </c>
      <c r="D152" s="7">
        <v>150</v>
      </c>
      <c r="E152" s="8"/>
    </row>
    <row r="153" s="1" customFormat="1" ht="18" customHeight="1" spans="1:5">
      <c r="A153" s="5" t="str">
        <f>"张夏琴"</f>
        <v>张夏琴</v>
      </c>
      <c r="B153" s="5" t="str">
        <f>"10101014504"</f>
        <v>10101014504</v>
      </c>
      <c r="C153" s="6">
        <v>72</v>
      </c>
      <c r="D153" s="7">
        <v>151</v>
      </c>
      <c r="E153" s="8"/>
    </row>
    <row r="154" s="1" customFormat="1" ht="18" customHeight="1" spans="1:5">
      <c r="A154" s="5" t="str">
        <f>"符月琴"</f>
        <v>符月琴</v>
      </c>
      <c r="B154" s="5" t="str">
        <f>"10101014506"</f>
        <v>10101014506</v>
      </c>
      <c r="C154" s="6">
        <v>72</v>
      </c>
      <c r="D154" s="7">
        <v>152</v>
      </c>
      <c r="E154" s="8"/>
    </row>
    <row r="155" s="1" customFormat="1" ht="18" customHeight="1" spans="1:5">
      <c r="A155" s="5" t="str">
        <f>"王云"</f>
        <v>王云</v>
      </c>
      <c r="B155" s="5" t="str">
        <f>"10101014620"</f>
        <v>10101014620</v>
      </c>
      <c r="C155" s="6">
        <v>72</v>
      </c>
      <c r="D155" s="7">
        <v>153</v>
      </c>
      <c r="E155" s="8"/>
    </row>
    <row r="156" s="1" customFormat="1" ht="18" customHeight="1" spans="1:5">
      <c r="A156" s="5" t="str">
        <f>"徐爱丽"</f>
        <v>徐爱丽</v>
      </c>
      <c r="B156" s="5" t="str">
        <f>"10101014729"</f>
        <v>10101014729</v>
      </c>
      <c r="C156" s="6">
        <v>72</v>
      </c>
      <c r="D156" s="7">
        <v>154</v>
      </c>
      <c r="E156" s="8"/>
    </row>
    <row r="157" s="1" customFormat="1" ht="18" customHeight="1" spans="1:5">
      <c r="A157" s="5" t="str">
        <f>"苏崖"</f>
        <v>苏崖</v>
      </c>
      <c r="B157" s="5" t="str">
        <f>"10101014817"</f>
        <v>10101014817</v>
      </c>
      <c r="C157" s="6">
        <v>72</v>
      </c>
      <c r="D157" s="7">
        <v>155</v>
      </c>
      <c r="E157" s="8"/>
    </row>
    <row r="158" s="1" customFormat="1" ht="18" customHeight="1" spans="1:5">
      <c r="A158" s="5" t="str">
        <f>"邓邦姻"</f>
        <v>邓邦姻</v>
      </c>
      <c r="B158" s="5" t="str">
        <f>"10101014825"</f>
        <v>10101014825</v>
      </c>
      <c r="C158" s="6">
        <v>72</v>
      </c>
      <c r="D158" s="7">
        <v>156</v>
      </c>
      <c r="E158" s="8"/>
    </row>
    <row r="159" s="1" customFormat="1" ht="18" customHeight="1" spans="1:5">
      <c r="A159" s="5" t="str">
        <f>"许多玲"</f>
        <v>许多玲</v>
      </c>
      <c r="B159" s="5" t="str">
        <f>"10101014910"</f>
        <v>10101014910</v>
      </c>
      <c r="C159" s="6">
        <v>72</v>
      </c>
      <c r="D159" s="7">
        <v>157</v>
      </c>
      <c r="E159" s="8"/>
    </row>
    <row r="160" s="1" customFormat="1" ht="18" customHeight="1" spans="1:5">
      <c r="A160" s="5" t="str">
        <f>"苏娟"</f>
        <v>苏娟</v>
      </c>
      <c r="B160" s="5" t="str">
        <f>"10101014915"</f>
        <v>10101014915</v>
      </c>
      <c r="C160" s="6">
        <v>72</v>
      </c>
      <c r="D160" s="7">
        <v>158</v>
      </c>
      <c r="E160" s="8"/>
    </row>
    <row r="161" s="1" customFormat="1" ht="18" customHeight="1" spans="1:5">
      <c r="A161" s="5" t="str">
        <f>"郑馨蕾"</f>
        <v>郑馨蕾</v>
      </c>
      <c r="B161" s="5" t="str">
        <f>"10101015118"</f>
        <v>10101015118</v>
      </c>
      <c r="C161" s="6">
        <v>72</v>
      </c>
      <c r="D161" s="7">
        <v>159</v>
      </c>
      <c r="E161" s="8"/>
    </row>
    <row r="162" s="1" customFormat="1" ht="18" customHeight="1" spans="1:5">
      <c r="A162" s="5" t="str">
        <f>"张美玲"</f>
        <v>张美玲</v>
      </c>
      <c r="B162" s="5" t="str">
        <f>"10101015119"</f>
        <v>10101015119</v>
      </c>
      <c r="C162" s="6">
        <v>72</v>
      </c>
      <c r="D162" s="7">
        <v>160</v>
      </c>
      <c r="E162" s="8"/>
    </row>
    <row r="163" s="1" customFormat="1" ht="18" customHeight="1" spans="1:5">
      <c r="A163" s="5" t="str">
        <f>"胡娜"</f>
        <v>胡娜</v>
      </c>
      <c r="B163" s="5" t="str">
        <f>"10101015129"</f>
        <v>10101015129</v>
      </c>
      <c r="C163" s="6">
        <v>72</v>
      </c>
      <c r="D163" s="7">
        <v>161</v>
      </c>
      <c r="E163" s="8"/>
    </row>
    <row r="164" s="1" customFormat="1" ht="18" customHeight="1" spans="1:5">
      <c r="A164" s="5" t="str">
        <f>"陈啟孟"</f>
        <v>陈啟孟</v>
      </c>
      <c r="B164" s="5" t="str">
        <f>"10101015306"</f>
        <v>10101015306</v>
      </c>
      <c r="C164" s="6">
        <v>72</v>
      </c>
      <c r="D164" s="7">
        <v>162</v>
      </c>
      <c r="E164" s="8"/>
    </row>
    <row r="165" s="1" customFormat="1" ht="18" customHeight="1" spans="1:5">
      <c r="A165" s="5" t="str">
        <f>"苏芊芊"</f>
        <v>苏芊芊</v>
      </c>
      <c r="B165" s="5" t="str">
        <f>"10101013701"</f>
        <v>10101013701</v>
      </c>
      <c r="C165" s="6">
        <v>72</v>
      </c>
      <c r="D165" s="7">
        <v>163</v>
      </c>
      <c r="E165" s="8"/>
    </row>
    <row r="166" s="1" customFormat="1" ht="18" customHeight="1" spans="1:5">
      <c r="A166" s="5" t="str">
        <f>"符照灵"</f>
        <v>符照灵</v>
      </c>
      <c r="B166" s="5" t="str">
        <f>"10101012209"</f>
        <v>10101012209</v>
      </c>
      <c r="C166" s="6">
        <v>71</v>
      </c>
      <c r="D166" s="7">
        <v>164</v>
      </c>
      <c r="E166" s="8"/>
    </row>
    <row r="167" s="1" customFormat="1" ht="18" customHeight="1" spans="1:5">
      <c r="A167" s="5" t="str">
        <f>"符志江"</f>
        <v>符志江</v>
      </c>
      <c r="B167" s="5" t="str">
        <f>"10101012310"</f>
        <v>10101012310</v>
      </c>
      <c r="C167" s="6">
        <v>71</v>
      </c>
      <c r="D167" s="7">
        <v>165</v>
      </c>
      <c r="E167" s="8"/>
    </row>
    <row r="168" s="1" customFormat="1" ht="18" customHeight="1" spans="1:5">
      <c r="A168" s="5" t="str">
        <f>"陈多娇"</f>
        <v>陈多娇</v>
      </c>
      <c r="B168" s="5" t="str">
        <f>"10101012404"</f>
        <v>10101012404</v>
      </c>
      <c r="C168" s="6">
        <v>71</v>
      </c>
      <c r="D168" s="7">
        <v>166</v>
      </c>
      <c r="E168" s="8"/>
    </row>
    <row r="169" s="1" customFormat="1" ht="18" customHeight="1" spans="1:5">
      <c r="A169" s="5" t="str">
        <f>"王小燕"</f>
        <v>王小燕</v>
      </c>
      <c r="B169" s="5" t="str">
        <f>"10101012514"</f>
        <v>10101012514</v>
      </c>
      <c r="C169" s="6">
        <v>71</v>
      </c>
      <c r="D169" s="7">
        <v>167</v>
      </c>
      <c r="E169" s="8"/>
    </row>
    <row r="170" s="1" customFormat="1" ht="18" customHeight="1" spans="1:5">
      <c r="A170" s="5" t="str">
        <f>"符淑娜"</f>
        <v>符淑娜</v>
      </c>
      <c r="B170" s="5" t="str">
        <f>"10101012716"</f>
        <v>10101012716</v>
      </c>
      <c r="C170" s="6">
        <v>71</v>
      </c>
      <c r="D170" s="7">
        <v>168</v>
      </c>
      <c r="E170" s="8"/>
    </row>
    <row r="171" s="1" customFormat="1" ht="18" customHeight="1" spans="1:5">
      <c r="A171" s="5" t="str">
        <f>"李丹"</f>
        <v>李丹</v>
      </c>
      <c r="B171" s="5" t="str">
        <f>"10101013022"</f>
        <v>10101013022</v>
      </c>
      <c r="C171" s="6">
        <v>71</v>
      </c>
      <c r="D171" s="7">
        <v>169</v>
      </c>
      <c r="E171" s="8"/>
    </row>
    <row r="172" s="1" customFormat="1" ht="18" customHeight="1" spans="1:5">
      <c r="A172" s="5" t="str">
        <f>"钟昌维 "</f>
        <v>钟昌维 </v>
      </c>
      <c r="B172" s="5" t="str">
        <f>"10101013026"</f>
        <v>10101013026</v>
      </c>
      <c r="C172" s="6">
        <v>71</v>
      </c>
      <c r="D172" s="7">
        <v>170</v>
      </c>
      <c r="E172" s="8"/>
    </row>
    <row r="173" s="1" customFormat="1" ht="18" customHeight="1" spans="1:5">
      <c r="A173" s="5" t="str">
        <f>"陈仕艳"</f>
        <v>陈仕艳</v>
      </c>
      <c r="B173" s="5" t="str">
        <f>"10101013126"</f>
        <v>10101013126</v>
      </c>
      <c r="C173" s="6">
        <v>71</v>
      </c>
      <c r="D173" s="7">
        <v>171</v>
      </c>
      <c r="E173" s="8"/>
    </row>
    <row r="174" s="1" customFormat="1" ht="18" customHeight="1" spans="1:5">
      <c r="A174" s="5" t="str">
        <f>"李传惠"</f>
        <v>李传惠</v>
      </c>
      <c r="B174" s="5" t="str">
        <f>"10101013221"</f>
        <v>10101013221</v>
      </c>
      <c r="C174" s="6">
        <v>71</v>
      </c>
      <c r="D174" s="7">
        <v>172</v>
      </c>
      <c r="E174" s="8"/>
    </row>
    <row r="175" s="1" customFormat="1" ht="18" customHeight="1" spans="1:5">
      <c r="A175" s="5" t="str">
        <f>"王安迎"</f>
        <v>王安迎</v>
      </c>
      <c r="B175" s="5" t="str">
        <f>"10101013302"</f>
        <v>10101013302</v>
      </c>
      <c r="C175" s="6">
        <v>71</v>
      </c>
      <c r="D175" s="7">
        <v>173</v>
      </c>
      <c r="E175" s="8"/>
    </row>
    <row r="176" s="1" customFormat="1" ht="18" customHeight="1" spans="1:5">
      <c r="A176" s="5" t="str">
        <f>"符丽霞"</f>
        <v>符丽霞</v>
      </c>
      <c r="B176" s="5" t="str">
        <f>"10101013416"</f>
        <v>10101013416</v>
      </c>
      <c r="C176" s="6">
        <v>71</v>
      </c>
      <c r="D176" s="7">
        <v>174</v>
      </c>
      <c r="E176" s="8"/>
    </row>
    <row r="177" s="1" customFormat="1" ht="18" customHeight="1" spans="1:5">
      <c r="A177" s="5" t="str">
        <f>"钟启霞"</f>
        <v>钟启霞</v>
      </c>
      <c r="B177" s="5" t="str">
        <f>"10101013621"</f>
        <v>10101013621</v>
      </c>
      <c r="C177" s="6">
        <v>71</v>
      </c>
      <c r="D177" s="7">
        <v>175</v>
      </c>
      <c r="E177" s="8"/>
    </row>
    <row r="178" s="1" customFormat="1" ht="18" customHeight="1" spans="1:5">
      <c r="A178" s="5" t="str">
        <f>"文慧"</f>
        <v>文慧</v>
      </c>
      <c r="B178" s="5" t="str">
        <f>"10101014005"</f>
        <v>10101014005</v>
      </c>
      <c r="C178" s="6">
        <v>71</v>
      </c>
      <c r="D178" s="7">
        <v>176</v>
      </c>
      <c r="E178" s="8"/>
    </row>
    <row r="179" s="1" customFormat="1" ht="18" customHeight="1" spans="1:5">
      <c r="A179" s="5" t="str">
        <f>"罗柏林"</f>
        <v>罗柏林</v>
      </c>
      <c r="B179" s="5" t="str">
        <f>"10101014102"</f>
        <v>10101014102</v>
      </c>
      <c r="C179" s="6">
        <v>71</v>
      </c>
      <c r="D179" s="7">
        <v>177</v>
      </c>
      <c r="E179" s="8"/>
    </row>
    <row r="180" s="1" customFormat="1" ht="18" customHeight="1" spans="1:5">
      <c r="A180" s="5" t="str">
        <f>"吉春姗"</f>
        <v>吉春姗</v>
      </c>
      <c r="B180" s="5" t="str">
        <f>"10101014321"</f>
        <v>10101014321</v>
      </c>
      <c r="C180" s="6">
        <v>71</v>
      </c>
      <c r="D180" s="7">
        <v>178</v>
      </c>
      <c r="E180" s="8"/>
    </row>
    <row r="181" s="1" customFormat="1" ht="18" customHeight="1" spans="1:5">
      <c r="A181" s="5" t="str">
        <f>"吉世娜"</f>
        <v>吉世娜</v>
      </c>
      <c r="B181" s="5" t="str">
        <f>"10101014521"</f>
        <v>10101014521</v>
      </c>
      <c r="C181" s="6">
        <v>71</v>
      </c>
      <c r="D181" s="7">
        <v>179</v>
      </c>
      <c r="E181" s="8"/>
    </row>
    <row r="182" s="1" customFormat="1" ht="18" customHeight="1" spans="1:5">
      <c r="A182" s="5" t="str">
        <f>"洪婷"</f>
        <v>洪婷</v>
      </c>
      <c r="B182" s="5" t="str">
        <f>"10101014607"</f>
        <v>10101014607</v>
      </c>
      <c r="C182" s="6">
        <v>71</v>
      </c>
      <c r="D182" s="7">
        <v>180</v>
      </c>
      <c r="E182" s="8"/>
    </row>
    <row r="183" s="1" customFormat="1" ht="18" customHeight="1" spans="1:5">
      <c r="A183" s="5" t="str">
        <f>"任春燕"</f>
        <v>任春燕</v>
      </c>
      <c r="B183" s="5" t="str">
        <f>"10101014726"</f>
        <v>10101014726</v>
      </c>
      <c r="C183" s="6">
        <v>71</v>
      </c>
      <c r="D183" s="7">
        <v>181</v>
      </c>
      <c r="E183" s="8"/>
    </row>
    <row r="184" s="1" customFormat="1" ht="18" customHeight="1" spans="1:5">
      <c r="A184" s="5" t="str">
        <f>"唐丽婷"</f>
        <v>唐丽婷</v>
      </c>
      <c r="B184" s="5" t="str">
        <f>"10101014828"</f>
        <v>10101014828</v>
      </c>
      <c r="C184" s="6">
        <v>71</v>
      </c>
      <c r="D184" s="7">
        <v>182</v>
      </c>
      <c r="E184" s="8"/>
    </row>
    <row r="185" s="1" customFormat="1" ht="18" customHeight="1" spans="1:5">
      <c r="A185" s="5" t="str">
        <f>"钟光霞"</f>
        <v>钟光霞</v>
      </c>
      <c r="B185" s="5" t="str">
        <f>"10101014830"</f>
        <v>10101014830</v>
      </c>
      <c r="C185" s="6">
        <v>71</v>
      </c>
      <c r="D185" s="7">
        <v>183</v>
      </c>
      <c r="E185" s="8"/>
    </row>
    <row r="186" s="1" customFormat="1" ht="18" customHeight="1" spans="1:5">
      <c r="A186" s="5" t="str">
        <f>"毛凯浪"</f>
        <v>毛凯浪</v>
      </c>
      <c r="B186" s="5" t="str">
        <f>"10101014917"</f>
        <v>10101014917</v>
      </c>
      <c r="C186" s="6">
        <v>71</v>
      </c>
      <c r="D186" s="7">
        <v>184</v>
      </c>
      <c r="E186" s="8"/>
    </row>
    <row r="187" s="1" customFormat="1" ht="18" customHeight="1" spans="1:5">
      <c r="A187" s="5" t="str">
        <f>"陈映"</f>
        <v>陈映</v>
      </c>
      <c r="B187" s="5" t="str">
        <f>"10101015027"</f>
        <v>10101015027</v>
      </c>
      <c r="C187" s="6">
        <v>71</v>
      </c>
      <c r="D187" s="7">
        <v>185</v>
      </c>
      <c r="E187" s="8"/>
    </row>
    <row r="188" s="1" customFormat="1" ht="18" customHeight="1" spans="1:5">
      <c r="A188" s="5" t="str">
        <f>"赵永方"</f>
        <v>赵永方</v>
      </c>
      <c r="B188" s="5" t="str">
        <f>"10101015319"</f>
        <v>10101015319</v>
      </c>
      <c r="C188" s="6">
        <v>71</v>
      </c>
      <c r="D188" s="7">
        <v>186</v>
      </c>
      <c r="E188" s="8"/>
    </row>
    <row r="189" s="1" customFormat="1" ht="18" customHeight="1" spans="1:5">
      <c r="A189" s="5" t="str">
        <f>"苏芬"</f>
        <v>苏芬</v>
      </c>
      <c r="B189" s="5" t="str">
        <f>"10101015330"</f>
        <v>10101015330</v>
      </c>
      <c r="C189" s="6">
        <v>71</v>
      </c>
      <c r="D189" s="7">
        <v>187</v>
      </c>
      <c r="E189" s="8"/>
    </row>
    <row r="190" s="1" customFormat="1" ht="18" customHeight="1" spans="1:5">
      <c r="A190" s="5" t="str">
        <f>"邢孔浪"</f>
        <v>邢孔浪</v>
      </c>
      <c r="B190" s="5" t="str">
        <f>"10101012519"</f>
        <v>10101012519</v>
      </c>
      <c r="C190" s="6">
        <v>71</v>
      </c>
      <c r="D190" s="7">
        <v>188</v>
      </c>
      <c r="E190" s="8"/>
    </row>
    <row r="191" s="1" customFormat="1" ht="18" customHeight="1" spans="1:5">
      <c r="A191" s="5" t="str">
        <f>"张强利"</f>
        <v>张强利</v>
      </c>
      <c r="B191" s="5" t="str">
        <f>"10101012215"</f>
        <v>10101012215</v>
      </c>
      <c r="C191" s="6">
        <v>70</v>
      </c>
      <c r="D191" s="7">
        <v>189</v>
      </c>
      <c r="E191" s="8"/>
    </row>
    <row r="192" s="1" customFormat="1" ht="18" customHeight="1" spans="1:5">
      <c r="A192" s="5" t="str">
        <f>"冯琼春"</f>
        <v>冯琼春</v>
      </c>
      <c r="B192" s="5" t="str">
        <f>"10101012219"</f>
        <v>10101012219</v>
      </c>
      <c r="C192" s="6">
        <v>70</v>
      </c>
      <c r="D192" s="7">
        <v>190</v>
      </c>
      <c r="E192" s="8"/>
    </row>
    <row r="193" s="1" customFormat="1" ht="18" customHeight="1" spans="1:5">
      <c r="A193" s="5" t="str">
        <f>"黄华丽"</f>
        <v>黄华丽</v>
      </c>
      <c r="B193" s="5" t="str">
        <f>"10101012305"</f>
        <v>10101012305</v>
      </c>
      <c r="C193" s="6">
        <v>70</v>
      </c>
      <c r="D193" s="7">
        <v>191</v>
      </c>
      <c r="E193" s="8"/>
    </row>
    <row r="194" s="1" customFormat="1" ht="18" customHeight="1" spans="1:5">
      <c r="A194" s="5" t="str">
        <f>"苏燕"</f>
        <v>苏燕</v>
      </c>
      <c r="B194" s="5" t="str">
        <f>"10101012330"</f>
        <v>10101012330</v>
      </c>
      <c r="C194" s="6">
        <v>70</v>
      </c>
      <c r="D194" s="7">
        <v>192</v>
      </c>
      <c r="E194" s="8"/>
    </row>
    <row r="195" s="1" customFormat="1" ht="18" customHeight="1" spans="1:5">
      <c r="A195" s="5" t="str">
        <f>"孙艳翠"</f>
        <v>孙艳翠</v>
      </c>
      <c r="B195" s="5" t="str">
        <f>"10101012613"</f>
        <v>10101012613</v>
      </c>
      <c r="C195" s="6">
        <v>70</v>
      </c>
      <c r="D195" s="7">
        <v>193</v>
      </c>
      <c r="E195" s="8"/>
    </row>
    <row r="196" s="1" customFormat="1" ht="18" customHeight="1" spans="1:5">
      <c r="A196" s="5" t="str">
        <f>"文春婷"</f>
        <v>文春婷</v>
      </c>
      <c r="B196" s="5" t="str">
        <f>"10101012708"</f>
        <v>10101012708</v>
      </c>
      <c r="C196" s="6">
        <v>70</v>
      </c>
      <c r="D196" s="7">
        <v>194</v>
      </c>
      <c r="E196" s="8"/>
    </row>
    <row r="197" s="1" customFormat="1" ht="18" customHeight="1" spans="1:5">
      <c r="A197" s="5" t="str">
        <f>"卢运英"</f>
        <v>卢运英</v>
      </c>
      <c r="B197" s="5" t="str">
        <f>"10101012802"</f>
        <v>10101012802</v>
      </c>
      <c r="C197" s="6">
        <v>70</v>
      </c>
      <c r="D197" s="7">
        <v>195</v>
      </c>
      <c r="E197" s="8"/>
    </row>
    <row r="198" s="1" customFormat="1" ht="18" customHeight="1" spans="1:5">
      <c r="A198" s="5" t="str">
        <f>"张达姣"</f>
        <v>张达姣</v>
      </c>
      <c r="B198" s="5" t="str">
        <f>"10101012805"</f>
        <v>10101012805</v>
      </c>
      <c r="C198" s="6">
        <v>70</v>
      </c>
      <c r="D198" s="7">
        <v>196</v>
      </c>
      <c r="E198" s="8"/>
    </row>
    <row r="199" s="1" customFormat="1" ht="18" customHeight="1" spans="1:5">
      <c r="A199" s="5" t="str">
        <f>"陈于燕"</f>
        <v>陈于燕</v>
      </c>
      <c r="B199" s="5" t="str">
        <f>"10101012806"</f>
        <v>10101012806</v>
      </c>
      <c r="C199" s="6">
        <v>70</v>
      </c>
      <c r="D199" s="7">
        <v>197</v>
      </c>
      <c r="E199" s="8"/>
    </row>
    <row r="200" s="1" customFormat="1" ht="18" customHeight="1" spans="1:5">
      <c r="A200" s="5" t="str">
        <f>"谷文剑"</f>
        <v>谷文剑</v>
      </c>
      <c r="B200" s="5" t="str">
        <f>"10101012816"</f>
        <v>10101012816</v>
      </c>
      <c r="C200" s="6">
        <v>70</v>
      </c>
      <c r="D200" s="7">
        <v>198</v>
      </c>
      <c r="E200" s="8"/>
    </row>
    <row r="201" s="1" customFormat="1" ht="18" customHeight="1" spans="1:5">
      <c r="A201" s="5" t="str">
        <f>"秦文妮"</f>
        <v>秦文妮</v>
      </c>
      <c r="B201" s="5" t="str">
        <f>"10101013413"</f>
        <v>10101013413</v>
      </c>
      <c r="C201" s="6">
        <v>70</v>
      </c>
      <c r="D201" s="7">
        <v>199</v>
      </c>
      <c r="E201" s="8"/>
    </row>
    <row r="202" s="1" customFormat="1" ht="18" customHeight="1" spans="1:5">
      <c r="A202" s="5" t="str">
        <f>"张梅"</f>
        <v>张梅</v>
      </c>
      <c r="B202" s="5" t="str">
        <f>"10101013702"</f>
        <v>10101013702</v>
      </c>
      <c r="C202" s="6">
        <v>70</v>
      </c>
      <c r="D202" s="7">
        <v>200</v>
      </c>
      <c r="E202" s="8"/>
    </row>
    <row r="203" s="1" customFormat="1" ht="18" customHeight="1" spans="1:5">
      <c r="A203" s="5" t="str">
        <f>"何小彤"</f>
        <v>何小彤</v>
      </c>
      <c r="B203" s="5" t="str">
        <f>"10101013711"</f>
        <v>10101013711</v>
      </c>
      <c r="C203" s="6">
        <v>70</v>
      </c>
      <c r="D203" s="7">
        <v>201</v>
      </c>
      <c r="E203" s="8"/>
    </row>
    <row r="204" s="1" customFormat="1" ht="18" customHeight="1" spans="1:5">
      <c r="A204" s="5" t="str">
        <f>"钟国冰"</f>
        <v>钟国冰</v>
      </c>
      <c r="B204" s="5" t="str">
        <f>"10101013728"</f>
        <v>10101013728</v>
      </c>
      <c r="C204" s="6">
        <v>70</v>
      </c>
      <c r="D204" s="7">
        <v>202</v>
      </c>
      <c r="E204" s="8"/>
    </row>
    <row r="205" s="1" customFormat="1" ht="18" customHeight="1" spans="1:5">
      <c r="A205" s="5" t="str">
        <f>"王基萍"</f>
        <v>王基萍</v>
      </c>
      <c r="B205" s="5" t="str">
        <f>"10101013817"</f>
        <v>10101013817</v>
      </c>
      <c r="C205" s="6">
        <v>70</v>
      </c>
      <c r="D205" s="7">
        <v>203</v>
      </c>
      <c r="E205" s="8"/>
    </row>
    <row r="206" s="1" customFormat="1" ht="18" customHeight="1" spans="1:5">
      <c r="A206" s="5" t="str">
        <f>"符敏"</f>
        <v>符敏</v>
      </c>
      <c r="B206" s="5" t="str">
        <f>"10101014025"</f>
        <v>10101014025</v>
      </c>
      <c r="C206" s="6">
        <v>70</v>
      </c>
      <c r="D206" s="7">
        <v>204</v>
      </c>
      <c r="E206" s="8"/>
    </row>
    <row r="207" s="1" customFormat="1" ht="18" customHeight="1" spans="1:5">
      <c r="A207" s="5" t="str">
        <f>"赵金棉"</f>
        <v>赵金棉</v>
      </c>
      <c r="B207" s="5" t="str">
        <f>"10101014028"</f>
        <v>10101014028</v>
      </c>
      <c r="C207" s="6">
        <v>70</v>
      </c>
      <c r="D207" s="7">
        <v>205</v>
      </c>
      <c r="E207" s="8"/>
    </row>
    <row r="208" s="1" customFormat="1" ht="18" customHeight="1" spans="1:5">
      <c r="A208" s="5" t="str">
        <f>"黄珊"</f>
        <v>黄珊</v>
      </c>
      <c r="B208" s="5" t="str">
        <f>"10101014125"</f>
        <v>10101014125</v>
      </c>
      <c r="C208" s="6">
        <v>70</v>
      </c>
      <c r="D208" s="7">
        <v>206</v>
      </c>
      <c r="E208" s="8"/>
    </row>
    <row r="209" s="1" customFormat="1" ht="18" customHeight="1" spans="1:5">
      <c r="A209" s="5" t="str">
        <f>"符坤央"</f>
        <v>符坤央</v>
      </c>
      <c r="B209" s="5" t="str">
        <f>"10101014128"</f>
        <v>10101014128</v>
      </c>
      <c r="C209" s="6">
        <v>70</v>
      </c>
      <c r="D209" s="7">
        <v>207</v>
      </c>
      <c r="E209" s="8"/>
    </row>
    <row r="210" s="1" customFormat="1" ht="18" customHeight="1" spans="1:5">
      <c r="A210" s="5" t="str">
        <f>"王晶云"</f>
        <v>王晶云</v>
      </c>
      <c r="B210" s="5" t="str">
        <f>"10101014307"</f>
        <v>10101014307</v>
      </c>
      <c r="C210" s="6">
        <v>70</v>
      </c>
      <c r="D210" s="7">
        <v>208</v>
      </c>
      <c r="E210" s="8"/>
    </row>
    <row r="211" s="1" customFormat="1" ht="18" customHeight="1" spans="1:5">
      <c r="A211" s="5" t="str">
        <f>"文宜"</f>
        <v>文宜</v>
      </c>
      <c r="B211" s="5" t="str">
        <f>"10101014318"</f>
        <v>10101014318</v>
      </c>
      <c r="C211" s="6">
        <v>70</v>
      </c>
      <c r="D211" s="7">
        <v>209</v>
      </c>
      <c r="E211" s="8"/>
    </row>
    <row r="212" s="1" customFormat="1" ht="18" customHeight="1" spans="1:5">
      <c r="A212" s="5" t="str">
        <f>"郭教鸾"</f>
        <v>郭教鸾</v>
      </c>
      <c r="B212" s="5" t="str">
        <f>"10101014330"</f>
        <v>10101014330</v>
      </c>
      <c r="C212" s="6">
        <v>70</v>
      </c>
      <c r="D212" s="7">
        <v>210</v>
      </c>
      <c r="E212" s="8"/>
    </row>
    <row r="213" s="1" customFormat="1" ht="18" customHeight="1" spans="1:5">
      <c r="A213" s="5" t="str">
        <f>"周凤娥"</f>
        <v>周凤娥</v>
      </c>
      <c r="B213" s="5" t="str">
        <f>"10101014421"</f>
        <v>10101014421</v>
      </c>
      <c r="C213" s="6">
        <v>70</v>
      </c>
      <c r="D213" s="7">
        <v>211</v>
      </c>
      <c r="E213" s="8"/>
    </row>
    <row r="214" s="1" customFormat="1" ht="18" customHeight="1" spans="1:5">
      <c r="A214" s="5" t="str">
        <f>"林升维"</f>
        <v>林升维</v>
      </c>
      <c r="B214" s="5" t="str">
        <f>"10101014514"</f>
        <v>10101014514</v>
      </c>
      <c r="C214" s="6">
        <v>70</v>
      </c>
      <c r="D214" s="7">
        <v>212</v>
      </c>
      <c r="E214" s="8"/>
    </row>
    <row r="215" s="1" customFormat="1" ht="18" customHeight="1" spans="1:5">
      <c r="A215" s="5" t="str">
        <f>"张丽"</f>
        <v>张丽</v>
      </c>
      <c r="B215" s="5" t="str">
        <f>"10101014526"</f>
        <v>10101014526</v>
      </c>
      <c r="C215" s="6">
        <v>70</v>
      </c>
      <c r="D215" s="7">
        <v>213</v>
      </c>
      <c r="E215" s="8"/>
    </row>
    <row r="216" s="1" customFormat="1" ht="18" customHeight="1" spans="1:5">
      <c r="A216" s="5" t="str">
        <f>"王海燕"</f>
        <v>王海燕</v>
      </c>
      <c r="B216" s="5" t="str">
        <f>"10101014805"</f>
        <v>10101014805</v>
      </c>
      <c r="C216" s="6">
        <v>70</v>
      </c>
      <c r="D216" s="7">
        <v>214</v>
      </c>
      <c r="E216" s="8"/>
    </row>
    <row r="217" s="1" customFormat="1" ht="18" customHeight="1" spans="1:5">
      <c r="A217" s="5" t="str">
        <f>"文音慧"</f>
        <v>文音慧</v>
      </c>
      <c r="B217" s="5" t="str">
        <f>"10101014827"</f>
        <v>10101014827</v>
      </c>
      <c r="C217" s="6">
        <v>70</v>
      </c>
      <c r="D217" s="7">
        <v>215</v>
      </c>
      <c r="E217" s="8"/>
    </row>
    <row r="218" s="1" customFormat="1" ht="18" customHeight="1" spans="1:5">
      <c r="A218" s="5" t="str">
        <f>"张冬梅"</f>
        <v>张冬梅</v>
      </c>
      <c r="B218" s="5" t="str">
        <f>"10101014930"</f>
        <v>10101014930</v>
      </c>
      <c r="C218" s="6">
        <v>70</v>
      </c>
      <c r="D218" s="7">
        <v>216</v>
      </c>
      <c r="E218" s="8"/>
    </row>
    <row r="219" s="1" customFormat="1" ht="18" customHeight="1" spans="1:5">
      <c r="A219" s="5" t="str">
        <f>"陈静"</f>
        <v>陈静</v>
      </c>
      <c r="B219" s="5" t="str">
        <f>"10101015120"</f>
        <v>10101015120</v>
      </c>
      <c r="C219" s="6">
        <v>70</v>
      </c>
      <c r="D219" s="7">
        <v>217</v>
      </c>
      <c r="E219" s="8"/>
    </row>
    <row r="220" s="1" customFormat="1" ht="18" customHeight="1" spans="1:5">
      <c r="A220" s="5" t="str">
        <f>"符有醒"</f>
        <v>符有醒</v>
      </c>
      <c r="B220" s="5" t="str">
        <f>"10101012303"</f>
        <v>10101012303</v>
      </c>
      <c r="C220" s="6">
        <v>69</v>
      </c>
      <c r="D220" s="7">
        <v>218</v>
      </c>
      <c r="E220" s="8"/>
    </row>
    <row r="221" s="1" customFormat="1" ht="18" customHeight="1" spans="1:5">
      <c r="A221" s="5" t="str">
        <f>"卢春燕"</f>
        <v>卢春燕</v>
      </c>
      <c r="B221" s="5" t="str">
        <f>"10101012524"</f>
        <v>10101012524</v>
      </c>
      <c r="C221" s="6">
        <v>69</v>
      </c>
      <c r="D221" s="7">
        <v>219</v>
      </c>
      <c r="E221" s="8"/>
    </row>
    <row r="222" s="1" customFormat="1" ht="18" customHeight="1" spans="1:5">
      <c r="A222" s="5" t="str">
        <f>"卢瑞鹏"</f>
        <v>卢瑞鹏</v>
      </c>
      <c r="B222" s="5" t="str">
        <f>"10101012609"</f>
        <v>10101012609</v>
      </c>
      <c r="C222" s="6">
        <v>69</v>
      </c>
      <c r="D222" s="7">
        <v>220</v>
      </c>
      <c r="E222" s="8"/>
    </row>
    <row r="223" s="1" customFormat="1" ht="18" customHeight="1" spans="1:5">
      <c r="A223" s="5" t="str">
        <f>"赵兴红"</f>
        <v>赵兴红</v>
      </c>
      <c r="B223" s="5" t="str">
        <f>"10101012620"</f>
        <v>10101012620</v>
      </c>
      <c r="C223" s="6">
        <v>69</v>
      </c>
      <c r="D223" s="7">
        <v>221</v>
      </c>
      <c r="E223" s="8"/>
    </row>
    <row r="224" s="1" customFormat="1" ht="18" customHeight="1" spans="1:5">
      <c r="A224" s="5" t="str">
        <f>"符燕美"</f>
        <v>符燕美</v>
      </c>
      <c r="B224" s="5" t="str">
        <f>"10101012808"</f>
        <v>10101012808</v>
      </c>
      <c r="C224" s="6">
        <v>69</v>
      </c>
      <c r="D224" s="7">
        <v>222</v>
      </c>
      <c r="E224" s="8"/>
    </row>
    <row r="225" s="1" customFormat="1" ht="18" customHeight="1" spans="1:5">
      <c r="A225" s="5" t="str">
        <f>"花婷"</f>
        <v>花婷</v>
      </c>
      <c r="B225" s="5" t="str">
        <f>"10101012824"</f>
        <v>10101012824</v>
      </c>
      <c r="C225" s="6">
        <v>69</v>
      </c>
      <c r="D225" s="7">
        <v>223</v>
      </c>
      <c r="E225" s="8"/>
    </row>
    <row r="226" s="1" customFormat="1" ht="18" customHeight="1" spans="1:5">
      <c r="A226" s="5" t="str">
        <f>"陈运燕"</f>
        <v>陈运燕</v>
      </c>
      <c r="B226" s="5" t="str">
        <f>"10101012828"</f>
        <v>10101012828</v>
      </c>
      <c r="C226" s="6">
        <v>69</v>
      </c>
      <c r="D226" s="7">
        <v>224</v>
      </c>
      <c r="E226" s="8"/>
    </row>
    <row r="227" s="1" customFormat="1" ht="18" customHeight="1" spans="1:5">
      <c r="A227" s="5" t="str">
        <f>"林瑜"</f>
        <v>林瑜</v>
      </c>
      <c r="B227" s="5" t="str">
        <f>"10101012926"</f>
        <v>10101012926</v>
      </c>
      <c r="C227" s="6">
        <v>69</v>
      </c>
      <c r="D227" s="7">
        <v>225</v>
      </c>
      <c r="E227" s="8"/>
    </row>
    <row r="228" s="1" customFormat="1" ht="18" customHeight="1" spans="1:5">
      <c r="A228" s="5" t="str">
        <f>"陈淑娟"</f>
        <v>陈淑娟</v>
      </c>
      <c r="B228" s="5" t="str">
        <f>"10101013115"</f>
        <v>10101013115</v>
      </c>
      <c r="C228" s="6">
        <v>69</v>
      </c>
      <c r="D228" s="7">
        <v>226</v>
      </c>
      <c r="E228" s="8"/>
    </row>
    <row r="229" s="1" customFormat="1" ht="18" customHeight="1" spans="1:5">
      <c r="A229" s="5" t="str">
        <f>"符坤究"</f>
        <v>符坤究</v>
      </c>
      <c r="B229" s="5" t="str">
        <f>"10101013130"</f>
        <v>10101013130</v>
      </c>
      <c r="C229" s="6">
        <v>69</v>
      </c>
      <c r="D229" s="7">
        <v>227</v>
      </c>
      <c r="E229" s="8"/>
    </row>
    <row r="230" s="1" customFormat="1" ht="18" customHeight="1" spans="1:5">
      <c r="A230" s="5" t="str">
        <f>"陈燕"</f>
        <v>陈燕</v>
      </c>
      <c r="B230" s="5" t="str">
        <f>"10101013203"</f>
        <v>10101013203</v>
      </c>
      <c r="C230" s="6">
        <v>69</v>
      </c>
      <c r="D230" s="7">
        <v>228</v>
      </c>
      <c r="E230" s="8"/>
    </row>
    <row r="231" s="1" customFormat="1" ht="18" customHeight="1" spans="1:5">
      <c r="A231" s="5" t="str">
        <f>"王鑫"</f>
        <v>王鑫</v>
      </c>
      <c r="B231" s="5" t="str">
        <f>"10101013223"</f>
        <v>10101013223</v>
      </c>
      <c r="C231" s="6">
        <v>69</v>
      </c>
      <c r="D231" s="7">
        <v>229</v>
      </c>
      <c r="E231" s="8"/>
    </row>
    <row r="232" s="1" customFormat="1" ht="18" customHeight="1" spans="1:5">
      <c r="A232" s="5" t="str">
        <f>"陈川莲"</f>
        <v>陈川莲</v>
      </c>
      <c r="B232" s="5" t="str">
        <f>"10101013511"</f>
        <v>10101013511</v>
      </c>
      <c r="C232" s="6">
        <v>69</v>
      </c>
      <c r="D232" s="7">
        <v>230</v>
      </c>
      <c r="E232" s="8"/>
    </row>
    <row r="233" s="1" customFormat="1" ht="18" customHeight="1" spans="1:5">
      <c r="A233" s="5" t="str">
        <f>"陈仕苗"</f>
        <v>陈仕苗</v>
      </c>
      <c r="B233" s="5" t="str">
        <f>"10101013524"</f>
        <v>10101013524</v>
      </c>
      <c r="C233" s="6">
        <v>69</v>
      </c>
      <c r="D233" s="7">
        <v>231</v>
      </c>
      <c r="E233" s="8"/>
    </row>
    <row r="234" s="1" customFormat="1" ht="18" customHeight="1" spans="1:5">
      <c r="A234" s="5" t="str">
        <f>"黎晓芬"</f>
        <v>黎晓芬</v>
      </c>
      <c r="B234" s="5" t="str">
        <f>"10101013627"</f>
        <v>10101013627</v>
      </c>
      <c r="C234" s="6">
        <v>69</v>
      </c>
      <c r="D234" s="7">
        <v>232</v>
      </c>
      <c r="E234" s="8"/>
    </row>
    <row r="235" s="1" customFormat="1" ht="18" customHeight="1" spans="1:5">
      <c r="A235" s="5" t="str">
        <f>"高芳瑶"</f>
        <v>高芳瑶</v>
      </c>
      <c r="B235" s="5" t="str">
        <f>"10101013706"</f>
        <v>10101013706</v>
      </c>
      <c r="C235" s="6">
        <v>69</v>
      </c>
      <c r="D235" s="7">
        <v>233</v>
      </c>
      <c r="E235" s="8"/>
    </row>
    <row r="236" s="1" customFormat="1" ht="18" customHeight="1" spans="1:5">
      <c r="A236" s="5" t="str">
        <f>"林海燕"</f>
        <v>林海燕</v>
      </c>
      <c r="B236" s="5" t="str">
        <f>"10101013803"</f>
        <v>10101013803</v>
      </c>
      <c r="C236" s="6">
        <v>69</v>
      </c>
      <c r="D236" s="7">
        <v>234</v>
      </c>
      <c r="E236" s="8"/>
    </row>
    <row r="237" s="1" customFormat="1" ht="18" customHeight="1" spans="1:5">
      <c r="A237" s="5" t="str">
        <f>"李丹丹"</f>
        <v>李丹丹</v>
      </c>
      <c r="B237" s="5" t="str">
        <f>"10101014008"</f>
        <v>10101014008</v>
      </c>
      <c r="C237" s="6">
        <v>69</v>
      </c>
      <c r="D237" s="7">
        <v>235</v>
      </c>
      <c r="E237" s="8"/>
    </row>
    <row r="238" s="1" customFormat="1" ht="18" customHeight="1" spans="1:5">
      <c r="A238" s="5" t="str">
        <f>"罗圣玲"</f>
        <v>罗圣玲</v>
      </c>
      <c r="B238" s="5" t="str">
        <f>"10101014322"</f>
        <v>10101014322</v>
      </c>
      <c r="C238" s="6">
        <v>69</v>
      </c>
      <c r="D238" s="7">
        <v>236</v>
      </c>
      <c r="E238" s="8"/>
    </row>
    <row r="239" s="1" customFormat="1" ht="18" customHeight="1" spans="1:5">
      <c r="A239" s="5" t="str">
        <f>"符发净"</f>
        <v>符发净</v>
      </c>
      <c r="B239" s="5" t="str">
        <f>"10101014411"</f>
        <v>10101014411</v>
      </c>
      <c r="C239" s="6">
        <v>69</v>
      </c>
      <c r="D239" s="7">
        <v>237</v>
      </c>
      <c r="E239" s="8"/>
    </row>
    <row r="240" s="1" customFormat="1" ht="18" customHeight="1" spans="1:5">
      <c r="A240" s="5" t="str">
        <f>"陈云"</f>
        <v>陈云</v>
      </c>
      <c r="B240" s="5" t="str">
        <f>"10101014621"</f>
        <v>10101014621</v>
      </c>
      <c r="C240" s="6">
        <v>69</v>
      </c>
      <c r="D240" s="7">
        <v>238</v>
      </c>
      <c r="E240" s="8"/>
    </row>
    <row r="241" s="1" customFormat="1" ht="18" customHeight="1" spans="1:5">
      <c r="A241" s="5" t="str">
        <f>"符良锦"</f>
        <v>符良锦</v>
      </c>
      <c r="B241" s="5" t="str">
        <f>"10101014625"</f>
        <v>10101014625</v>
      </c>
      <c r="C241" s="6">
        <v>69</v>
      </c>
      <c r="D241" s="7">
        <v>239</v>
      </c>
      <c r="E241" s="8"/>
    </row>
    <row r="242" s="1" customFormat="1" ht="18" customHeight="1" spans="1:5">
      <c r="A242" s="5" t="str">
        <f>"符含玉"</f>
        <v>符含玉</v>
      </c>
      <c r="B242" s="5" t="str">
        <f>"10101014809"</f>
        <v>10101014809</v>
      </c>
      <c r="C242" s="6">
        <v>69</v>
      </c>
      <c r="D242" s="7">
        <v>240</v>
      </c>
      <c r="E242" s="8"/>
    </row>
    <row r="243" s="1" customFormat="1" ht="18" customHeight="1" spans="1:5">
      <c r="A243" s="5" t="str">
        <f>"文芳兰"</f>
        <v>文芳兰</v>
      </c>
      <c r="B243" s="5" t="str">
        <f>"10101014814"</f>
        <v>10101014814</v>
      </c>
      <c r="C243" s="6">
        <v>69</v>
      </c>
      <c r="D243" s="7">
        <v>241</v>
      </c>
      <c r="E243" s="8"/>
    </row>
    <row r="244" s="1" customFormat="1" ht="18" customHeight="1" spans="1:5">
      <c r="A244" s="5" t="str">
        <f>"吉如通"</f>
        <v>吉如通</v>
      </c>
      <c r="B244" s="5" t="str">
        <f>"10101014907"</f>
        <v>10101014907</v>
      </c>
      <c r="C244" s="6">
        <v>69</v>
      </c>
      <c r="D244" s="7">
        <v>242</v>
      </c>
      <c r="E244" s="8"/>
    </row>
    <row r="245" s="1" customFormat="1" ht="18" customHeight="1" spans="1:5">
      <c r="A245" s="5" t="str">
        <f>"林雅"</f>
        <v>林雅</v>
      </c>
      <c r="B245" s="5" t="str">
        <f>"10101015008"</f>
        <v>10101015008</v>
      </c>
      <c r="C245" s="6">
        <v>69</v>
      </c>
      <c r="D245" s="7">
        <v>243</v>
      </c>
      <c r="E245" s="8"/>
    </row>
    <row r="246" s="1" customFormat="1" ht="18" customHeight="1" spans="1:5">
      <c r="A246" s="5" t="str">
        <f>"张霞"</f>
        <v>张霞</v>
      </c>
      <c r="B246" s="5" t="str">
        <f>"10101015130"</f>
        <v>10101015130</v>
      </c>
      <c r="C246" s="6">
        <v>69</v>
      </c>
      <c r="D246" s="7">
        <v>244</v>
      </c>
      <c r="E246" s="8"/>
    </row>
    <row r="247" s="1" customFormat="1" ht="18" customHeight="1" spans="1:5">
      <c r="A247" s="5" t="str">
        <f>"王执琴"</f>
        <v>王执琴</v>
      </c>
      <c r="B247" s="5" t="str">
        <f>"10101015413"</f>
        <v>10101015413</v>
      </c>
      <c r="C247" s="6">
        <v>69</v>
      </c>
      <c r="D247" s="7">
        <v>245</v>
      </c>
      <c r="E247" s="8"/>
    </row>
    <row r="248" s="1" customFormat="1" ht="18" customHeight="1" spans="1:5">
      <c r="A248" s="5" t="str">
        <f>"林志霞"</f>
        <v>林志霞</v>
      </c>
      <c r="B248" s="5" t="str">
        <f>"10101015416"</f>
        <v>10101015416</v>
      </c>
      <c r="C248" s="6">
        <v>69</v>
      </c>
      <c r="D248" s="7">
        <v>246</v>
      </c>
      <c r="E248" s="8"/>
    </row>
    <row r="249" s="1" customFormat="1" ht="18" customHeight="1" spans="1:5">
      <c r="A249" s="5" t="str">
        <f>"文萃"</f>
        <v>文萃</v>
      </c>
      <c r="B249" s="5" t="str">
        <f>"10101012113"</f>
        <v>10101012113</v>
      </c>
      <c r="C249" s="6">
        <v>68</v>
      </c>
      <c r="D249" s="7">
        <v>247</v>
      </c>
      <c r="E249" s="8"/>
    </row>
    <row r="250" s="1" customFormat="1" ht="18" customHeight="1" spans="1:5">
      <c r="A250" s="5" t="str">
        <f>"张秋美"</f>
        <v>张秋美</v>
      </c>
      <c r="B250" s="5" t="str">
        <f>"10101012226"</f>
        <v>10101012226</v>
      </c>
      <c r="C250" s="6">
        <v>68</v>
      </c>
      <c r="D250" s="7">
        <v>248</v>
      </c>
      <c r="E250" s="8"/>
    </row>
    <row r="251" s="1" customFormat="1" ht="18" customHeight="1" spans="1:5">
      <c r="A251" s="5" t="str">
        <f>"王安敏"</f>
        <v>王安敏</v>
      </c>
      <c r="B251" s="5" t="str">
        <f>"10101012507"</f>
        <v>10101012507</v>
      </c>
      <c r="C251" s="6">
        <v>68</v>
      </c>
      <c r="D251" s="7">
        <v>249</v>
      </c>
      <c r="E251" s="8"/>
    </row>
    <row r="252" s="1" customFormat="1" ht="18" customHeight="1" spans="1:5">
      <c r="A252" s="5" t="str">
        <f>"张达云"</f>
        <v>张达云</v>
      </c>
      <c r="B252" s="5" t="str">
        <f>"10101012523"</f>
        <v>10101012523</v>
      </c>
      <c r="C252" s="6">
        <v>68</v>
      </c>
      <c r="D252" s="7">
        <v>250</v>
      </c>
      <c r="E252" s="8"/>
    </row>
    <row r="253" s="1" customFormat="1" ht="18" customHeight="1" spans="1:5">
      <c r="A253" s="5" t="str">
        <f>"刘莉"</f>
        <v>刘莉</v>
      </c>
      <c r="B253" s="5" t="str">
        <f>"10101012526"</f>
        <v>10101012526</v>
      </c>
      <c r="C253" s="6">
        <v>68</v>
      </c>
      <c r="D253" s="7">
        <v>251</v>
      </c>
      <c r="E253" s="8"/>
    </row>
    <row r="254" s="1" customFormat="1" ht="18" customHeight="1" spans="1:5">
      <c r="A254" s="5" t="str">
        <f>"王少兰"</f>
        <v>王少兰</v>
      </c>
      <c r="B254" s="5" t="str">
        <f>"10101012614"</f>
        <v>10101012614</v>
      </c>
      <c r="C254" s="6">
        <v>68</v>
      </c>
      <c r="D254" s="7">
        <v>252</v>
      </c>
      <c r="E254" s="8"/>
    </row>
    <row r="255" s="1" customFormat="1" ht="18" customHeight="1" spans="1:5">
      <c r="A255" s="5" t="str">
        <f>"符明丹"</f>
        <v>符明丹</v>
      </c>
      <c r="B255" s="5" t="str">
        <f>"10101012714"</f>
        <v>10101012714</v>
      </c>
      <c r="C255" s="6">
        <v>68</v>
      </c>
      <c r="D255" s="7">
        <v>253</v>
      </c>
      <c r="E255" s="8"/>
    </row>
    <row r="256" s="1" customFormat="1" ht="18" customHeight="1" spans="1:5">
      <c r="A256" s="5" t="str">
        <f>"赵学怀"</f>
        <v>赵学怀</v>
      </c>
      <c r="B256" s="5" t="str">
        <f>"10101012803"</f>
        <v>10101012803</v>
      </c>
      <c r="C256" s="6">
        <v>68</v>
      </c>
      <c r="D256" s="7">
        <v>254</v>
      </c>
      <c r="E256" s="8"/>
    </row>
    <row r="257" s="1" customFormat="1" ht="18" customHeight="1" spans="1:5">
      <c r="A257" s="5" t="str">
        <f>"翁燕"</f>
        <v>翁燕</v>
      </c>
      <c r="B257" s="5" t="str">
        <f>"10101012923"</f>
        <v>10101012923</v>
      </c>
      <c r="C257" s="6">
        <v>68</v>
      </c>
      <c r="D257" s="7">
        <v>255</v>
      </c>
      <c r="E257" s="8"/>
    </row>
    <row r="258" s="1" customFormat="1" ht="18" customHeight="1" spans="1:5">
      <c r="A258" s="5" t="str">
        <f>"张深花"</f>
        <v>张深花</v>
      </c>
      <c r="B258" s="5" t="str">
        <f>"10101013105"</f>
        <v>10101013105</v>
      </c>
      <c r="C258" s="6">
        <v>68</v>
      </c>
      <c r="D258" s="7">
        <v>256</v>
      </c>
      <c r="E258" s="8"/>
    </row>
    <row r="259" s="1" customFormat="1" ht="18" customHeight="1" spans="1:5">
      <c r="A259" s="5" t="str">
        <f>"罗崇艳"</f>
        <v>罗崇艳</v>
      </c>
      <c r="B259" s="5" t="str">
        <f>"10101013128"</f>
        <v>10101013128</v>
      </c>
      <c r="C259" s="6">
        <v>68</v>
      </c>
      <c r="D259" s="7">
        <v>257</v>
      </c>
      <c r="E259" s="8"/>
    </row>
    <row r="260" s="1" customFormat="1" ht="18" customHeight="1" spans="1:5">
      <c r="A260" s="5" t="str">
        <f>"李海芳"</f>
        <v>李海芳</v>
      </c>
      <c r="B260" s="5" t="str">
        <f>"10101013321"</f>
        <v>10101013321</v>
      </c>
      <c r="C260" s="6">
        <v>68</v>
      </c>
      <c r="D260" s="7">
        <v>258</v>
      </c>
      <c r="E260" s="8"/>
    </row>
    <row r="261" s="1" customFormat="1" ht="18" customHeight="1" spans="1:5">
      <c r="A261" s="5" t="str">
        <f>"刘良妃"</f>
        <v>刘良妃</v>
      </c>
      <c r="B261" s="5" t="str">
        <f>"10101013401"</f>
        <v>10101013401</v>
      </c>
      <c r="C261" s="6">
        <v>68</v>
      </c>
      <c r="D261" s="7">
        <v>259</v>
      </c>
      <c r="E261" s="8"/>
    </row>
    <row r="262" s="1" customFormat="1" ht="18" customHeight="1" spans="1:5">
      <c r="A262" s="5" t="str">
        <f>"董雅淇"</f>
        <v>董雅淇</v>
      </c>
      <c r="B262" s="5" t="str">
        <f>"10101013414"</f>
        <v>10101013414</v>
      </c>
      <c r="C262" s="6">
        <v>68</v>
      </c>
      <c r="D262" s="7">
        <v>260</v>
      </c>
      <c r="E262" s="8"/>
    </row>
    <row r="263" s="1" customFormat="1" ht="18" customHeight="1" spans="1:5">
      <c r="A263" s="5" t="str">
        <f>"张光芬"</f>
        <v>张光芬</v>
      </c>
      <c r="B263" s="5" t="str">
        <f>"10101013425"</f>
        <v>10101013425</v>
      </c>
      <c r="C263" s="6">
        <v>68</v>
      </c>
      <c r="D263" s="7">
        <v>261</v>
      </c>
      <c r="E263" s="8"/>
    </row>
    <row r="264" s="1" customFormat="1" ht="18" customHeight="1" spans="1:5">
      <c r="A264" s="5" t="str">
        <f>"钟圣玲"</f>
        <v>钟圣玲</v>
      </c>
      <c r="B264" s="5" t="str">
        <f>"10101013501"</f>
        <v>10101013501</v>
      </c>
      <c r="C264" s="6">
        <v>68</v>
      </c>
      <c r="D264" s="7">
        <v>262</v>
      </c>
      <c r="E264" s="8"/>
    </row>
    <row r="265" s="1" customFormat="1" ht="18" customHeight="1" spans="1:5">
      <c r="A265" s="5" t="str">
        <f>"陈柔"</f>
        <v>陈柔</v>
      </c>
      <c r="B265" s="5" t="str">
        <f>"10101013526"</f>
        <v>10101013526</v>
      </c>
      <c r="C265" s="6">
        <v>68</v>
      </c>
      <c r="D265" s="7">
        <v>263</v>
      </c>
      <c r="E265" s="8"/>
    </row>
    <row r="266" s="1" customFormat="1" ht="18" customHeight="1" spans="1:5">
      <c r="A266" s="5" t="str">
        <f>"符雪梅"</f>
        <v>符雪梅</v>
      </c>
      <c r="B266" s="5" t="str">
        <f>"10101013625"</f>
        <v>10101013625</v>
      </c>
      <c r="C266" s="6">
        <v>68</v>
      </c>
      <c r="D266" s="7">
        <v>264</v>
      </c>
      <c r="E266" s="8"/>
    </row>
    <row r="267" s="1" customFormat="1" ht="18" customHeight="1" spans="1:5">
      <c r="A267" s="5" t="str">
        <f>"唐后青"</f>
        <v>唐后青</v>
      </c>
      <c r="B267" s="5" t="str">
        <f>"10101014016"</f>
        <v>10101014016</v>
      </c>
      <c r="C267" s="6">
        <v>68</v>
      </c>
      <c r="D267" s="7">
        <v>265</v>
      </c>
      <c r="E267" s="8"/>
    </row>
    <row r="268" s="1" customFormat="1" ht="18" customHeight="1" spans="1:5">
      <c r="A268" s="5" t="str">
        <f>"张关英"</f>
        <v>张关英</v>
      </c>
      <c r="B268" s="5" t="str">
        <f>"10101014115"</f>
        <v>10101014115</v>
      </c>
      <c r="C268" s="6">
        <v>68</v>
      </c>
      <c r="D268" s="7">
        <v>266</v>
      </c>
      <c r="E268" s="8"/>
    </row>
    <row r="269" s="1" customFormat="1" ht="18" customHeight="1" spans="1:5">
      <c r="A269" s="5" t="str">
        <f>"赵宇"</f>
        <v>赵宇</v>
      </c>
      <c r="B269" s="5" t="str">
        <f>"10101014129"</f>
        <v>10101014129</v>
      </c>
      <c r="C269" s="6">
        <v>68</v>
      </c>
      <c r="D269" s="7">
        <v>267</v>
      </c>
      <c r="E269" s="8"/>
    </row>
    <row r="270" s="1" customFormat="1" ht="18" customHeight="1" spans="1:5">
      <c r="A270" s="5" t="str">
        <f>"符文丹"</f>
        <v>符文丹</v>
      </c>
      <c r="B270" s="5" t="str">
        <f>"10101014312"</f>
        <v>10101014312</v>
      </c>
      <c r="C270" s="6">
        <v>68</v>
      </c>
      <c r="D270" s="7">
        <v>268</v>
      </c>
      <c r="E270" s="8"/>
    </row>
    <row r="271" s="1" customFormat="1" ht="18" customHeight="1" spans="1:5">
      <c r="A271" s="5" t="str">
        <f>"吉训施"</f>
        <v>吉训施</v>
      </c>
      <c r="B271" s="5" t="str">
        <f>"10101014401"</f>
        <v>10101014401</v>
      </c>
      <c r="C271" s="6">
        <v>68</v>
      </c>
      <c r="D271" s="7">
        <v>269</v>
      </c>
      <c r="E271" s="8"/>
    </row>
    <row r="272" s="1" customFormat="1" ht="18" customHeight="1" spans="1:5">
      <c r="A272" s="5" t="str">
        <f>"符昌燕"</f>
        <v>符昌燕</v>
      </c>
      <c r="B272" s="5" t="str">
        <f>"10101014422"</f>
        <v>10101014422</v>
      </c>
      <c r="C272" s="6">
        <v>68</v>
      </c>
      <c r="D272" s="7">
        <v>270</v>
      </c>
      <c r="E272" s="8"/>
    </row>
    <row r="273" s="1" customFormat="1" ht="18" customHeight="1" spans="1:5">
      <c r="A273" s="5" t="str">
        <f>"吉女伟"</f>
        <v>吉女伟</v>
      </c>
      <c r="B273" s="5" t="str">
        <f>"10101014501"</f>
        <v>10101014501</v>
      </c>
      <c r="C273" s="6">
        <v>68</v>
      </c>
      <c r="D273" s="7">
        <v>271</v>
      </c>
      <c r="E273" s="8"/>
    </row>
    <row r="274" s="1" customFormat="1" ht="18" customHeight="1" spans="1:5">
      <c r="A274" s="5" t="str">
        <f>"王芬"</f>
        <v>王芬</v>
      </c>
      <c r="B274" s="5" t="str">
        <f>"10101014603"</f>
        <v>10101014603</v>
      </c>
      <c r="C274" s="6">
        <v>68</v>
      </c>
      <c r="D274" s="7">
        <v>272</v>
      </c>
      <c r="E274" s="8"/>
    </row>
    <row r="275" s="1" customFormat="1" ht="18" customHeight="1" spans="1:5">
      <c r="A275" s="5" t="str">
        <f>"朱恩美"</f>
        <v>朱恩美</v>
      </c>
      <c r="B275" s="5" t="str">
        <f>"10101014701"</f>
        <v>10101014701</v>
      </c>
      <c r="C275" s="6">
        <v>68</v>
      </c>
      <c r="D275" s="7">
        <v>273</v>
      </c>
      <c r="E275" s="8"/>
    </row>
    <row r="276" s="1" customFormat="1" ht="18" customHeight="1" spans="1:5">
      <c r="A276" s="5" t="str">
        <f>"王秀潭"</f>
        <v>王秀潭</v>
      </c>
      <c r="B276" s="5" t="str">
        <f>"10101014704"</f>
        <v>10101014704</v>
      </c>
      <c r="C276" s="6">
        <v>68</v>
      </c>
      <c r="D276" s="7">
        <v>274</v>
      </c>
      <c r="E276" s="8"/>
    </row>
    <row r="277" s="1" customFormat="1" ht="18" customHeight="1" spans="1:5">
      <c r="A277" s="5" t="str">
        <f>"文飘丽"</f>
        <v>文飘丽</v>
      </c>
      <c r="B277" s="5" t="str">
        <f>"10101015205"</f>
        <v>10101015205</v>
      </c>
      <c r="C277" s="6">
        <v>68</v>
      </c>
      <c r="D277" s="7">
        <v>275</v>
      </c>
      <c r="E277" s="8"/>
    </row>
    <row r="278" s="1" customFormat="1" ht="18" customHeight="1" spans="1:5">
      <c r="A278" s="5" t="str">
        <f>"庄亚姑"</f>
        <v>庄亚姑</v>
      </c>
      <c r="B278" s="5" t="str">
        <f>"10101015312"</f>
        <v>10101015312</v>
      </c>
      <c r="C278" s="6">
        <v>68</v>
      </c>
      <c r="D278" s="7">
        <v>276</v>
      </c>
      <c r="E278" s="8"/>
    </row>
    <row r="279" s="1" customFormat="1" ht="18" customHeight="1" spans="1:5">
      <c r="A279" s="5" t="str">
        <f>"陈小凤"</f>
        <v>陈小凤</v>
      </c>
      <c r="B279" s="5" t="str">
        <f>"10101015325"</f>
        <v>10101015325</v>
      </c>
      <c r="C279" s="6">
        <v>68</v>
      </c>
      <c r="D279" s="7">
        <v>277</v>
      </c>
      <c r="E279" s="8" t="s">
        <v>17</v>
      </c>
    </row>
    <row r="280" s="1" customFormat="1" ht="18" customHeight="1" spans="1:5">
      <c r="A280" s="5" t="str">
        <f>"符春丽"</f>
        <v>符春丽</v>
      </c>
      <c r="B280" s="5" t="str">
        <f>"10101015412"</f>
        <v>10101015412</v>
      </c>
      <c r="C280" s="6">
        <v>68</v>
      </c>
      <c r="D280" s="7">
        <v>278</v>
      </c>
      <c r="E280" s="8"/>
    </row>
    <row r="281" s="1" customFormat="1" ht="18" customHeight="1" spans="1:5">
      <c r="A281" s="5" t="str">
        <f>"冯琼碧"</f>
        <v>冯琼碧</v>
      </c>
      <c r="B281" s="5" t="str">
        <f>"10101012505"</f>
        <v>10101012505</v>
      </c>
      <c r="C281" s="6">
        <v>67</v>
      </c>
      <c r="D281" s="7">
        <v>279</v>
      </c>
      <c r="E281" s="8"/>
    </row>
    <row r="282" s="1" customFormat="1" ht="18" customHeight="1" spans="1:5">
      <c r="A282" s="5" t="str">
        <f>"陈冠妹"</f>
        <v>陈冠妹</v>
      </c>
      <c r="B282" s="5" t="str">
        <f>"10101012607"</f>
        <v>10101012607</v>
      </c>
      <c r="C282" s="6">
        <v>67</v>
      </c>
      <c r="D282" s="7">
        <v>280</v>
      </c>
      <c r="E282" s="8"/>
    </row>
    <row r="283" s="1" customFormat="1" ht="18" customHeight="1" spans="1:5">
      <c r="A283" s="5" t="str">
        <f>"林金萍"</f>
        <v>林金萍</v>
      </c>
      <c r="B283" s="5" t="str">
        <f>"10101012619"</f>
        <v>10101012619</v>
      </c>
      <c r="C283" s="6">
        <v>67</v>
      </c>
      <c r="D283" s="7">
        <v>281</v>
      </c>
      <c r="E283" s="8"/>
    </row>
    <row r="284" s="1" customFormat="1" ht="18" customHeight="1" spans="1:5">
      <c r="A284" s="5" t="str">
        <f>"尹晓兰"</f>
        <v>尹晓兰</v>
      </c>
      <c r="B284" s="5" t="str">
        <f>"10101013016"</f>
        <v>10101013016</v>
      </c>
      <c r="C284" s="6">
        <v>67</v>
      </c>
      <c r="D284" s="7">
        <v>282</v>
      </c>
      <c r="E284" s="8"/>
    </row>
    <row r="285" s="1" customFormat="1" ht="18" customHeight="1" spans="1:5">
      <c r="A285" s="5" t="str">
        <f>"冯昌娜"</f>
        <v>冯昌娜</v>
      </c>
      <c r="B285" s="5" t="str">
        <f>"10101013207"</f>
        <v>10101013207</v>
      </c>
      <c r="C285" s="6">
        <v>67</v>
      </c>
      <c r="D285" s="7">
        <v>283</v>
      </c>
      <c r="E285" s="8"/>
    </row>
    <row r="286" s="1" customFormat="1" ht="18" customHeight="1" spans="1:5">
      <c r="A286" s="5" t="str">
        <f>"王达萍"</f>
        <v>王达萍</v>
      </c>
      <c r="B286" s="5" t="str">
        <f>"10101013320"</f>
        <v>10101013320</v>
      </c>
      <c r="C286" s="6">
        <v>67</v>
      </c>
      <c r="D286" s="7">
        <v>284</v>
      </c>
      <c r="E286" s="8"/>
    </row>
    <row r="287" s="1" customFormat="1" ht="18" customHeight="1" spans="1:5">
      <c r="A287" s="5" t="str">
        <f>"秦少凤"</f>
        <v>秦少凤</v>
      </c>
      <c r="B287" s="5" t="str">
        <f>"10101013610"</f>
        <v>10101013610</v>
      </c>
      <c r="C287" s="6">
        <v>67</v>
      </c>
      <c r="D287" s="7">
        <v>285</v>
      </c>
      <c r="E287" s="8"/>
    </row>
    <row r="288" s="1" customFormat="1" ht="18" customHeight="1" spans="1:5">
      <c r="A288" s="5" t="str">
        <f>"张达燕"</f>
        <v>张达燕</v>
      </c>
      <c r="B288" s="5" t="str">
        <f>"10101013617"</f>
        <v>10101013617</v>
      </c>
      <c r="C288" s="6">
        <v>67</v>
      </c>
      <c r="D288" s="7">
        <v>286</v>
      </c>
      <c r="E288" s="8"/>
    </row>
    <row r="289" s="1" customFormat="1" ht="18" customHeight="1" spans="1:5">
      <c r="A289" s="5" t="str">
        <f>"符海娟"</f>
        <v>符海娟</v>
      </c>
      <c r="B289" s="5" t="str">
        <f>"10101013804"</f>
        <v>10101013804</v>
      </c>
      <c r="C289" s="6">
        <v>67</v>
      </c>
      <c r="D289" s="7">
        <v>287</v>
      </c>
      <c r="E289" s="8"/>
    </row>
    <row r="290" s="1" customFormat="1" ht="18" customHeight="1" spans="1:5">
      <c r="A290" s="5" t="str">
        <f>"文海领"</f>
        <v>文海领</v>
      </c>
      <c r="B290" s="5" t="str">
        <f>"10101014027"</f>
        <v>10101014027</v>
      </c>
      <c r="C290" s="6">
        <v>67</v>
      </c>
      <c r="D290" s="7">
        <v>288</v>
      </c>
      <c r="E290" s="8"/>
    </row>
    <row r="291" s="1" customFormat="1" ht="18" customHeight="1" spans="1:5">
      <c r="A291" s="5" t="str">
        <f>"刘世芳"</f>
        <v>刘世芳</v>
      </c>
      <c r="B291" s="5" t="str">
        <f>"10101014106"</f>
        <v>10101014106</v>
      </c>
      <c r="C291" s="6">
        <v>67</v>
      </c>
      <c r="D291" s="7">
        <v>289</v>
      </c>
      <c r="E291" s="8"/>
    </row>
    <row r="292" s="1" customFormat="1" ht="18" customHeight="1" spans="1:5">
      <c r="A292" s="5" t="str">
        <f>"陈慧"</f>
        <v>陈慧</v>
      </c>
      <c r="B292" s="5" t="str">
        <f>"10101014224"</f>
        <v>10101014224</v>
      </c>
      <c r="C292" s="6">
        <v>67</v>
      </c>
      <c r="D292" s="7">
        <v>290</v>
      </c>
      <c r="E292" s="8"/>
    </row>
    <row r="293" s="1" customFormat="1" ht="18" customHeight="1" spans="1:5">
      <c r="A293" s="5" t="str">
        <f>"文秋"</f>
        <v>文秋</v>
      </c>
      <c r="B293" s="5" t="str">
        <f>"10101014328"</f>
        <v>10101014328</v>
      </c>
      <c r="C293" s="6">
        <v>67</v>
      </c>
      <c r="D293" s="7">
        <v>291</v>
      </c>
      <c r="E293" s="8"/>
    </row>
    <row r="294" s="1" customFormat="1" ht="18" customHeight="1" spans="1:5">
      <c r="A294" s="5" t="str">
        <f>"文静"</f>
        <v>文静</v>
      </c>
      <c r="B294" s="5" t="str">
        <f>"10101014522"</f>
        <v>10101014522</v>
      </c>
      <c r="C294" s="6">
        <v>67</v>
      </c>
      <c r="D294" s="7">
        <v>292</v>
      </c>
      <c r="E294" s="8"/>
    </row>
    <row r="295" s="1" customFormat="1" ht="18" customHeight="1" spans="1:5">
      <c r="A295" s="5" t="str">
        <f>"陈慧雅"</f>
        <v>陈慧雅</v>
      </c>
      <c r="B295" s="5" t="str">
        <f>"10101014605"</f>
        <v>10101014605</v>
      </c>
      <c r="C295" s="6">
        <v>67</v>
      </c>
      <c r="D295" s="7">
        <v>293</v>
      </c>
      <c r="E295" s="8"/>
    </row>
    <row r="296" s="1" customFormat="1" ht="18" customHeight="1" spans="1:5">
      <c r="A296" s="5" t="str">
        <f>"张平英"</f>
        <v>张平英</v>
      </c>
      <c r="B296" s="5" t="str">
        <f>"10101014622"</f>
        <v>10101014622</v>
      </c>
      <c r="C296" s="6">
        <v>67</v>
      </c>
      <c r="D296" s="7">
        <v>294</v>
      </c>
      <c r="E296" s="8"/>
    </row>
    <row r="297" s="1" customFormat="1" ht="18" customHeight="1" spans="1:5">
      <c r="A297" s="5" t="str">
        <f>"钟家荣"</f>
        <v>钟家荣</v>
      </c>
      <c r="B297" s="5" t="str">
        <f>"10101014801"</f>
        <v>10101014801</v>
      </c>
      <c r="C297" s="6">
        <v>67</v>
      </c>
      <c r="D297" s="7">
        <v>295</v>
      </c>
      <c r="E297" s="8"/>
    </row>
    <row r="298" s="1" customFormat="1" ht="18" customHeight="1" spans="1:5">
      <c r="A298" s="5" t="str">
        <f>"吴艳霞"</f>
        <v>吴艳霞</v>
      </c>
      <c r="B298" s="5" t="str">
        <f>"10101015026"</f>
        <v>10101015026</v>
      </c>
      <c r="C298" s="6">
        <v>67</v>
      </c>
      <c r="D298" s="7">
        <v>296</v>
      </c>
      <c r="E298" s="8"/>
    </row>
    <row r="299" s="1" customFormat="1" ht="18" customHeight="1" spans="1:5">
      <c r="A299" s="5" t="str">
        <f>"苏训雅"</f>
        <v>苏训雅</v>
      </c>
      <c r="B299" s="5" t="str">
        <f>"10101015208"</f>
        <v>10101015208</v>
      </c>
      <c r="C299" s="6">
        <v>67</v>
      </c>
      <c r="D299" s="7">
        <v>297</v>
      </c>
      <c r="E299" s="8"/>
    </row>
    <row r="300" s="1" customFormat="1" ht="18" customHeight="1" spans="1:5">
      <c r="A300" s="5" t="str">
        <f>"吉小泼"</f>
        <v>吉小泼</v>
      </c>
      <c r="B300" s="5" t="str">
        <f>"10101015322"</f>
        <v>10101015322</v>
      </c>
      <c r="C300" s="6">
        <v>67</v>
      </c>
      <c r="D300" s="7">
        <v>298</v>
      </c>
      <c r="E300" s="8"/>
    </row>
    <row r="301" s="1" customFormat="1" ht="18" customHeight="1" spans="1:5">
      <c r="A301" s="5" t="str">
        <f>"潘先燕"</f>
        <v>潘先燕</v>
      </c>
      <c r="B301" s="5" t="str">
        <f>"10101012104"</f>
        <v>10101012104</v>
      </c>
      <c r="C301" s="6">
        <v>66</v>
      </c>
      <c r="D301" s="7">
        <v>299</v>
      </c>
      <c r="E301" s="8"/>
    </row>
    <row r="302" s="1" customFormat="1" ht="18" customHeight="1" spans="1:5">
      <c r="A302" s="5" t="str">
        <f>"吴芳"</f>
        <v>吴芳</v>
      </c>
      <c r="B302" s="5" t="str">
        <f>"10101012114"</f>
        <v>10101012114</v>
      </c>
      <c r="C302" s="6">
        <v>66</v>
      </c>
      <c r="D302" s="7">
        <v>300</v>
      </c>
      <c r="E302" s="8"/>
    </row>
    <row r="303" s="1" customFormat="1" ht="18" customHeight="1" spans="1:5">
      <c r="A303" s="5" t="str">
        <f>"杨亚二"</f>
        <v>杨亚二</v>
      </c>
      <c r="B303" s="5" t="str">
        <f>"10101012321"</f>
        <v>10101012321</v>
      </c>
      <c r="C303" s="6">
        <v>66</v>
      </c>
      <c r="D303" s="7">
        <v>301</v>
      </c>
      <c r="E303" s="8"/>
    </row>
    <row r="304" s="1" customFormat="1" ht="18" customHeight="1" spans="1:5">
      <c r="A304" s="5" t="str">
        <f>"陈春玲"</f>
        <v>陈春玲</v>
      </c>
      <c r="B304" s="5" t="str">
        <f>"10101012325"</f>
        <v>10101012325</v>
      </c>
      <c r="C304" s="6">
        <v>66</v>
      </c>
      <c r="D304" s="7">
        <v>302</v>
      </c>
      <c r="E304" s="8"/>
    </row>
    <row r="305" s="1" customFormat="1" ht="18" customHeight="1" spans="1:5">
      <c r="A305" s="5" t="str">
        <f>"陈永飞"</f>
        <v>陈永飞</v>
      </c>
      <c r="B305" s="5" t="str">
        <f>"10101012410"</f>
        <v>10101012410</v>
      </c>
      <c r="C305" s="6">
        <v>66</v>
      </c>
      <c r="D305" s="7">
        <v>303</v>
      </c>
      <c r="E305" s="8"/>
    </row>
    <row r="306" s="1" customFormat="1" ht="18" customHeight="1" spans="1:5">
      <c r="A306" s="5" t="str">
        <f>"陈芝"</f>
        <v>陈芝</v>
      </c>
      <c r="B306" s="5" t="str">
        <f>"10101012611"</f>
        <v>10101012611</v>
      </c>
      <c r="C306" s="6">
        <v>66</v>
      </c>
      <c r="D306" s="7">
        <v>304</v>
      </c>
      <c r="E306" s="8"/>
    </row>
    <row r="307" s="1" customFormat="1" ht="18" customHeight="1" spans="1:5">
      <c r="A307" s="5" t="str">
        <f>"王隆梅"</f>
        <v>王隆梅</v>
      </c>
      <c r="B307" s="5" t="str">
        <f>"10101012712"</f>
        <v>10101012712</v>
      </c>
      <c r="C307" s="6">
        <v>66</v>
      </c>
      <c r="D307" s="7">
        <v>305</v>
      </c>
      <c r="E307" s="8"/>
    </row>
    <row r="308" s="1" customFormat="1" ht="18" customHeight="1" spans="1:5">
      <c r="A308" s="5" t="str">
        <f>"符林姣"</f>
        <v>符林姣</v>
      </c>
      <c r="B308" s="5" t="str">
        <f>"10101012807"</f>
        <v>10101012807</v>
      </c>
      <c r="C308" s="6">
        <v>66</v>
      </c>
      <c r="D308" s="7">
        <v>306</v>
      </c>
      <c r="E308" s="8"/>
    </row>
    <row r="309" s="1" customFormat="1" ht="18" customHeight="1" spans="1:5">
      <c r="A309" s="5" t="str">
        <f>"倪晓凤"</f>
        <v>倪晓凤</v>
      </c>
      <c r="B309" s="5" t="str">
        <f>"10101012924"</f>
        <v>10101012924</v>
      </c>
      <c r="C309" s="6">
        <v>66</v>
      </c>
      <c r="D309" s="7">
        <v>307</v>
      </c>
      <c r="E309" s="8"/>
    </row>
    <row r="310" s="1" customFormat="1" ht="18" customHeight="1" spans="1:5">
      <c r="A310" s="5" t="str">
        <f>"符运燕"</f>
        <v>符运燕</v>
      </c>
      <c r="B310" s="5" t="str">
        <f>"10101013117"</f>
        <v>10101013117</v>
      </c>
      <c r="C310" s="6">
        <v>66</v>
      </c>
      <c r="D310" s="7">
        <v>308</v>
      </c>
      <c r="E310" s="8"/>
    </row>
    <row r="311" s="1" customFormat="1" ht="18" customHeight="1" spans="1:5">
      <c r="A311" s="5" t="str">
        <f>"陈强丽"</f>
        <v>陈强丽</v>
      </c>
      <c r="B311" s="5" t="str">
        <f>"10101013717"</f>
        <v>10101013717</v>
      </c>
      <c r="C311" s="6">
        <v>66</v>
      </c>
      <c r="D311" s="7">
        <v>309</v>
      </c>
      <c r="E311" s="8"/>
    </row>
    <row r="312" s="1" customFormat="1" ht="18" customHeight="1" spans="1:5">
      <c r="A312" s="5" t="str">
        <f>"梅平凤"</f>
        <v>梅平凤</v>
      </c>
      <c r="B312" s="5" t="str">
        <f>"10101013828"</f>
        <v>10101013828</v>
      </c>
      <c r="C312" s="6">
        <v>66</v>
      </c>
      <c r="D312" s="7">
        <v>310</v>
      </c>
      <c r="E312" s="8"/>
    </row>
    <row r="313" s="1" customFormat="1" ht="18" customHeight="1" spans="1:5">
      <c r="A313" s="5" t="str">
        <f>"符亮孙"</f>
        <v>符亮孙</v>
      </c>
      <c r="B313" s="5" t="str">
        <f>"10101014004"</f>
        <v>10101014004</v>
      </c>
      <c r="C313" s="6">
        <v>66</v>
      </c>
      <c r="D313" s="7">
        <v>311</v>
      </c>
      <c r="E313" s="8"/>
    </row>
    <row r="314" s="1" customFormat="1" ht="18" customHeight="1" spans="1:5">
      <c r="A314" s="5" t="str">
        <f>"许兰鲜"</f>
        <v>许兰鲜</v>
      </c>
      <c r="B314" s="5" t="str">
        <f>"10101014110"</f>
        <v>10101014110</v>
      </c>
      <c r="C314" s="6">
        <v>66</v>
      </c>
      <c r="D314" s="7">
        <v>312</v>
      </c>
      <c r="E314" s="8"/>
    </row>
    <row r="315" s="1" customFormat="1" ht="18" customHeight="1" spans="1:5">
      <c r="A315" s="5" t="str">
        <f>"文昌召"</f>
        <v>文昌召</v>
      </c>
      <c r="B315" s="5" t="str">
        <f>"10101014201"</f>
        <v>10101014201</v>
      </c>
      <c r="C315" s="6">
        <v>66</v>
      </c>
      <c r="D315" s="7">
        <v>313</v>
      </c>
      <c r="E315" s="8"/>
    </row>
    <row r="316" s="1" customFormat="1" ht="18" customHeight="1" spans="1:5">
      <c r="A316" s="5" t="str">
        <f>"朱佳丽"</f>
        <v>朱佳丽</v>
      </c>
      <c r="B316" s="5" t="str">
        <f>"10101014613"</f>
        <v>10101014613</v>
      </c>
      <c r="C316" s="6">
        <v>66</v>
      </c>
      <c r="D316" s="7">
        <v>314</v>
      </c>
      <c r="E316" s="8"/>
    </row>
    <row r="317" s="1" customFormat="1" ht="18" customHeight="1" spans="1:5">
      <c r="A317" s="5" t="str">
        <f>"朱美霏"</f>
        <v>朱美霏</v>
      </c>
      <c r="B317" s="5" t="str">
        <f>"10101014616"</f>
        <v>10101014616</v>
      </c>
      <c r="C317" s="6">
        <v>66</v>
      </c>
      <c r="D317" s="7">
        <v>315</v>
      </c>
      <c r="E317" s="8"/>
    </row>
    <row r="318" s="1" customFormat="1" ht="18" customHeight="1" spans="1:5">
      <c r="A318" s="5" t="str">
        <f>"高家艳"</f>
        <v>高家艳</v>
      </c>
      <c r="B318" s="5" t="str">
        <f>"10101014624"</f>
        <v>10101014624</v>
      </c>
      <c r="C318" s="6">
        <v>66</v>
      </c>
      <c r="D318" s="7">
        <v>316</v>
      </c>
      <c r="E318" s="8"/>
    </row>
    <row r="319" s="1" customFormat="1" ht="18" customHeight="1" spans="1:5">
      <c r="A319" s="5" t="str">
        <f>"王丽"</f>
        <v>王丽</v>
      </c>
      <c r="B319" s="5" t="str">
        <f>"10101015318"</f>
        <v>10101015318</v>
      </c>
      <c r="C319" s="6">
        <v>66</v>
      </c>
      <c r="D319" s="7">
        <v>317</v>
      </c>
      <c r="E319" s="8" t="s">
        <v>18</v>
      </c>
    </row>
    <row r="320" s="1" customFormat="1" ht="18" customHeight="1" spans="1:5">
      <c r="A320" s="5" t="str">
        <f>"文妹"</f>
        <v>文妹</v>
      </c>
      <c r="B320" s="5" t="str">
        <f>"10101015324"</f>
        <v>10101015324</v>
      </c>
      <c r="C320" s="6">
        <v>66</v>
      </c>
      <c r="D320" s="7">
        <v>318</v>
      </c>
      <c r="E320" s="8"/>
    </row>
    <row r="321" s="1" customFormat="1" ht="18" customHeight="1" spans="1:5">
      <c r="A321" s="5" t="str">
        <f>"张汉玉"</f>
        <v>张汉玉</v>
      </c>
      <c r="B321" s="5" t="str">
        <f>"10101015326"</f>
        <v>10101015326</v>
      </c>
      <c r="C321" s="6">
        <v>66</v>
      </c>
      <c r="D321" s="7">
        <v>319</v>
      </c>
      <c r="E321" s="8"/>
    </row>
    <row r="322" s="1" customFormat="1" ht="18" customHeight="1" spans="1:5">
      <c r="A322" s="5" t="str">
        <f>"文春群"</f>
        <v>文春群</v>
      </c>
      <c r="B322" s="5" t="str">
        <f>"10101015507"</f>
        <v>10101015507</v>
      </c>
      <c r="C322" s="6">
        <v>66</v>
      </c>
      <c r="D322" s="7">
        <v>320</v>
      </c>
      <c r="E322" s="8"/>
    </row>
    <row r="323" s="1" customFormat="1" ht="18" customHeight="1" spans="1:5">
      <c r="A323" s="5" t="str">
        <f>"陈明慧"</f>
        <v>陈明慧</v>
      </c>
      <c r="B323" s="5" t="str">
        <f>"10101012125"</f>
        <v>10101012125</v>
      </c>
      <c r="C323" s="6">
        <v>65</v>
      </c>
      <c r="D323" s="7">
        <v>321</v>
      </c>
      <c r="E323" s="8"/>
    </row>
    <row r="324" s="1" customFormat="1" ht="18" customHeight="1" spans="1:5">
      <c r="A324" s="5" t="str">
        <f>"王卿"</f>
        <v>王卿</v>
      </c>
      <c r="B324" s="5" t="str">
        <f>"10101012127"</f>
        <v>10101012127</v>
      </c>
      <c r="C324" s="6">
        <v>65</v>
      </c>
      <c r="D324" s="7">
        <v>322</v>
      </c>
      <c r="E324" s="8" t="s">
        <v>19</v>
      </c>
    </row>
    <row r="325" s="1" customFormat="1" ht="18" customHeight="1" spans="1:5">
      <c r="A325" s="5" t="str">
        <f>"麦名秀"</f>
        <v>麦名秀</v>
      </c>
      <c r="B325" s="5" t="str">
        <f>"10101012128"</f>
        <v>10101012128</v>
      </c>
      <c r="C325" s="6">
        <v>65</v>
      </c>
      <c r="D325" s="7">
        <v>323</v>
      </c>
      <c r="E325" s="8"/>
    </row>
    <row r="326" s="1" customFormat="1" ht="18" customHeight="1" spans="1:5">
      <c r="A326" s="5" t="str">
        <f>"林丽珍"</f>
        <v>林丽珍</v>
      </c>
      <c r="B326" s="5" t="str">
        <f>"10101012206"</f>
        <v>10101012206</v>
      </c>
      <c r="C326" s="6">
        <v>65</v>
      </c>
      <c r="D326" s="7">
        <v>324</v>
      </c>
      <c r="E326" s="8"/>
    </row>
    <row r="327" s="1" customFormat="1" ht="18" customHeight="1" spans="1:5">
      <c r="A327" s="5" t="str">
        <f>"文龙金"</f>
        <v>文龙金</v>
      </c>
      <c r="B327" s="5" t="str">
        <f>"10101012213"</f>
        <v>10101012213</v>
      </c>
      <c r="C327" s="6">
        <v>65</v>
      </c>
      <c r="D327" s="7">
        <v>325</v>
      </c>
      <c r="E327" s="8"/>
    </row>
    <row r="328" s="1" customFormat="1" ht="18" customHeight="1" spans="1:5">
      <c r="A328" s="5" t="str">
        <f>"林媚"</f>
        <v>林媚</v>
      </c>
      <c r="B328" s="5" t="str">
        <f>"10101012314"</f>
        <v>10101012314</v>
      </c>
      <c r="C328" s="6">
        <v>65</v>
      </c>
      <c r="D328" s="7">
        <v>326</v>
      </c>
      <c r="E328" s="8"/>
    </row>
    <row r="329" s="1" customFormat="1" ht="18" customHeight="1" spans="1:5">
      <c r="A329" s="5" t="str">
        <f>"方玉"</f>
        <v>方玉</v>
      </c>
      <c r="B329" s="5" t="str">
        <f>"10101012420"</f>
        <v>10101012420</v>
      </c>
      <c r="C329" s="6">
        <v>65</v>
      </c>
      <c r="D329" s="7">
        <v>327</v>
      </c>
      <c r="E329" s="8"/>
    </row>
    <row r="330" s="1" customFormat="1" ht="18" customHeight="1" spans="1:5">
      <c r="A330" s="5" t="str">
        <f>"吉唐叶"</f>
        <v>吉唐叶</v>
      </c>
      <c r="B330" s="5" t="str">
        <f>"10101012623"</f>
        <v>10101012623</v>
      </c>
      <c r="C330" s="6">
        <v>65</v>
      </c>
      <c r="D330" s="7">
        <v>328</v>
      </c>
      <c r="E330" s="8"/>
    </row>
    <row r="331" s="1" customFormat="1" ht="18" customHeight="1" spans="1:5">
      <c r="A331" s="5" t="str">
        <f>"符兰云"</f>
        <v>符兰云</v>
      </c>
      <c r="B331" s="5" t="str">
        <f>"10101012629"</f>
        <v>10101012629</v>
      </c>
      <c r="C331" s="6">
        <v>65</v>
      </c>
      <c r="D331" s="7">
        <v>329</v>
      </c>
      <c r="E331" s="8"/>
    </row>
    <row r="332" s="1" customFormat="1" ht="18" customHeight="1" spans="1:5">
      <c r="A332" s="5" t="str">
        <f>"黄匀"</f>
        <v>黄匀</v>
      </c>
      <c r="B332" s="5" t="str">
        <f>"10101012901"</f>
        <v>10101012901</v>
      </c>
      <c r="C332" s="6">
        <v>65</v>
      </c>
      <c r="D332" s="7">
        <v>330</v>
      </c>
      <c r="E332" s="8"/>
    </row>
    <row r="333" s="1" customFormat="1" ht="18" customHeight="1" spans="1:5">
      <c r="A333" s="5" t="str">
        <f>"朱双欢"</f>
        <v>朱双欢</v>
      </c>
      <c r="B333" s="5" t="str">
        <f>"10101013125"</f>
        <v>10101013125</v>
      </c>
      <c r="C333" s="6">
        <v>65</v>
      </c>
      <c r="D333" s="7">
        <v>331</v>
      </c>
      <c r="E333" s="8"/>
    </row>
    <row r="334" s="1" customFormat="1" ht="18" customHeight="1" spans="1:5">
      <c r="A334" s="5" t="str">
        <f>"符晓菲"</f>
        <v>符晓菲</v>
      </c>
      <c r="B334" s="5" t="str">
        <f>"10101013206"</f>
        <v>10101013206</v>
      </c>
      <c r="C334" s="6">
        <v>65</v>
      </c>
      <c r="D334" s="7">
        <v>332</v>
      </c>
      <c r="E334" s="8"/>
    </row>
    <row r="335" s="1" customFormat="1" ht="18" customHeight="1" spans="1:5">
      <c r="A335" s="5" t="str">
        <f>"沈佳欣"</f>
        <v>沈佳欣</v>
      </c>
      <c r="B335" s="5" t="str">
        <f>"10101013208"</f>
        <v>10101013208</v>
      </c>
      <c r="C335" s="6">
        <v>65</v>
      </c>
      <c r="D335" s="7">
        <v>333</v>
      </c>
      <c r="E335" s="8"/>
    </row>
    <row r="336" s="1" customFormat="1" ht="18" customHeight="1" spans="1:5">
      <c r="A336" s="5" t="str">
        <f>"郭秀芳"</f>
        <v>郭秀芳</v>
      </c>
      <c r="B336" s="5" t="str">
        <f>"10101013310"</f>
        <v>10101013310</v>
      </c>
      <c r="C336" s="6">
        <v>65</v>
      </c>
      <c r="D336" s="7">
        <v>334</v>
      </c>
      <c r="E336" s="8"/>
    </row>
    <row r="337" s="1" customFormat="1" ht="18" customHeight="1" spans="1:5">
      <c r="A337" s="5" t="str">
        <f>"曾学凤"</f>
        <v>曾学凤</v>
      </c>
      <c r="B337" s="5" t="str">
        <f>"10101013408"</f>
        <v>10101013408</v>
      </c>
      <c r="C337" s="6">
        <v>65</v>
      </c>
      <c r="D337" s="7">
        <v>335</v>
      </c>
      <c r="E337" s="8"/>
    </row>
    <row r="338" s="1" customFormat="1" ht="18" customHeight="1" spans="1:5">
      <c r="A338" s="5" t="str">
        <f>"曾志丹"</f>
        <v>曾志丹</v>
      </c>
      <c r="B338" s="5" t="str">
        <f>"10101013510"</f>
        <v>10101013510</v>
      </c>
      <c r="C338" s="6">
        <v>65</v>
      </c>
      <c r="D338" s="7">
        <v>336</v>
      </c>
      <c r="E338" s="8"/>
    </row>
    <row r="339" s="1" customFormat="1" ht="18" customHeight="1" spans="1:5">
      <c r="A339" s="5" t="str">
        <f>"赵越"</f>
        <v>赵越</v>
      </c>
      <c r="B339" s="5" t="str">
        <f>"10101013514"</f>
        <v>10101013514</v>
      </c>
      <c r="C339" s="6">
        <v>65</v>
      </c>
      <c r="D339" s="7">
        <v>337</v>
      </c>
      <c r="E339" s="8"/>
    </row>
    <row r="340" s="1" customFormat="1" ht="18" customHeight="1" spans="1:5">
      <c r="A340" s="5" t="str">
        <f>"张立葶"</f>
        <v>张立葶</v>
      </c>
      <c r="B340" s="5" t="str">
        <f>"10101013618"</f>
        <v>10101013618</v>
      </c>
      <c r="C340" s="6">
        <v>65</v>
      </c>
      <c r="D340" s="7">
        <v>338</v>
      </c>
      <c r="E340" s="8"/>
    </row>
    <row r="341" s="1" customFormat="1" ht="18" customHeight="1" spans="1:5">
      <c r="A341" s="5" t="str">
        <f>"莫小婕"</f>
        <v>莫小婕</v>
      </c>
      <c r="B341" s="5" t="str">
        <f>"10101013708"</f>
        <v>10101013708</v>
      </c>
      <c r="C341" s="6">
        <v>65</v>
      </c>
      <c r="D341" s="7">
        <v>339</v>
      </c>
      <c r="E341" s="8"/>
    </row>
    <row r="342" s="1" customFormat="1" ht="18" customHeight="1" spans="1:5">
      <c r="A342" s="5" t="str">
        <f>"陈明霞"</f>
        <v>陈明霞</v>
      </c>
      <c r="B342" s="5" t="str">
        <f>"10101013710"</f>
        <v>10101013710</v>
      </c>
      <c r="C342" s="6">
        <v>65</v>
      </c>
      <c r="D342" s="7">
        <v>340</v>
      </c>
      <c r="E342" s="8"/>
    </row>
    <row r="343" s="1" customFormat="1" ht="18" customHeight="1" spans="1:5">
      <c r="A343" s="5" t="str">
        <f>"符晓慧"</f>
        <v>符晓慧</v>
      </c>
      <c r="B343" s="5" t="str">
        <f>"10101013809"</f>
        <v>10101013809</v>
      </c>
      <c r="C343" s="6">
        <v>65</v>
      </c>
      <c r="D343" s="7">
        <v>341</v>
      </c>
      <c r="E343" s="8"/>
    </row>
    <row r="344" s="1" customFormat="1" ht="18" customHeight="1" spans="1:5">
      <c r="A344" s="5" t="str">
        <f>"王秀莎"</f>
        <v>王秀莎</v>
      </c>
      <c r="B344" s="5" t="str">
        <f>"10101013912"</f>
        <v>10101013912</v>
      </c>
      <c r="C344" s="6">
        <v>65</v>
      </c>
      <c r="D344" s="7">
        <v>342</v>
      </c>
      <c r="E344" s="8"/>
    </row>
    <row r="345" s="1" customFormat="1" ht="18" customHeight="1" spans="1:5">
      <c r="A345" s="5" t="str">
        <f>"梁静"</f>
        <v>梁静</v>
      </c>
      <c r="B345" s="5" t="str">
        <f>"10101014024"</f>
        <v>10101014024</v>
      </c>
      <c r="C345" s="6">
        <v>65</v>
      </c>
      <c r="D345" s="7">
        <v>343</v>
      </c>
      <c r="E345" s="8"/>
    </row>
    <row r="346" s="1" customFormat="1" ht="18" customHeight="1" spans="1:5">
      <c r="A346" s="5" t="str">
        <f>"刘惠珍"</f>
        <v>刘惠珍</v>
      </c>
      <c r="B346" s="5" t="str">
        <f>"10101014113"</f>
        <v>10101014113</v>
      </c>
      <c r="C346" s="6">
        <v>65</v>
      </c>
      <c r="D346" s="7">
        <v>344</v>
      </c>
      <c r="E346" s="8"/>
    </row>
    <row r="347" s="1" customFormat="1" ht="18" customHeight="1" spans="1:5">
      <c r="A347" s="5" t="str">
        <f>"陈珏"</f>
        <v>陈珏</v>
      </c>
      <c r="B347" s="5" t="str">
        <f>"10101014202"</f>
        <v>10101014202</v>
      </c>
      <c r="C347" s="6">
        <v>65</v>
      </c>
      <c r="D347" s="7">
        <v>345</v>
      </c>
      <c r="E347" s="8"/>
    </row>
    <row r="348" s="1" customFormat="1" ht="18" customHeight="1" spans="1:5">
      <c r="A348" s="5" t="str">
        <f>"陈德意"</f>
        <v>陈德意</v>
      </c>
      <c r="B348" s="5" t="str">
        <f>"10101014319"</f>
        <v>10101014319</v>
      </c>
      <c r="C348" s="6">
        <v>65</v>
      </c>
      <c r="D348" s="7">
        <v>346</v>
      </c>
      <c r="E348" s="8"/>
    </row>
    <row r="349" s="1" customFormat="1" ht="18" customHeight="1" spans="1:5">
      <c r="A349" s="5" t="str">
        <f>"苏美菲"</f>
        <v>苏美菲</v>
      </c>
      <c r="B349" s="5" t="str">
        <f>"10101014512"</f>
        <v>10101014512</v>
      </c>
      <c r="C349" s="6">
        <v>65</v>
      </c>
      <c r="D349" s="7">
        <v>347</v>
      </c>
      <c r="E349" s="8"/>
    </row>
    <row r="350" s="1" customFormat="1" ht="18" customHeight="1" spans="1:5">
      <c r="A350" s="5" t="str">
        <f>"阮佳"</f>
        <v>阮佳</v>
      </c>
      <c r="B350" s="5" t="str">
        <f>"10101014523"</f>
        <v>10101014523</v>
      </c>
      <c r="C350" s="6">
        <v>65</v>
      </c>
      <c r="D350" s="7">
        <v>348</v>
      </c>
      <c r="E350" s="8"/>
    </row>
    <row r="351" s="1" customFormat="1" ht="18" customHeight="1" spans="1:5">
      <c r="A351" s="5" t="str">
        <f>"史克娇"</f>
        <v>史克娇</v>
      </c>
      <c r="B351" s="5" t="str">
        <f>"10101015020"</f>
        <v>10101015020</v>
      </c>
      <c r="C351" s="6">
        <v>65</v>
      </c>
      <c r="D351" s="7">
        <v>349</v>
      </c>
      <c r="E351" s="8"/>
    </row>
    <row r="352" s="1" customFormat="1" ht="18" customHeight="1" spans="1:5">
      <c r="A352" s="5" t="str">
        <f>"卢运莹"</f>
        <v>卢运莹</v>
      </c>
      <c r="B352" s="5" t="str">
        <f>"10101015329"</f>
        <v>10101015329</v>
      </c>
      <c r="C352" s="6">
        <v>65</v>
      </c>
      <c r="D352" s="7">
        <v>350</v>
      </c>
      <c r="E352" s="8"/>
    </row>
    <row r="353" s="1" customFormat="1" ht="18" customHeight="1" spans="1:5">
      <c r="A353" s="5" t="str">
        <f>"卞华英"</f>
        <v>卞华英</v>
      </c>
      <c r="B353" s="5" t="str">
        <f>"10101012112"</f>
        <v>10101012112</v>
      </c>
      <c r="C353" s="6">
        <v>64</v>
      </c>
      <c r="D353" s="7">
        <v>351</v>
      </c>
      <c r="E353" s="8"/>
    </row>
    <row r="354" s="1" customFormat="1" ht="18" customHeight="1" spans="1:5">
      <c r="A354" s="5" t="str">
        <f>"裴丽珍"</f>
        <v>裴丽珍</v>
      </c>
      <c r="B354" s="5" t="str">
        <f>"10101012313"</f>
        <v>10101012313</v>
      </c>
      <c r="C354" s="6">
        <v>64</v>
      </c>
      <c r="D354" s="7">
        <v>352</v>
      </c>
      <c r="E354" s="8"/>
    </row>
    <row r="355" s="1" customFormat="1" ht="18" customHeight="1" spans="1:5">
      <c r="A355" s="5" t="str">
        <f>"林道婷"</f>
        <v>林道婷</v>
      </c>
      <c r="B355" s="5" t="str">
        <f>"10101012318"</f>
        <v>10101012318</v>
      </c>
      <c r="C355" s="6">
        <v>64</v>
      </c>
      <c r="D355" s="7">
        <v>353</v>
      </c>
      <c r="E355" s="8"/>
    </row>
    <row r="356" s="1" customFormat="1" ht="18" customHeight="1" spans="1:5">
      <c r="A356" s="5" t="str">
        <f>"符开婷"</f>
        <v>符开婷</v>
      </c>
      <c r="B356" s="5" t="str">
        <f>"10101012319"</f>
        <v>10101012319</v>
      </c>
      <c r="C356" s="6">
        <v>64</v>
      </c>
      <c r="D356" s="7">
        <v>354</v>
      </c>
      <c r="E356" s="8"/>
    </row>
    <row r="357" s="1" customFormat="1" ht="18" customHeight="1" spans="1:5">
      <c r="A357" s="5" t="str">
        <f>"胡玲珍"</f>
        <v>胡玲珍</v>
      </c>
      <c r="B357" s="5" t="str">
        <f>"10101012320"</f>
        <v>10101012320</v>
      </c>
      <c r="C357" s="6">
        <v>64</v>
      </c>
      <c r="D357" s="7">
        <v>355</v>
      </c>
      <c r="E357" s="8"/>
    </row>
    <row r="358" s="1" customFormat="1" ht="18" customHeight="1" spans="1:5">
      <c r="A358" s="5" t="str">
        <f>"唐传妃"</f>
        <v>唐传妃</v>
      </c>
      <c r="B358" s="5" t="str">
        <f>"10101012604"</f>
        <v>10101012604</v>
      </c>
      <c r="C358" s="6">
        <v>64</v>
      </c>
      <c r="D358" s="7">
        <v>356</v>
      </c>
      <c r="E358" s="8"/>
    </row>
    <row r="359" s="1" customFormat="1" ht="18" customHeight="1" spans="1:5">
      <c r="A359" s="5" t="str">
        <f>"符燕春"</f>
        <v>符燕春</v>
      </c>
      <c r="B359" s="5" t="str">
        <f>"10101012624"</f>
        <v>10101012624</v>
      </c>
      <c r="C359" s="6">
        <v>64</v>
      </c>
      <c r="D359" s="7">
        <v>357</v>
      </c>
      <c r="E359" s="8"/>
    </row>
    <row r="360" s="1" customFormat="1" ht="18" customHeight="1" spans="1:5">
      <c r="A360" s="5" t="str">
        <f>"陈安筱"</f>
        <v>陈安筱</v>
      </c>
      <c r="B360" s="5" t="str">
        <f>"10101012625"</f>
        <v>10101012625</v>
      </c>
      <c r="C360" s="6">
        <v>64</v>
      </c>
      <c r="D360" s="7">
        <v>358</v>
      </c>
      <c r="E360" s="8"/>
    </row>
    <row r="361" s="1" customFormat="1" ht="18" customHeight="1" spans="1:5">
      <c r="A361" s="5" t="str">
        <f>"符发英"</f>
        <v>符发英</v>
      </c>
      <c r="B361" s="5" t="str">
        <f>"10101012728"</f>
        <v>10101012728</v>
      </c>
      <c r="C361" s="6">
        <v>64</v>
      </c>
      <c r="D361" s="7">
        <v>359</v>
      </c>
      <c r="E361" s="8"/>
    </row>
    <row r="362" s="1" customFormat="1" ht="18" customHeight="1" spans="1:5">
      <c r="A362" s="5" t="str">
        <f>"符宣萱"</f>
        <v>符宣萱</v>
      </c>
      <c r="B362" s="5" t="str">
        <f>"10101012801"</f>
        <v>10101012801</v>
      </c>
      <c r="C362" s="6">
        <v>64</v>
      </c>
      <c r="D362" s="7">
        <v>360</v>
      </c>
      <c r="E362" s="8"/>
    </row>
    <row r="363" s="1" customFormat="1" ht="18" customHeight="1" spans="1:5">
      <c r="A363" s="5" t="str">
        <f>"符晓丽"</f>
        <v>符晓丽</v>
      </c>
      <c r="B363" s="5" t="str">
        <f>"10101013118"</f>
        <v>10101013118</v>
      </c>
      <c r="C363" s="6">
        <v>64</v>
      </c>
      <c r="D363" s="7">
        <v>361</v>
      </c>
      <c r="E363" s="8"/>
    </row>
    <row r="364" s="1" customFormat="1" ht="18" customHeight="1" spans="1:5">
      <c r="A364" s="5" t="str">
        <f>"林小宽"</f>
        <v>林小宽</v>
      </c>
      <c r="B364" s="5" t="str">
        <f>"10101013312"</f>
        <v>10101013312</v>
      </c>
      <c r="C364" s="6">
        <v>64</v>
      </c>
      <c r="D364" s="7">
        <v>362</v>
      </c>
      <c r="E364" s="8"/>
    </row>
    <row r="365" s="1" customFormat="1" ht="18" customHeight="1" spans="1:5">
      <c r="A365" s="5" t="str">
        <f>"李小兰"</f>
        <v>李小兰</v>
      </c>
      <c r="B365" s="5" t="str">
        <f>"10101013421"</f>
        <v>10101013421</v>
      </c>
      <c r="C365" s="6">
        <v>64</v>
      </c>
      <c r="D365" s="7">
        <v>363</v>
      </c>
      <c r="E365" s="8"/>
    </row>
    <row r="366" s="1" customFormat="1" ht="18" customHeight="1" spans="1:5">
      <c r="A366" s="5" t="str">
        <f>"罗欢英"</f>
        <v>罗欢英</v>
      </c>
      <c r="B366" s="5" t="str">
        <f>"10101013422"</f>
        <v>10101013422</v>
      </c>
      <c r="C366" s="6">
        <v>64</v>
      </c>
      <c r="D366" s="7">
        <v>364</v>
      </c>
      <c r="E366" s="8"/>
    </row>
    <row r="367" s="1" customFormat="1" ht="18" customHeight="1" spans="1:5">
      <c r="A367" s="5" t="str">
        <f>"裴永霄"</f>
        <v>裴永霄</v>
      </c>
      <c r="B367" s="5" t="str">
        <f>"10101013603"</f>
        <v>10101013603</v>
      </c>
      <c r="C367" s="6">
        <v>64</v>
      </c>
      <c r="D367" s="7">
        <v>365</v>
      </c>
      <c r="E367" s="8"/>
    </row>
    <row r="368" s="1" customFormat="1" ht="18" customHeight="1" spans="1:5">
      <c r="A368" s="5" t="str">
        <f>"卢大飞"</f>
        <v>卢大飞</v>
      </c>
      <c r="B368" s="5" t="str">
        <f>"10101013611"</f>
        <v>10101013611</v>
      </c>
      <c r="C368" s="6">
        <v>64</v>
      </c>
      <c r="D368" s="7">
        <v>366</v>
      </c>
      <c r="E368" s="8"/>
    </row>
    <row r="369" s="1" customFormat="1" ht="18" customHeight="1" spans="1:5">
      <c r="A369" s="5" t="str">
        <f>"赵美召"</f>
        <v>赵美召</v>
      </c>
      <c r="B369" s="5" t="str">
        <f>"10101013908"</f>
        <v>10101013908</v>
      </c>
      <c r="C369" s="6">
        <v>64</v>
      </c>
      <c r="D369" s="7">
        <v>367</v>
      </c>
      <c r="E369" s="8"/>
    </row>
    <row r="370" s="1" customFormat="1" ht="18" customHeight="1" spans="1:5">
      <c r="A370" s="5" t="str">
        <f>"徐佳"</f>
        <v>徐佳</v>
      </c>
      <c r="B370" s="5" t="str">
        <f>"10101013925"</f>
        <v>10101013925</v>
      </c>
      <c r="C370" s="6">
        <v>64</v>
      </c>
      <c r="D370" s="7">
        <v>368</v>
      </c>
      <c r="E370" s="8"/>
    </row>
    <row r="371" s="1" customFormat="1" ht="18" customHeight="1" spans="1:5">
      <c r="A371" s="5" t="str">
        <f>"禤德燕"</f>
        <v>禤德燕</v>
      </c>
      <c r="B371" s="5" t="str">
        <f>"10101014111"</f>
        <v>10101014111</v>
      </c>
      <c r="C371" s="6">
        <v>64</v>
      </c>
      <c r="D371" s="7">
        <v>369</v>
      </c>
      <c r="E371" s="8"/>
    </row>
    <row r="372" s="1" customFormat="1" ht="18" customHeight="1" spans="1:5">
      <c r="A372" s="5" t="str">
        <f>"方长精"</f>
        <v>方长精</v>
      </c>
      <c r="B372" s="5" t="str">
        <f>"10101014213"</f>
        <v>10101014213</v>
      </c>
      <c r="C372" s="6">
        <v>64</v>
      </c>
      <c r="D372" s="7">
        <v>370</v>
      </c>
      <c r="E372" s="8"/>
    </row>
    <row r="373" s="1" customFormat="1" ht="18" customHeight="1" spans="1:5">
      <c r="A373" s="5" t="str">
        <f>"卢巧琳"</f>
        <v>卢巧琳</v>
      </c>
      <c r="B373" s="5" t="str">
        <f>"10101014310"</f>
        <v>10101014310</v>
      </c>
      <c r="C373" s="6">
        <v>64</v>
      </c>
      <c r="D373" s="7">
        <v>371</v>
      </c>
      <c r="E373" s="8"/>
    </row>
    <row r="374" s="1" customFormat="1" ht="18" customHeight="1" spans="1:5">
      <c r="A374" s="5" t="str">
        <f>"何秀玲"</f>
        <v>何秀玲</v>
      </c>
      <c r="B374" s="5" t="str">
        <f>"10101014428"</f>
        <v>10101014428</v>
      </c>
      <c r="C374" s="6">
        <v>64</v>
      </c>
      <c r="D374" s="7">
        <v>372</v>
      </c>
      <c r="E374" s="8"/>
    </row>
    <row r="375" s="1" customFormat="1" ht="18" customHeight="1" spans="1:5">
      <c r="A375" s="5" t="str">
        <f>"曾检丽"</f>
        <v>曾检丽</v>
      </c>
      <c r="B375" s="5" t="str">
        <f>"10101014510"</f>
        <v>10101014510</v>
      </c>
      <c r="C375" s="6">
        <v>64</v>
      </c>
      <c r="D375" s="7">
        <v>373</v>
      </c>
      <c r="E375" s="8"/>
    </row>
    <row r="376" s="1" customFormat="1" ht="18" customHeight="1" spans="1:5">
      <c r="A376" s="5" t="str">
        <f>"李智燕"</f>
        <v>李智燕</v>
      </c>
      <c r="B376" s="5" t="str">
        <f>"10101014517"</f>
        <v>10101014517</v>
      </c>
      <c r="C376" s="6">
        <v>64</v>
      </c>
      <c r="D376" s="7">
        <v>374</v>
      </c>
      <c r="E376" s="8"/>
    </row>
    <row r="377" s="1" customFormat="1" ht="18" customHeight="1" spans="1:5">
      <c r="A377" s="5" t="str">
        <f>"符金丹"</f>
        <v>符金丹</v>
      </c>
      <c r="B377" s="5" t="str">
        <f>"10101015115"</f>
        <v>10101015115</v>
      </c>
      <c r="C377" s="6">
        <v>64</v>
      </c>
      <c r="D377" s="7">
        <v>375</v>
      </c>
      <c r="E377" s="8"/>
    </row>
    <row r="378" s="1" customFormat="1" ht="18" customHeight="1" spans="1:5">
      <c r="A378" s="5" t="str">
        <f>"马丽平"</f>
        <v>马丽平</v>
      </c>
      <c r="B378" s="5" t="str">
        <f>"10101015207"</f>
        <v>10101015207</v>
      </c>
      <c r="C378" s="6">
        <v>64</v>
      </c>
      <c r="D378" s="7">
        <v>376</v>
      </c>
      <c r="E378" s="8"/>
    </row>
    <row r="379" s="1" customFormat="1" ht="18" customHeight="1" spans="1:5">
      <c r="A379" s="5" t="str">
        <f>"周霞"</f>
        <v>周霞</v>
      </c>
      <c r="B379" s="5" t="str">
        <f>"10101015211"</f>
        <v>10101015211</v>
      </c>
      <c r="C379" s="6">
        <v>64</v>
      </c>
      <c r="D379" s="7">
        <v>377</v>
      </c>
      <c r="E379" s="8"/>
    </row>
    <row r="380" s="1" customFormat="1" ht="18" customHeight="1" spans="1:5">
      <c r="A380" s="5" t="str">
        <f>"吉英一"</f>
        <v>吉英一</v>
      </c>
      <c r="B380" s="5" t="str">
        <f>"10101015404"</f>
        <v>10101015404</v>
      </c>
      <c r="C380" s="6">
        <v>64</v>
      </c>
      <c r="D380" s="7">
        <v>378</v>
      </c>
      <c r="E380" s="8"/>
    </row>
    <row r="381" s="1" customFormat="1" ht="18" customHeight="1" spans="1:5">
      <c r="A381" s="5" t="str">
        <f>"符苑苑"</f>
        <v>符苑苑</v>
      </c>
      <c r="B381" s="5" t="str">
        <f>"10101015501"</f>
        <v>10101015501</v>
      </c>
      <c r="C381" s="6">
        <v>64</v>
      </c>
      <c r="D381" s="7">
        <v>379</v>
      </c>
      <c r="E381" s="8"/>
    </row>
    <row r="382" s="1" customFormat="1" ht="18" customHeight="1" spans="1:5">
      <c r="A382" s="5" t="str">
        <f>"林家芬"</f>
        <v>林家芬</v>
      </c>
      <c r="B382" s="5" t="str">
        <f>"10101012216"</f>
        <v>10101012216</v>
      </c>
      <c r="C382" s="6">
        <v>63</v>
      </c>
      <c r="D382" s="7">
        <v>380</v>
      </c>
      <c r="E382" s="8"/>
    </row>
    <row r="383" s="1" customFormat="1" ht="18" customHeight="1" spans="1:5">
      <c r="A383" s="5" t="str">
        <f>"高孙芯"</f>
        <v>高孙芯</v>
      </c>
      <c r="B383" s="5" t="str">
        <f>"10101012311"</f>
        <v>10101012311</v>
      </c>
      <c r="C383" s="6">
        <v>63</v>
      </c>
      <c r="D383" s="7">
        <v>381</v>
      </c>
      <c r="E383" s="8"/>
    </row>
    <row r="384" s="1" customFormat="1" ht="18" customHeight="1" spans="1:5">
      <c r="A384" s="5" t="str">
        <f>"王燕美"</f>
        <v>王燕美</v>
      </c>
      <c r="B384" s="5" t="str">
        <f>"10101012429"</f>
        <v>10101012429</v>
      </c>
      <c r="C384" s="6">
        <v>63</v>
      </c>
      <c r="D384" s="7">
        <v>382</v>
      </c>
      <c r="E384" s="8"/>
    </row>
    <row r="385" s="1" customFormat="1" ht="18" customHeight="1" spans="1:5">
      <c r="A385" s="5" t="str">
        <f>"林珍"</f>
        <v>林珍</v>
      </c>
      <c r="B385" s="5" t="str">
        <f>"10101012818"</f>
        <v>10101012818</v>
      </c>
      <c r="C385" s="6">
        <v>63</v>
      </c>
      <c r="D385" s="7">
        <v>383</v>
      </c>
      <c r="E385" s="8"/>
    </row>
    <row r="386" s="1" customFormat="1" ht="18" customHeight="1" spans="1:5">
      <c r="A386" s="5" t="str">
        <f>"孙器妍"</f>
        <v>孙器妍</v>
      </c>
      <c r="B386" s="5" t="str">
        <f>"10101012826"</f>
        <v>10101012826</v>
      </c>
      <c r="C386" s="6">
        <v>63</v>
      </c>
      <c r="D386" s="7">
        <v>384</v>
      </c>
      <c r="E386" s="8"/>
    </row>
    <row r="387" s="1" customFormat="1" ht="18" customHeight="1" spans="1:5">
      <c r="A387" s="5" t="str">
        <f>"盘金诗"</f>
        <v>盘金诗</v>
      </c>
      <c r="B387" s="5" t="str">
        <f>"10101013021"</f>
        <v>10101013021</v>
      </c>
      <c r="C387" s="6">
        <v>63</v>
      </c>
      <c r="D387" s="7">
        <v>385</v>
      </c>
      <c r="E387" s="8"/>
    </row>
    <row r="388" s="1" customFormat="1" ht="18" customHeight="1" spans="1:5">
      <c r="A388" s="5" t="str">
        <f>"符世妹"</f>
        <v>符世妹</v>
      </c>
      <c r="B388" s="5" t="str">
        <f>"10101013104"</f>
        <v>10101013104</v>
      </c>
      <c r="C388" s="6">
        <v>63</v>
      </c>
      <c r="D388" s="7">
        <v>386</v>
      </c>
      <c r="E388" s="8"/>
    </row>
    <row r="389" s="1" customFormat="1" ht="18" customHeight="1" spans="1:5">
      <c r="A389" s="5" t="str">
        <f>"马广霞"</f>
        <v>马广霞</v>
      </c>
      <c r="B389" s="5" t="str">
        <f>"10101013622"</f>
        <v>10101013622</v>
      </c>
      <c r="C389" s="6">
        <v>63</v>
      </c>
      <c r="D389" s="7">
        <v>387</v>
      </c>
      <c r="E389" s="8"/>
    </row>
    <row r="390" s="1" customFormat="1" ht="18" customHeight="1" spans="1:5">
      <c r="A390" s="5" t="str">
        <f>"文欢"</f>
        <v>文欢</v>
      </c>
      <c r="B390" s="5" t="str">
        <f>"10101013707"</f>
        <v>10101013707</v>
      </c>
      <c r="C390" s="6">
        <v>63</v>
      </c>
      <c r="D390" s="7">
        <v>388</v>
      </c>
      <c r="E390" s="8"/>
    </row>
    <row r="391" s="1" customFormat="1" ht="18" customHeight="1" spans="1:5">
      <c r="A391" s="5" t="str">
        <f>"符家肖"</f>
        <v>符家肖</v>
      </c>
      <c r="B391" s="5" t="str">
        <f>"10101013715"</f>
        <v>10101013715</v>
      </c>
      <c r="C391" s="6">
        <v>63</v>
      </c>
      <c r="D391" s="7">
        <v>389</v>
      </c>
      <c r="E391" s="8"/>
    </row>
    <row r="392" s="1" customFormat="1" ht="18" customHeight="1" spans="1:5">
      <c r="A392" s="5" t="str">
        <f>"符清英"</f>
        <v>符清英</v>
      </c>
      <c r="B392" s="5" t="str">
        <f>"10101013815"</f>
        <v>10101013815</v>
      </c>
      <c r="C392" s="6">
        <v>63</v>
      </c>
      <c r="D392" s="7">
        <v>390</v>
      </c>
      <c r="E392" s="8"/>
    </row>
    <row r="393" s="1" customFormat="1" ht="18" customHeight="1" spans="1:5">
      <c r="A393" s="5" t="str">
        <f>"梁英"</f>
        <v>梁英</v>
      </c>
      <c r="B393" s="5" t="str">
        <f>"10101013818"</f>
        <v>10101013818</v>
      </c>
      <c r="C393" s="6">
        <v>63</v>
      </c>
      <c r="D393" s="7">
        <v>391</v>
      </c>
      <c r="E393" s="8"/>
    </row>
    <row r="394" s="1" customFormat="1" ht="18" customHeight="1" spans="1:5">
      <c r="A394" s="5" t="str">
        <f>"苏琦"</f>
        <v>苏琦</v>
      </c>
      <c r="B394" s="5" t="str">
        <f>"10101013830"</f>
        <v>10101013830</v>
      </c>
      <c r="C394" s="6">
        <v>63</v>
      </c>
      <c r="D394" s="7">
        <v>392</v>
      </c>
      <c r="E394" s="8"/>
    </row>
    <row r="395" s="1" customFormat="1" ht="18" customHeight="1" spans="1:5">
      <c r="A395" s="5" t="str">
        <f>"卢邓烹"</f>
        <v>卢邓烹</v>
      </c>
      <c r="B395" s="5" t="str">
        <f>"10101014007"</f>
        <v>10101014007</v>
      </c>
      <c r="C395" s="6">
        <v>63</v>
      </c>
      <c r="D395" s="7">
        <v>393</v>
      </c>
      <c r="E395" s="8"/>
    </row>
    <row r="396" s="1" customFormat="1" ht="18" customHeight="1" spans="1:5">
      <c r="A396" s="5" t="str">
        <f>"梁叶"</f>
        <v>梁叶</v>
      </c>
      <c r="B396" s="5" t="str">
        <f>"10101014327"</f>
        <v>10101014327</v>
      </c>
      <c r="C396" s="6">
        <v>63</v>
      </c>
      <c r="D396" s="7">
        <v>394</v>
      </c>
      <c r="E396" s="8"/>
    </row>
    <row r="397" s="1" customFormat="1" ht="18" customHeight="1" spans="1:5">
      <c r="A397" s="5" t="str">
        <f>"陈吉欢"</f>
        <v>陈吉欢</v>
      </c>
      <c r="B397" s="5" t="str">
        <f>"10101014708"</f>
        <v>10101014708</v>
      </c>
      <c r="C397" s="6">
        <v>63</v>
      </c>
      <c r="D397" s="7">
        <v>395</v>
      </c>
      <c r="E397" s="8"/>
    </row>
    <row r="398" s="1" customFormat="1" ht="18" customHeight="1" spans="1:5">
      <c r="A398" s="5" t="str">
        <f>"徐庆非"</f>
        <v>徐庆非</v>
      </c>
      <c r="B398" s="5" t="str">
        <f>"10101014723"</f>
        <v>10101014723</v>
      </c>
      <c r="C398" s="6">
        <v>63</v>
      </c>
      <c r="D398" s="7">
        <v>396</v>
      </c>
      <c r="E398" s="8"/>
    </row>
    <row r="399" s="1" customFormat="1" ht="18" customHeight="1" spans="1:5">
      <c r="A399" s="5" t="str">
        <f>"倪云霞"</f>
        <v>倪云霞</v>
      </c>
      <c r="B399" s="5" t="str">
        <f>"10101014819"</f>
        <v>10101014819</v>
      </c>
      <c r="C399" s="6">
        <v>63</v>
      </c>
      <c r="D399" s="7">
        <v>397</v>
      </c>
      <c r="E399" s="8"/>
    </row>
    <row r="400" s="1" customFormat="1" ht="18" customHeight="1" spans="1:5">
      <c r="A400" s="5" t="str">
        <f>"蔡志美"</f>
        <v>蔡志美</v>
      </c>
      <c r="B400" s="5" t="str">
        <f>"10101014822"</f>
        <v>10101014822</v>
      </c>
      <c r="C400" s="6">
        <v>63</v>
      </c>
      <c r="D400" s="7">
        <v>398</v>
      </c>
      <c r="E400" s="8"/>
    </row>
    <row r="401" s="1" customFormat="1" ht="18" customHeight="1" spans="1:5">
      <c r="A401" s="5" t="str">
        <f>"卞维丽"</f>
        <v>卞维丽</v>
      </c>
      <c r="B401" s="5" t="str">
        <f>"10101014923"</f>
        <v>10101014923</v>
      </c>
      <c r="C401" s="6">
        <v>63</v>
      </c>
      <c r="D401" s="7">
        <v>399</v>
      </c>
      <c r="E401" s="8"/>
    </row>
    <row r="402" s="1" customFormat="1" ht="18" customHeight="1" spans="1:5">
      <c r="A402" s="5" t="str">
        <f>"林美翠"</f>
        <v>林美翠</v>
      </c>
      <c r="B402" s="5" t="str">
        <f>"10101015121"</f>
        <v>10101015121</v>
      </c>
      <c r="C402" s="6">
        <v>63</v>
      </c>
      <c r="D402" s="7">
        <v>400</v>
      </c>
      <c r="E402" s="8"/>
    </row>
    <row r="403" s="1" customFormat="1" ht="18" customHeight="1" spans="1:5">
      <c r="A403" s="5" t="str">
        <f>"刘雪敏"</f>
        <v>刘雪敏</v>
      </c>
      <c r="B403" s="5" t="str">
        <f>"10101015420"</f>
        <v>10101015420</v>
      </c>
      <c r="C403" s="6">
        <v>63</v>
      </c>
      <c r="D403" s="7">
        <v>401</v>
      </c>
      <c r="E403" s="8"/>
    </row>
    <row r="404" s="1" customFormat="1" ht="18" customHeight="1" spans="1:5">
      <c r="A404" s="5" t="str">
        <f>"王锡俏"</f>
        <v>王锡俏</v>
      </c>
      <c r="B404" s="5" t="str">
        <f>"10101015505"</f>
        <v>10101015505</v>
      </c>
      <c r="C404" s="6">
        <v>63</v>
      </c>
      <c r="D404" s="7">
        <v>402</v>
      </c>
      <c r="E404" s="8"/>
    </row>
    <row r="405" s="1" customFormat="1" ht="18" customHeight="1" spans="1:5">
      <c r="A405" s="5" t="str">
        <f>"吉娜"</f>
        <v>吉娜</v>
      </c>
      <c r="B405" s="5" t="str">
        <f>"10101012309"</f>
        <v>10101012309</v>
      </c>
      <c r="C405" s="6">
        <v>62</v>
      </c>
      <c r="D405" s="7">
        <v>403</v>
      </c>
      <c r="E405" s="8"/>
    </row>
    <row r="406" s="1" customFormat="1" ht="18" customHeight="1" spans="1:5">
      <c r="A406" s="5" t="str">
        <f>"陈英菲"</f>
        <v>陈英菲</v>
      </c>
      <c r="B406" s="5" t="str">
        <f>"10101012417"</f>
        <v>10101012417</v>
      </c>
      <c r="C406" s="6">
        <v>62</v>
      </c>
      <c r="D406" s="7">
        <v>404</v>
      </c>
      <c r="E406" s="8"/>
    </row>
    <row r="407" s="1" customFormat="1" ht="18" customHeight="1" spans="1:5">
      <c r="A407" s="5" t="str">
        <f>"文凤秀"</f>
        <v>文凤秀</v>
      </c>
      <c r="B407" s="5" t="str">
        <f>"10101012427"</f>
        <v>10101012427</v>
      </c>
      <c r="C407" s="6">
        <v>62</v>
      </c>
      <c r="D407" s="7">
        <v>405</v>
      </c>
      <c r="E407" s="8"/>
    </row>
    <row r="408" s="1" customFormat="1" ht="18" customHeight="1" spans="1:5">
      <c r="A408" s="5" t="str">
        <f>"陈艳艳"</f>
        <v>陈艳艳</v>
      </c>
      <c r="B408" s="5" t="str">
        <f>"10101012511"</f>
        <v>10101012511</v>
      </c>
      <c r="C408" s="6">
        <v>62</v>
      </c>
      <c r="D408" s="7">
        <v>406</v>
      </c>
      <c r="E408" s="8"/>
    </row>
    <row r="409" s="1" customFormat="1" ht="18" customHeight="1" spans="1:5">
      <c r="A409" s="5" t="str">
        <f>"卞凤平"</f>
        <v>卞凤平</v>
      </c>
      <c r="B409" s="5" t="str">
        <f>"10101012522"</f>
        <v>10101012522</v>
      </c>
      <c r="C409" s="6">
        <v>62</v>
      </c>
      <c r="D409" s="7">
        <v>407</v>
      </c>
      <c r="E409" s="8"/>
    </row>
    <row r="410" s="1" customFormat="1" ht="18" customHeight="1" spans="1:5">
      <c r="A410" s="5" t="str">
        <f>"周书霞"</f>
        <v>周书霞</v>
      </c>
      <c r="B410" s="5" t="str">
        <f>"10101012618"</f>
        <v>10101012618</v>
      </c>
      <c r="C410" s="6">
        <v>62</v>
      </c>
      <c r="D410" s="7">
        <v>408</v>
      </c>
      <c r="E410" s="8"/>
    </row>
    <row r="411" s="1" customFormat="1" ht="18" customHeight="1" spans="1:5">
      <c r="A411" s="5" t="str">
        <f>"钟雪云"</f>
        <v>钟雪云</v>
      </c>
      <c r="B411" s="5" t="str">
        <f>"10101012627"</f>
        <v>10101012627</v>
      </c>
      <c r="C411" s="6">
        <v>62</v>
      </c>
      <c r="D411" s="7">
        <v>409</v>
      </c>
      <c r="E411" s="8"/>
    </row>
    <row r="412" s="1" customFormat="1" ht="18" customHeight="1" spans="1:5">
      <c r="A412" s="5" t="str">
        <f>"陈昌萍"</f>
        <v>陈昌萍</v>
      </c>
      <c r="B412" s="5" t="str">
        <f>"10101012810"</f>
        <v>10101012810</v>
      </c>
      <c r="C412" s="6">
        <v>62</v>
      </c>
      <c r="D412" s="7">
        <v>410</v>
      </c>
      <c r="E412" s="8"/>
    </row>
    <row r="413" s="1" customFormat="1" ht="18" customHeight="1" spans="1:5">
      <c r="A413" s="5" t="str">
        <f>"苏英装"</f>
        <v>苏英装</v>
      </c>
      <c r="B413" s="5" t="str">
        <f>"10101012822"</f>
        <v>10101012822</v>
      </c>
      <c r="C413" s="6">
        <v>62</v>
      </c>
      <c r="D413" s="7">
        <v>411</v>
      </c>
      <c r="E413" s="8"/>
    </row>
    <row r="414" s="1" customFormat="1" ht="18" customHeight="1" spans="1:5">
      <c r="A414" s="5" t="str">
        <f>"刘秀蓉"</f>
        <v>刘秀蓉</v>
      </c>
      <c r="B414" s="5" t="str">
        <f>"10101012921"</f>
        <v>10101012921</v>
      </c>
      <c r="C414" s="6">
        <v>62</v>
      </c>
      <c r="D414" s="7">
        <v>412</v>
      </c>
      <c r="E414" s="8"/>
    </row>
    <row r="415" s="1" customFormat="1" ht="18" customHeight="1" spans="1:5">
      <c r="A415" s="5" t="str">
        <f>"吴彦芳"</f>
        <v>吴彦芳</v>
      </c>
      <c r="B415" s="5" t="str">
        <f>"10101012929"</f>
        <v>10101012929</v>
      </c>
      <c r="C415" s="6">
        <v>62</v>
      </c>
      <c r="D415" s="7">
        <v>413</v>
      </c>
      <c r="E415" s="8"/>
    </row>
    <row r="416" s="1" customFormat="1" ht="18" customHeight="1" spans="1:5">
      <c r="A416" s="5" t="str">
        <f>"蒋亚丽"</f>
        <v>蒋亚丽</v>
      </c>
      <c r="B416" s="5" t="str">
        <f>"10101012930"</f>
        <v>10101012930</v>
      </c>
      <c r="C416" s="6">
        <v>62</v>
      </c>
      <c r="D416" s="7">
        <v>414</v>
      </c>
      <c r="E416" s="8"/>
    </row>
    <row r="417" s="1" customFormat="1" ht="18" customHeight="1" spans="1:5">
      <c r="A417" s="5" t="str">
        <f>"符苏梦"</f>
        <v>符苏梦</v>
      </c>
      <c r="B417" s="5" t="str">
        <f>"10101013001"</f>
        <v>10101013001</v>
      </c>
      <c r="C417" s="6">
        <v>62</v>
      </c>
      <c r="D417" s="7">
        <v>415</v>
      </c>
      <c r="E417" s="8"/>
    </row>
    <row r="418" s="1" customFormat="1" ht="18" customHeight="1" spans="1:5">
      <c r="A418" s="5" t="str">
        <f>"覃泽艳"</f>
        <v>覃泽艳</v>
      </c>
      <c r="B418" s="5" t="str">
        <f>"10101013008"</f>
        <v>10101013008</v>
      </c>
      <c r="C418" s="6">
        <v>62</v>
      </c>
      <c r="D418" s="7">
        <v>416</v>
      </c>
      <c r="E418" s="8"/>
    </row>
    <row r="419" s="1" customFormat="1" ht="18" customHeight="1" spans="1:5">
      <c r="A419" s="5" t="str">
        <f>"周玲"</f>
        <v>周玲</v>
      </c>
      <c r="B419" s="5" t="str">
        <f>"10101013211"</f>
        <v>10101013211</v>
      </c>
      <c r="C419" s="6">
        <v>62</v>
      </c>
      <c r="D419" s="7">
        <v>417</v>
      </c>
      <c r="E419" s="8"/>
    </row>
    <row r="420" s="1" customFormat="1" ht="18" customHeight="1" spans="1:5">
      <c r="A420" s="5" t="str">
        <f>"唐正先"</f>
        <v>唐正先</v>
      </c>
      <c r="B420" s="5" t="str">
        <f>"10101013229"</f>
        <v>10101013229</v>
      </c>
      <c r="C420" s="6">
        <v>62</v>
      </c>
      <c r="D420" s="7">
        <v>418</v>
      </c>
      <c r="E420" s="8"/>
    </row>
    <row r="421" s="1" customFormat="1" ht="18" customHeight="1" spans="1:5">
      <c r="A421" s="5" t="str">
        <f>"钟昌敏"</f>
        <v>钟昌敏</v>
      </c>
      <c r="B421" s="5" t="str">
        <f>"10101013308"</f>
        <v>10101013308</v>
      </c>
      <c r="C421" s="6">
        <v>62</v>
      </c>
      <c r="D421" s="7">
        <v>419</v>
      </c>
      <c r="E421" s="8"/>
    </row>
    <row r="422" s="1" customFormat="1" ht="18" customHeight="1" spans="1:5">
      <c r="A422" s="5" t="str">
        <f>"符秋英"</f>
        <v>符秋英</v>
      </c>
      <c r="B422" s="5" t="str">
        <f>"10101013412"</f>
        <v>10101013412</v>
      </c>
      <c r="C422" s="6">
        <v>62</v>
      </c>
      <c r="D422" s="7">
        <v>420</v>
      </c>
      <c r="E422" s="8"/>
    </row>
    <row r="423" s="1" customFormat="1" ht="18" customHeight="1" spans="1:5">
      <c r="A423" s="5" t="str">
        <f>"文凤谨"</f>
        <v>文凤谨</v>
      </c>
      <c r="B423" s="5" t="str">
        <f>"10101013428"</f>
        <v>10101013428</v>
      </c>
      <c r="C423" s="6">
        <v>62</v>
      </c>
      <c r="D423" s="7">
        <v>421</v>
      </c>
      <c r="E423" s="8"/>
    </row>
    <row r="424" s="1" customFormat="1" ht="18" customHeight="1" spans="1:5">
      <c r="A424" s="5" t="str">
        <f>"陈于秀"</f>
        <v>陈于秀</v>
      </c>
      <c r="B424" s="5" t="str">
        <f>"10101013609"</f>
        <v>10101013609</v>
      </c>
      <c r="C424" s="6">
        <v>62</v>
      </c>
      <c r="D424" s="7">
        <v>422</v>
      </c>
      <c r="E424" s="8"/>
    </row>
    <row r="425" s="1" customFormat="1" ht="18" customHeight="1" spans="1:5">
      <c r="A425" s="5" t="str">
        <f>"苏外情"</f>
        <v>苏外情</v>
      </c>
      <c r="B425" s="5" t="str">
        <f>"10101013613"</f>
        <v>10101013613</v>
      </c>
      <c r="C425" s="6">
        <v>62</v>
      </c>
      <c r="D425" s="7">
        <v>423</v>
      </c>
      <c r="E425" s="8"/>
    </row>
    <row r="426" s="1" customFormat="1" ht="18" customHeight="1" spans="1:5">
      <c r="A426" s="5" t="str">
        <f>"朱好飞"</f>
        <v>朱好飞</v>
      </c>
      <c r="B426" s="5" t="str">
        <f>"10101014022"</f>
        <v>10101014022</v>
      </c>
      <c r="C426" s="6">
        <v>62</v>
      </c>
      <c r="D426" s="7">
        <v>424</v>
      </c>
      <c r="E426" s="8"/>
    </row>
    <row r="427" s="1" customFormat="1" ht="18" customHeight="1" spans="1:5">
      <c r="A427" s="5" t="str">
        <f>"符兰"</f>
        <v>符兰</v>
      </c>
      <c r="B427" s="5" t="str">
        <f>"10101014103"</f>
        <v>10101014103</v>
      </c>
      <c r="C427" s="6">
        <v>62</v>
      </c>
      <c r="D427" s="7">
        <v>425</v>
      </c>
      <c r="E427" s="8"/>
    </row>
    <row r="428" s="1" customFormat="1" ht="18" customHeight="1" spans="1:5">
      <c r="A428" s="5" t="str">
        <f>"刘泽天"</f>
        <v>刘泽天</v>
      </c>
      <c r="B428" s="5" t="str">
        <f>"10101014109"</f>
        <v>10101014109</v>
      </c>
      <c r="C428" s="6">
        <v>62</v>
      </c>
      <c r="D428" s="7">
        <v>426</v>
      </c>
      <c r="E428" s="8"/>
    </row>
    <row r="429" s="1" customFormat="1" ht="18" customHeight="1" spans="1:5">
      <c r="A429" s="5" t="str">
        <f>"符金奖"</f>
        <v>符金奖</v>
      </c>
      <c r="B429" s="5" t="str">
        <f>"10101014209"</f>
        <v>10101014209</v>
      </c>
      <c r="C429" s="6">
        <v>62</v>
      </c>
      <c r="D429" s="7">
        <v>427</v>
      </c>
      <c r="E429" s="8"/>
    </row>
    <row r="430" s="1" customFormat="1" ht="18" customHeight="1" spans="1:5">
      <c r="A430" s="5" t="str">
        <f>"陈敬芳"</f>
        <v>陈敬芳</v>
      </c>
      <c r="B430" s="5" t="str">
        <f>"10101014212"</f>
        <v>10101014212</v>
      </c>
      <c r="C430" s="6">
        <v>62</v>
      </c>
      <c r="D430" s="7">
        <v>428</v>
      </c>
      <c r="E430" s="8"/>
    </row>
    <row r="431" s="1" customFormat="1" ht="18" customHeight="1" spans="1:5">
      <c r="A431" s="5" t="str">
        <f>"唐佳茹"</f>
        <v>唐佳茹</v>
      </c>
      <c r="B431" s="5" t="str">
        <f>"10101014221"</f>
        <v>10101014221</v>
      </c>
      <c r="C431" s="6">
        <v>62</v>
      </c>
      <c r="D431" s="7">
        <v>429</v>
      </c>
      <c r="E431" s="8"/>
    </row>
    <row r="432" s="1" customFormat="1" ht="18" customHeight="1" spans="1:5">
      <c r="A432" s="5" t="str">
        <f>"符丽娟"</f>
        <v>符丽娟</v>
      </c>
      <c r="B432" s="5" t="str">
        <f>"10101014329"</f>
        <v>10101014329</v>
      </c>
      <c r="C432" s="6">
        <v>62</v>
      </c>
      <c r="D432" s="7">
        <v>430</v>
      </c>
      <c r="E432" s="8"/>
    </row>
    <row r="433" s="1" customFormat="1" ht="18" customHeight="1" spans="1:5">
      <c r="A433" s="5" t="str">
        <f>"高元美"</f>
        <v>高元美</v>
      </c>
      <c r="B433" s="5" t="str">
        <f>"10101014706"</f>
        <v>10101014706</v>
      </c>
      <c r="C433" s="6">
        <v>62</v>
      </c>
      <c r="D433" s="7">
        <v>431</v>
      </c>
      <c r="E433" s="8"/>
    </row>
    <row r="434" s="1" customFormat="1" ht="18" customHeight="1" spans="1:5">
      <c r="A434" s="5" t="str">
        <f>"吉雀"</f>
        <v>吉雀</v>
      </c>
      <c r="B434" s="5" t="str">
        <f>"10101014911"</f>
        <v>10101014911</v>
      </c>
      <c r="C434" s="6">
        <v>62</v>
      </c>
      <c r="D434" s="7">
        <v>432</v>
      </c>
      <c r="E434" s="8"/>
    </row>
    <row r="435" s="1" customFormat="1" ht="18" customHeight="1" spans="1:5">
      <c r="A435" s="5" t="str">
        <f>"张生萍"</f>
        <v>张生萍</v>
      </c>
      <c r="B435" s="5" t="str">
        <f>"10101014914"</f>
        <v>10101014914</v>
      </c>
      <c r="C435" s="6">
        <v>62</v>
      </c>
      <c r="D435" s="7">
        <v>433</v>
      </c>
      <c r="E435" s="8"/>
    </row>
    <row r="436" s="1" customFormat="1" ht="18" customHeight="1" spans="1:5">
      <c r="A436" s="5" t="str">
        <f>"符家凤"</f>
        <v>符家凤</v>
      </c>
      <c r="B436" s="5" t="str">
        <f>"10101015309"</f>
        <v>10101015309</v>
      </c>
      <c r="C436" s="6">
        <v>62</v>
      </c>
      <c r="D436" s="7">
        <v>434</v>
      </c>
      <c r="E436" s="8"/>
    </row>
    <row r="437" s="1" customFormat="1" ht="18" customHeight="1" spans="1:5">
      <c r="A437" s="5" t="str">
        <f>"文永坤"</f>
        <v>文永坤</v>
      </c>
      <c r="B437" s="5" t="str">
        <f>"10101012124"</f>
        <v>10101012124</v>
      </c>
      <c r="C437" s="6">
        <v>61</v>
      </c>
      <c r="D437" s="7">
        <v>435</v>
      </c>
      <c r="E437" s="8"/>
    </row>
    <row r="438" s="1" customFormat="1" ht="18" customHeight="1" spans="1:5">
      <c r="A438" s="5" t="str">
        <f>"符世江"</f>
        <v>符世江</v>
      </c>
      <c r="B438" s="5" t="str">
        <f>"10101012129"</f>
        <v>10101012129</v>
      </c>
      <c r="C438" s="6">
        <v>61</v>
      </c>
      <c r="D438" s="7">
        <v>436</v>
      </c>
      <c r="E438" s="8"/>
    </row>
    <row r="439" s="1" customFormat="1" ht="18" customHeight="1" spans="1:5">
      <c r="A439" s="5" t="str">
        <f>"罗桃山"</f>
        <v>罗桃山</v>
      </c>
      <c r="B439" s="5" t="str">
        <f>"10101012211"</f>
        <v>10101012211</v>
      </c>
      <c r="C439" s="6">
        <v>61</v>
      </c>
      <c r="D439" s="7">
        <v>437</v>
      </c>
      <c r="E439" s="8"/>
    </row>
    <row r="440" s="1" customFormat="1" ht="18" customHeight="1" spans="1:5">
      <c r="A440" s="5" t="str">
        <f>"卞燕丽"</f>
        <v>卞燕丽</v>
      </c>
      <c r="B440" s="5" t="str">
        <f>"10101012405"</f>
        <v>10101012405</v>
      </c>
      <c r="C440" s="6">
        <v>61</v>
      </c>
      <c r="D440" s="7">
        <v>438</v>
      </c>
      <c r="E440" s="8"/>
    </row>
    <row r="441" s="1" customFormat="1" ht="18" customHeight="1" spans="1:5">
      <c r="A441" s="5" t="str">
        <f>"符喜玲"</f>
        <v>符喜玲</v>
      </c>
      <c r="B441" s="5" t="str">
        <f>"10101012407"</f>
        <v>10101012407</v>
      </c>
      <c r="C441" s="6">
        <v>61</v>
      </c>
      <c r="D441" s="7">
        <v>439</v>
      </c>
      <c r="E441" s="8"/>
    </row>
    <row r="442" s="1" customFormat="1" ht="18" customHeight="1" spans="1:5">
      <c r="A442" s="5" t="str">
        <f>"张正圆"</f>
        <v>张正圆</v>
      </c>
      <c r="B442" s="5" t="str">
        <f>"10101012412"</f>
        <v>10101012412</v>
      </c>
      <c r="C442" s="6">
        <v>61</v>
      </c>
      <c r="D442" s="7">
        <v>440</v>
      </c>
      <c r="E442" s="8"/>
    </row>
    <row r="443" s="1" customFormat="1" ht="18" customHeight="1" spans="1:5">
      <c r="A443" s="5" t="str">
        <f>"倪德灵"</f>
        <v>倪德灵</v>
      </c>
      <c r="B443" s="5" t="str">
        <f>"10101012819"</f>
        <v>10101012819</v>
      </c>
      <c r="C443" s="6">
        <v>61</v>
      </c>
      <c r="D443" s="7">
        <v>441</v>
      </c>
      <c r="E443" s="8"/>
    </row>
    <row r="444" s="1" customFormat="1" ht="18" customHeight="1" spans="1:5">
      <c r="A444" s="5" t="str">
        <f>"林文颖"</f>
        <v>林文颖</v>
      </c>
      <c r="B444" s="5" t="str">
        <f>"10101012927"</f>
        <v>10101012927</v>
      </c>
      <c r="C444" s="6">
        <v>61</v>
      </c>
      <c r="D444" s="7">
        <v>442</v>
      </c>
      <c r="E444" s="8"/>
    </row>
    <row r="445" s="1" customFormat="1" ht="18" customHeight="1" spans="1:5">
      <c r="A445" s="5" t="str">
        <f>"陈秀"</f>
        <v>陈秀</v>
      </c>
      <c r="B445" s="5" t="str">
        <f>"10101013106"</f>
        <v>10101013106</v>
      </c>
      <c r="C445" s="6">
        <v>61</v>
      </c>
      <c r="D445" s="7">
        <v>443</v>
      </c>
      <c r="E445" s="8"/>
    </row>
    <row r="446" s="1" customFormat="1" ht="18" customHeight="1" spans="1:5">
      <c r="A446" s="5" t="str">
        <f>"庄佳"</f>
        <v>庄佳</v>
      </c>
      <c r="B446" s="5" t="str">
        <f>"10101013114"</f>
        <v>10101013114</v>
      </c>
      <c r="C446" s="6">
        <v>61</v>
      </c>
      <c r="D446" s="7">
        <v>444</v>
      </c>
      <c r="E446" s="8"/>
    </row>
    <row r="447" s="1" customFormat="1" ht="18" customHeight="1" spans="1:5">
      <c r="A447" s="5" t="str">
        <f>"符美科"</f>
        <v>符美科</v>
      </c>
      <c r="B447" s="5" t="str">
        <f>"10101013123"</f>
        <v>10101013123</v>
      </c>
      <c r="C447" s="6">
        <v>61</v>
      </c>
      <c r="D447" s="7">
        <v>445</v>
      </c>
      <c r="E447" s="8"/>
    </row>
    <row r="448" s="1" customFormat="1" ht="18" customHeight="1" spans="1:5">
      <c r="A448" s="5" t="str">
        <f>"钟圣丹"</f>
        <v>钟圣丹</v>
      </c>
      <c r="B448" s="5" t="str">
        <f>"10101013204"</f>
        <v>10101013204</v>
      </c>
      <c r="C448" s="6">
        <v>61</v>
      </c>
      <c r="D448" s="7">
        <v>446</v>
      </c>
      <c r="E448" s="8"/>
    </row>
    <row r="449" s="1" customFormat="1" ht="18" customHeight="1" spans="1:5">
      <c r="A449" s="5" t="str">
        <f>"文英亚"</f>
        <v>文英亚</v>
      </c>
      <c r="B449" s="5" t="str">
        <f>"10101013301"</f>
        <v>10101013301</v>
      </c>
      <c r="C449" s="6">
        <v>61</v>
      </c>
      <c r="D449" s="7">
        <v>447</v>
      </c>
      <c r="E449" s="8"/>
    </row>
    <row r="450" s="1" customFormat="1" ht="18" customHeight="1" spans="1:5">
      <c r="A450" s="5" t="str">
        <f>"符运珍"</f>
        <v>符运珍</v>
      </c>
      <c r="B450" s="5" t="str">
        <f>"10101013316"</f>
        <v>10101013316</v>
      </c>
      <c r="C450" s="6">
        <v>61</v>
      </c>
      <c r="D450" s="7">
        <v>448</v>
      </c>
      <c r="E450" s="8"/>
    </row>
    <row r="451" s="1" customFormat="1" ht="18" customHeight="1" spans="1:5">
      <c r="A451" s="5" t="str">
        <f>"符玉吉"</f>
        <v>符玉吉</v>
      </c>
      <c r="B451" s="5" t="str">
        <f>"10101013410"</f>
        <v>10101013410</v>
      </c>
      <c r="C451" s="6">
        <v>61</v>
      </c>
      <c r="D451" s="7">
        <v>449</v>
      </c>
      <c r="E451" s="8"/>
    </row>
    <row r="452" s="1" customFormat="1" ht="18" customHeight="1" spans="1:5">
      <c r="A452" s="5" t="str">
        <f>"符冰芯"</f>
        <v>符冰芯</v>
      </c>
      <c r="B452" s="5" t="str">
        <f>"10101013418"</f>
        <v>10101013418</v>
      </c>
      <c r="C452" s="6">
        <v>61</v>
      </c>
      <c r="D452" s="7">
        <v>450</v>
      </c>
      <c r="E452" s="8"/>
    </row>
    <row r="453" s="1" customFormat="1" ht="18" customHeight="1" spans="1:5">
      <c r="A453" s="5" t="str">
        <f>"符启芳"</f>
        <v>符启芳</v>
      </c>
      <c r="B453" s="5" t="str">
        <f>"10101013423"</f>
        <v>10101013423</v>
      </c>
      <c r="C453" s="6">
        <v>61</v>
      </c>
      <c r="D453" s="7">
        <v>451</v>
      </c>
      <c r="E453" s="8"/>
    </row>
    <row r="454" s="1" customFormat="1" ht="18" customHeight="1" spans="1:5">
      <c r="A454" s="5" t="str">
        <f>"陈琼英"</f>
        <v>陈琼英</v>
      </c>
      <c r="B454" s="5" t="str">
        <f>"10101013519"</f>
        <v>10101013519</v>
      </c>
      <c r="C454" s="6">
        <v>61</v>
      </c>
      <c r="D454" s="7">
        <v>452</v>
      </c>
      <c r="E454" s="8"/>
    </row>
    <row r="455" s="1" customFormat="1" ht="18" customHeight="1" spans="1:5">
      <c r="A455" s="5" t="str">
        <f>"沈清敏"</f>
        <v>沈清敏</v>
      </c>
      <c r="B455" s="5" t="str">
        <f>"10101013730"</f>
        <v>10101013730</v>
      </c>
      <c r="C455" s="6">
        <v>61</v>
      </c>
      <c r="D455" s="7">
        <v>453</v>
      </c>
      <c r="E455" s="8"/>
    </row>
    <row r="456" s="1" customFormat="1" ht="18" customHeight="1" spans="1:5">
      <c r="A456" s="5" t="str">
        <f>"符俊青"</f>
        <v>符俊青</v>
      </c>
      <c r="B456" s="5" t="str">
        <f>"10101013903"</f>
        <v>10101013903</v>
      </c>
      <c r="C456" s="6">
        <v>61</v>
      </c>
      <c r="D456" s="7">
        <v>454</v>
      </c>
      <c r="E456" s="8"/>
    </row>
    <row r="457" s="1" customFormat="1" ht="18" customHeight="1" spans="1:5">
      <c r="A457" s="5" t="str">
        <f>"文晓慧"</f>
        <v>文晓慧</v>
      </c>
      <c r="B457" s="5" t="str">
        <f>"10101014019"</f>
        <v>10101014019</v>
      </c>
      <c r="C457" s="6">
        <v>61</v>
      </c>
      <c r="D457" s="7">
        <v>455</v>
      </c>
      <c r="E457" s="8"/>
    </row>
    <row r="458" s="1" customFormat="1" ht="18" customHeight="1" spans="1:5">
      <c r="A458" s="5" t="str">
        <f>"郭龙燕"</f>
        <v>郭龙燕</v>
      </c>
      <c r="B458" s="5" t="str">
        <f>"10101014026"</f>
        <v>10101014026</v>
      </c>
      <c r="C458" s="6">
        <v>61</v>
      </c>
      <c r="D458" s="7">
        <v>456</v>
      </c>
      <c r="E458" s="8"/>
    </row>
    <row r="459" s="1" customFormat="1" ht="18" customHeight="1" spans="1:5">
      <c r="A459" s="5" t="str">
        <f>"陈帮菊"</f>
        <v>陈帮菊</v>
      </c>
      <c r="B459" s="5" t="str">
        <f>"10101014029"</f>
        <v>10101014029</v>
      </c>
      <c r="C459" s="6">
        <v>61</v>
      </c>
      <c r="D459" s="7">
        <v>457</v>
      </c>
      <c r="E459" s="8"/>
    </row>
    <row r="460" s="1" customFormat="1" ht="18" customHeight="1" spans="1:5">
      <c r="A460" s="5" t="str">
        <f>"李俊萍"</f>
        <v>李俊萍</v>
      </c>
      <c r="B460" s="5" t="str">
        <f>"10101014114"</f>
        <v>10101014114</v>
      </c>
      <c r="C460" s="6">
        <v>61</v>
      </c>
      <c r="D460" s="7">
        <v>458</v>
      </c>
      <c r="E460" s="8"/>
    </row>
    <row r="461" s="1" customFormat="1" ht="18" customHeight="1" spans="1:5">
      <c r="A461" s="5" t="str">
        <f>"符丽艳"</f>
        <v>符丽艳</v>
      </c>
      <c r="B461" s="5" t="str">
        <f>"10101014121"</f>
        <v>10101014121</v>
      </c>
      <c r="C461" s="6">
        <v>61</v>
      </c>
      <c r="D461" s="7">
        <v>459</v>
      </c>
      <c r="E461" s="8"/>
    </row>
    <row r="462" s="1" customFormat="1" ht="18" customHeight="1" spans="1:5">
      <c r="A462" s="5" t="str">
        <f>"符金珠"</f>
        <v>符金珠</v>
      </c>
      <c r="B462" s="5" t="str">
        <f>"10101014127"</f>
        <v>10101014127</v>
      </c>
      <c r="C462" s="6">
        <v>61</v>
      </c>
      <c r="D462" s="7">
        <v>460</v>
      </c>
      <c r="E462" s="8"/>
    </row>
    <row r="463" s="1" customFormat="1" ht="18" customHeight="1" spans="1:5">
      <c r="A463" s="5" t="str">
        <f>"王川玫"</f>
        <v>王川玫</v>
      </c>
      <c r="B463" s="5" t="str">
        <f>"10101014203"</f>
        <v>10101014203</v>
      </c>
      <c r="C463" s="6">
        <v>61</v>
      </c>
      <c r="D463" s="7">
        <v>461</v>
      </c>
      <c r="E463" s="8"/>
    </row>
    <row r="464" s="1" customFormat="1" ht="18" customHeight="1" spans="1:5">
      <c r="A464" s="5" t="str">
        <f>"黄秋花"</f>
        <v>黄秋花</v>
      </c>
      <c r="B464" s="5" t="str">
        <f>"10101014503"</f>
        <v>10101014503</v>
      </c>
      <c r="C464" s="6">
        <v>61</v>
      </c>
      <c r="D464" s="7">
        <v>462</v>
      </c>
      <c r="E464" s="8"/>
    </row>
    <row r="465" s="1" customFormat="1" ht="18" customHeight="1" spans="1:5">
      <c r="A465" s="5" t="str">
        <f>"刘雪娇"</f>
        <v>刘雪娇</v>
      </c>
      <c r="B465" s="5" t="str">
        <f>"10101014707"</f>
        <v>10101014707</v>
      </c>
      <c r="C465" s="6">
        <v>61</v>
      </c>
      <c r="D465" s="7">
        <v>463</v>
      </c>
      <c r="E465" s="8"/>
    </row>
    <row r="466" s="1" customFormat="1" ht="18" customHeight="1" spans="1:5">
      <c r="A466" s="5" t="str">
        <f>"卢海伦"</f>
        <v>卢海伦</v>
      </c>
      <c r="B466" s="5" t="str">
        <f>"10101014928"</f>
        <v>10101014928</v>
      </c>
      <c r="C466" s="6">
        <v>61</v>
      </c>
      <c r="D466" s="7">
        <v>464</v>
      </c>
      <c r="E466" s="8"/>
    </row>
    <row r="467" s="1" customFormat="1" ht="18" customHeight="1" spans="1:5">
      <c r="A467" s="5" t="str">
        <f>"李美莹"</f>
        <v>李美莹</v>
      </c>
      <c r="B467" s="5" t="str">
        <f>"10101015015"</f>
        <v>10101015015</v>
      </c>
      <c r="C467" s="6">
        <v>61</v>
      </c>
      <c r="D467" s="7">
        <v>465</v>
      </c>
      <c r="E467" s="8"/>
    </row>
    <row r="468" s="1" customFormat="1" ht="18" customHeight="1" spans="1:5">
      <c r="A468" s="5" t="str">
        <f>"马秀香"</f>
        <v>马秀香</v>
      </c>
      <c r="B468" s="5" t="str">
        <f>"10101015023"</f>
        <v>10101015023</v>
      </c>
      <c r="C468" s="6">
        <v>61</v>
      </c>
      <c r="D468" s="7">
        <v>466</v>
      </c>
      <c r="E468" s="8"/>
    </row>
    <row r="469" s="1" customFormat="1" ht="18" customHeight="1" spans="1:5">
      <c r="A469" s="5" t="str">
        <f>"黄淑君"</f>
        <v>黄淑君</v>
      </c>
      <c r="B469" s="5" t="str">
        <f>"10101015107"</f>
        <v>10101015107</v>
      </c>
      <c r="C469" s="6">
        <v>61</v>
      </c>
      <c r="D469" s="7">
        <v>467</v>
      </c>
      <c r="E469" s="8"/>
    </row>
    <row r="470" s="1" customFormat="1" ht="18" customHeight="1" spans="1:5">
      <c r="A470" s="5" t="str">
        <f>"文丽"</f>
        <v>文丽</v>
      </c>
      <c r="B470" s="5" t="str">
        <f>"10101015201"</f>
        <v>10101015201</v>
      </c>
      <c r="C470" s="6">
        <v>61</v>
      </c>
      <c r="D470" s="7">
        <v>468</v>
      </c>
      <c r="E470" s="8"/>
    </row>
    <row r="471" s="1" customFormat="1" ht="18" customHeight="1" spans="1:5">
      <c r="A471" s="5" t="str">
        <f>"翁华珠"</f>
        <v>翁华珠</v>
      </c>
      <c r="B471" s="5" t="str">
        <f>"10101015203"</f>
        <v>10101015203</v>
      </c>
      <c r="C471" s="6">
        <v>61</v>
      </c>
      <c r="D471" s="7">
        <v>469</v>
      </c>
      <c r="E471" s="8"/>
    </row>
    <row r="472" s="1" customFormat="1" ht="18" customHeight="1" spans="1:5">
      <c r="A472" s="5" t="str">
        <f>"郭英杰"</f>
        <v>郭英杰</v>
      </c>
      <c r="B472" s="5" t="str">
        <f>"10101015222"</f>
        <v>10101015222</v>
      </c>
      <c r="C472" s="6">
        <v>61</v>
      </c>
      <c r="D472" s="7">
        <v>470</v>
      </c>
      <c r="E472" s="8"/>
    </row>
    <row r="473" s="1" customFormat="1" ht="18" customHeight="1" spans="1:5">
      <c r="A473" s="5" t="str">
        <f>"赵金珏"</f>
        <v>赵金珏</v>
      </c>
      <c r="B473" s="5" t="str">
        <f>"10101015228"</f>
        <v>10101015228</v>
      </c>
      <c r="C473" s="6">
        <v>61</v>
      </c>
      <c r="D473" s="7">
        <v>471</v>
      </c>
      <c r="E473" s="8"/>
    </row>
    <row r="474" s="1" customFormat="1" ht="18" customHeight="1" spans="1:5">
      <c r="A474" s="5" t="str">
        <f>"符明丽"</f>
        <v>符明丽</v>
      </c>
      <c r="B474" s="5" t="str">
        <f>"10101015307"</f>
        <v>10101015307</v>
      </c>
      <c r="C474" s="6">
        <v>61</v>
      </c>
      <c r="D474" s="7">
        <v>472</v>
      </c>
      <c r="E474" s="8"/>
    </row>
    <row r="475" s="1" customFormat="1" ht="18" customHeight="1" spans="1:5">
      <c r="A475" s="5" t="str">
        <f>"韦少欢"</f>
        <v>韦少欢</v>
      </c>
      <c r="B475" s="5" t="str">
        <f>"10101015407"</f>
        <v>10101015407</v>
      </c>
      <c r="C475" s="6">
        <v>61</v>
      </c>
      <c r="D475" s="7">
        <v>473</v>
      </c>
      <c r="E475" s="8"/>
    </row>
    <row r="476" s="1" customFormat="1" ht="18" customHeight="1" spans="1:5">
      <c r="A476" s="5" t="str">
        <f>"柯翠美"</f>
        <v>柯翠美</v>
      </c>
      <c r="B476" s="5" t="str">
        <f>"10101015424"</f>
        <v>10101015424</v>
      </c>
      <c r="C476" s="6">
        <v>61</v>
      </c>
      <c r="D476" s="7">
        <v>474</v>
      </c>
      <c r="E476" s="8"/>
    </row>
    <row r="477" s="1" customFormat="1" ht="18" customHeight="1" spans="1:5">
      <c r="A477" s="5" t="str">
        <f>"符兰换"</f>
        <v>符兰换</v>
      </c>
      <c r="B477" s="5" t="str">
        <f>"10101015504"</f>
        <v>10101015504</v>
      </c>
      <c r="C477" s="6">
        <v>61</v>
      </c>
      <c r="D477" s="7">
        <v>475</v>
      </c>
      <c r="E477" s="8"/>
    </row>
    <row r="478" s="1" customFormat="1" ht="18" customHeight="1" spans="1:5">
      <c r="A478" s="5" t="str">
        <f>"王妮"</f>
        <v>王妮</v>
      </c>
      <c r="B478" s="5" t="str">
        <f>"10101015508"</f>
        <v>10101015508</v>
      </c>
      <c r="C478" s="6">
        <v>61</v>
      </c>
      <c r="D478" s="7">
        <v>476</v>
      </c>
      <c r="E478" s="8"/>
    </row>
    <row r="479" s="1" customFormat="1" ht="18" customHeight="1" spans="1:5">
      <c r="A479" s="5" t="str">
        <f>"高林娜"</f>
        <v>高林娜</v>
      </c>
      <c r="B479" s="5" t="str">
        <f>"10101014130"</f>
        <v>10101014130</v>
      </c>
      <c r="C479" s="6">
        <v>61</v>
      </c>
      <c r="D479" s="7">
        <v>477</v>
      </c>
      <c r="E479" s="8"/>
    </row>
    <row r="480" s="1" customFormat="1" ht="18" customHeight="1" spans="1:5">
      <c r="A480" s="5" t="str">
        <f>"符启云"</f>
        <v>符启云</v>
      </c>
      <c r="B480" s="5" t="str">
        <f>"10101012101"</f>
        <v>10101012101</v>
      </c>
      <c r="C480" s="6">
        <v>60</v>
      </c>
      <c r="D480" s="7">
        <v>478</v>
      </c>
      <c r="E480" s="8"/>
    </row>
    <row r="481" s="1" customFormat="1" ht="18" customHeight="1" spans="1:5">
      <c r="A481" s="5" t="str">
        <f>"戴周琼"</f>
        <v>戴周琼</v>
      </c>
      <c r="B481" s="5" t="str">
        <f>"10101012217"</f>
        <v>10101012217</v>
      </c>
      <c r="C481" s="6">
        <v>60</v>
      </c>
      <c r="D481" s="7">
        <v>479</v>
      </c>
      <c r="E481" s="8"/>
    </row>
    <row r="482" s="1" customFormat="1" ht="18" customHeight="1" spans="1:5">
      <c r="A482" s="5" t="str">
        <f>"李雪花"</f>
        <v>李雪花</v>
      </c>
      <c r="B482" s="5" t="str">
        <f>"10101012306"</f>
        <v>10101012306</v>
      </c>
      <c r="C482" s="6">
        <v>60</v>
      </c>
      <c r="D482" s="7">
        <v>480</v>
      </c>
      <c r="E482" s="8"/>
    </row>
    <row r="483" s="1" customFormat="1" ht="18" customHeight="1" spans="1:5">
      <c r="A483" s="5" t="str">
        <f>"卢炳霞"</f>
        <v>卢炳霞</v>
      </c>
      <c r="B483" s="5" t="str">
        <f>"10101012323"</f>
        <v>10101012323</v>
      </c>
      <c r="C483" s="6">
        <v>60</v>
      </c>
      <c r="D483" s="7">
        <v>481</v>
      </c>
      <c r="E483" s="8"/>
    </row>
    <row r="484" s="1" customFormat="1" ht="18" customHeight="1" spans="1:5">
      <c r="A484" s="5" t="str">
        <f>"廖蓝清"</f>
        <v>廖蓝清</v>
      </c>
      <c r="B484" s="5" t="str">
        <f>"10101012521"</f>
        <v>10101012521</v>
      </c>
      <c r="C484" s="6">
        <v>60</v>
      </c>
      <c r="D484" s="7">
        <v>482</v>
      </c>
      <c r="E484" s="8"/>
    </row>
    <row r="485" s="1" customFormat="1" ht="18" customHeight="1" spans="1:5">
      <c r="A485" s="5" t="str">
        <f>"文呈欢"</f>
        <v>文呈欢</v>
      </c>
      <c r="B485" s="5" t="str">
        <f>"10101012603"</f>
        <v>10101012603</v>
      </c>
      <c r="C485" s="6">
        <v>60</v>
      </c>
      <c r="D485" s="7">
        <v>483</v>
      </c>
      <c r="E485" s="8"/>
    </row>
    <row r="486" s="1" customFormat="1" ht="18" customHeight="1" spans="1:5">
      <c r="A486" s="5" t="str">
        <f>"唐心花"</f>
        <v>唐心花</v>
      </c>
      <c r="B486" s="5" t="str">
        <f>"10101012630"</f>
        <v>10101012630</v>
      </c>
      <c r="C486" s="6">
        <v>60</v>
      </c>
      <c r="D486" s="7">
        <v>484</v>
      </c>
      <c r="E486" s="8"/>
    </row>
    <row r="487" s="1" customFormat="1" ht="18" customHeight="1" spans="1:5">
      <c r="A487" s="5" t="str">
        <f>"刘芬"</f>
        <v>刘芬</v>
      </c>
      <c r="B487" s="5" t="str">
        <f>"10101012722"</f>
        <v>10101012722</v>
      </c>
      <c r="C487" s="6">
        <v>60</v>
      </c>
      <c r="D487" s="7">
        <v>485</v>
      </c>
      <c r="E487" s="8"/>
    </row>
    <row r="488" s="1" customFormat="1" ht="18" customHeight="1" spans="1:5">
      <c r="A488" s="5" t="str">
        <f>"汤丽霞"</f>
        <v>汤丽霞</v>
      </c>
      <c r="B488" s="5" t="str">
        <f>"10101012825"</f>
        <v>10101012825</v>
      </c>
      <c r="C488" s="6">
        <v>60</v>
      </c>
      <c r="D488" s="7">
        <v>486</v>
      </c>
      <c r="E488" s="8"/>
    </row>
    <row r="489" s="1" customFormat="1" ht="18" customHeight="1" spans="1:5">
      <c r="A489" s="5" t="str">
        <f>"唐于英"</f>
        <v>唐于英</v>
      </c>
      <c r="B489" s="5" t="str">
        <f>"10101012922"</f>
        <v>10101012922</v>
      </c>
      <c r="C489" s="6">
        <v>60</v>
      </c>
      <c r="D489" s="7">
        <v>487</v>
      </c>
      <c r="E489" s="8"/>
    </row>
    <row r="490" s="1" customFormat="1" ht="18" customHeight="1" spans="1:5">
      <c r="A490" s="5" t="str">
        <f>"胡爱群"</f>
        <v>胡爱群</v>
      </c>
      <c r="B490" s="5" t="str">
        <f>"10101012925"</f>
        <v>10101012925</v>
      </c>
      <c r="C490" s="6">
        <v>60</v>
      </c>
      <c r="D490" s="7">
        <v>488</v>
      </c>
      <c r="E490" s="8"/>
    </row>
    <row r="491" s="1" customFormat="1" ht="18" customHeight="1" spans="1:5">
      <c r="A491" s="5" t="str">
        <f>"林少英"</f>
        <v>林少英</v>
      </c>
      <c r="B491" s="5" t="str">
        <f>"10101012928"</f>
        <v>10101012928</v>
      </c>
      <c r="C491" s="6">
        <v>60</v>
      </c>
      <c r="D491" s="7">
        <v>489</v>
      </c>
      <c r="E491" s="8"/>
    </row>
    <row r="492" s="1" customFormat="1" ht="18" customHeight="1" spans="1:5">
      <c r="A492" s="5" t="str">
        <f>"林景芬"</f>
        <v>林景芬</v>
      </c>
      <c r="B492" s="5" t="str">
        <f>"10101013102"</f>
        <v>10101013102</v>
      </c>
      <c r="C492" s="6">
        <v>60</v>
      </c>
      <c r="D492" s="7">
        <v>490</v>
      </c>
      <c r="E492" s="8"/>
    </row>
    <row r="493" s="1" customFormat="1" ht="18" customHeight="1" spans="1:5">
      <c r="A493" s="5" t="str">
        <f>"黄翠青"</f>
        <v>黄翠青</v>
      </c>
      <c r="B493" s="5" t="str">
        <f>"10101013226"</f>
        <v>10101013226</v>
      </c>
      <c r="C493" s="6">
        <v>60</v>
      </c>
      <c r="D493" s="7">
        <v>491</v>
      </c>
      <c r="E493" s="8"/>
    </row>
    <row r="494" s="1" customFormat="1" ht="18" customHeight="1" spans="1:5">
      <c r="A494" s="5" t="str">
        <f>"王东苗"</f>
        <v>王东苗</v>
      </c>
      <c r="B494" s="5" t="str">
        <f>"10101013307"</f>
        <v>10101013307</v>
      </c>
      <c r="C494" s="6">
        <v>60</v>
      </c>
      <c r="D494" s="7">
        <v>492</v>
      </c>
      <c r="E494" s="8"/>
    </row>
    <row r="495" s="1" customFormat="1" ht="18" customHeight="1" spans="1:5">
      <c r="A495" s="5" t="str">
        <f>"李才娇"</f>
        <v>李才娇</v>
      </c>
      <c r="B495" s="5" t="str">
        <f>"10101013319"</f>
        <v>10101013319</v>
      </c>
      <c r="C495" s="6">
        <v>60</v>
      </c>
      <c r="D495" s="7">
        <v>493</v>
      </c>
      <c r="E495" s="8"/>
    </row>
    <row r="496" s="1" customFormat="1" ht="18" customHeight="1" spans="1:5">
      <c r="A496" s="5" t="str">
        <f>"符春香"</f>
        <v>符春香</v>
      </c>
      <c r="B496" s="5" t="str">
        <f>"10101013407"</f>
        <v>10101013407</v>
      </c>
      <c r="C496" s="6">
        <v>60</v>
      </c>
      <c r="D496" s="7">
        <v>494</v>
      </c>
      <c r="E496" s="8"/>
    </row>
    <row r="497" s="1" customFormat="1" ht="18" customHeight="1" spans="1:5">
      <c r="A497" s="5" t="str">
        <f>"符绵"</f>
        <v>符绵</v>
      </c>
      <c r="B497" s="5" t="str">
        <f>"10101013517"</f>
        <v>10101013517</v>
      </c>
      <c r="C497" s="6">
        <v>60</v>
      </c>
      <c r="D497" s="7">
        <v>495</v>
      </c>
      <c r="E497" s="8"/>
    </row>
    <row r="498" s="1" customFormat="1" ht="18" customHeight="1" spans="1:5">
      <c r="A498" s="5" t="str">
        <f>"符兴吻"</f>
        <v>符兴吻</v>
      </c>
      <c r="B498" s="5" t="str">
        <f>"10101013522"</f>
        <v>10101013522</v>
      </c>
      <c r="C498" s="6">
        <v>60</v>
      </c>
      <c r="D498" s="7">
        <v>496</v>
      </c>
      <c r="E498" s="8"/>
    </row>
    <row r="499" s="1" customFormat="1" ht="18" customHeight="1" spans="1:5">
      <c r="A499" s="5" t="str">
        <f>"卢见花"</f>
        <v>卢见花</v>
      </c>
      <c r="B499" s="5" t="str">
        <f>"10101013812"</f>
        <v>10101013812</v>
      </c>
      <c r="C499" s="6">
        <v>60</v>
      </c>
      <c r="D499" s="7">
        <v>497</v>
      </c>
      <c r="E499" s="8"/>
    </row>
    <row r="500" s="1" customFormat="1" ht="18" customHeight="1" spans="1:5">
      <c r="A500" s="5" t="str">
        <f>"黄丽君"</f>
        <v>黄丽君</v>
      </c>
      <c r="B500" s="5" t="str">
        <f>"10101013904"</f>
        <v>10101013904</v>
      </c>
      <c r="C500" s="6">
        <v>60</v>
      </c>
      <c r="D500" s="7">
        <v>498</v>
      </c>
      <c r="E500" s="8"/>
    </row>
    <row r="501" s="1" customFormat="1" ht="18" customHeight="1" spans="1:5">
      <c r="A501" s="5" t="str">
        <f>"范琼丽"</f>
        <v>范琼丽</v>
      </c>
      <c r="B501" s="5" t="str">
        <f>"10101013910"</f>
        <v>10101013910</v>
      </c>
      <c r="C501" s="6">
        <v>60</v>
      </c>
      <c r="D501" s="7">
        <v>499</v>
      </c>
      <c r="E501" s="8"/>
    </row>
    <row r="502" s="1" customFormat="1" ht="18" customHeight="1" spans="1:5">
      <c r="A502" s="5" t="str">
        <f>"朱德惠"</f>
        <v>朱德惠</v>
      </c>
      <c r="B502" s="5" t="str">
        <f>"10101013921"</f>
        <v>10101013921</v>
      </c>
      <c r="C502" s="6">
        <v>60</v>
      </c>
      <c r="D502" s="7">
        <v>500</v>
      </c>
      <c r="E502" s="8"/>
    </row>
    <row r="503" s="1" customFormat="1" ht="18" customHeight="1" spans="1:5">
      <c r="A503" s="5" t="str">
        <f>"王小美"</f>
        <v>王小美</v>
      </c>
      <c r="B503" s="5" t="str">
        <f>"10101013923"</f>
        <v>10101013923</v>
      </c>
      <c r="C503" s="6">
        <v>60</v>
      </c>
      <c r="D503" s="7">
        <v>501</v>
      </c>
      <c r="E503" s="8"/>
    </row>
    <row r="504" s="1" customFormat="1" ht="18" customHeight="1" spans="1:5">
      <c r="A504" s="5" t="str">
        <f>"陈秀英"</f>
        <v>陈秀英</v>
      </c>
      <c r="B504" s="5" t="str">
        <f>"10101014614"</f>
        <v>10101014614</v>
      </c>
      <c r="C504" s="6">
        <v>60</v>
      </c>
      <c r="D504" s="7">
        <v>502</v>
      </c>
      <c r="E504" s="8"/>
    </row>
    <row r="505" s="1" customFormat="1" ht="18" customHeight="1" spans="1:5">
      <c r="A505" s="5" t="str">
        <f>"许杨娣"</f>
        <v>许杨娣</v>
      </c>
      <c r="B505" s="5" t="str">
        <f>"10101014823"</f>
        <v>10101014823</v>
      </c>
      <c r="C505" s="6">
        <v>60</v>
      </c>
      <c r="D505" s="7">
        <v>503</v>
      </c>
      <c r="E505" s="8"/>
    </row>
    <row r="506" s="1" customFormat="1" ht="18" customHeight="1" spans="1:5">
      <c r="A506" s="5" t="str">
        <f>"唐静"</f>
        <v>唐静</v>
      </c>
      <c r="B506" s="5" t="str">
        <f>"10101014924"</f>
        <v>10101014924</v>
      </c>
      <c r="C506" s="6">
        <v>60</v>
      </c>
      <c r="D506" s="7">
        <v>504</v>
      </c>
      <c r="E506" s="8"/>
    </row>
    <row r="507" s="1" customFormat="1" ht="18" customHeight="1" spans="1:5">
      <c r="A507" s="5" t="str">
        <f>"蔡永丽"</f>
        <v>蔡永丽</v>
      </c>
      <c r="B507" s="5" t="str">
        <f>"10101015001"</f>
        <v>10101015001</v>
      </c>
      <c r="C507" s="6">
        <v>60</v>
      </c>
      <c r="D507" s="7">
        <v>505</v>
      </c>
      <c r="E507" s="8"/>
    </row>
    <row r="508" s="1" customFormat="1" ht="18" customHeight="1" spans="1:5">
      <c r="A508" s="5" t="str">
        <f>"符瑞芳"</f>
        <v>符瑞芳</v>
      </c>
      <c r="B508" s="5" t="str">
        <f>"10101015012"</f>
        <v>10101015012</v>
      </c>
      <c r="C508" s="6">
        <v>60</v>
      </c>
      <c r="D508" s="7">
        <v>506</v>
      </c>
      <c r="E508" s="8"/>
    </row>
    <row r="509" s="1" customFormat="1" ht="18" customHeight="1" spans="1:5">
      <c r="A509" s="5" t="str">
        <f>"吉欢"</f>
        <v>吉欢</v>
      </c>
      <c r="B509" s="5" t="str">
        <f>"10101015021"</f>
        <v>10101015021</v>
      </c>
      <c r="C509" s="6">
        <v>60</v>
      </c>
      <c r="D509" s="7">
        <v>507</v>
      </c>
      <c r="E509" s="8"/>
    </row>
    <row r="510" s="1" customFormat="1" ht="18" customHeight="1" spans="1:5">
      <c r="A510" s="5" t="str">
        <f>"文昌翠"</f>
        <v>文昌翠</v>
      </c>
      <c r="B510" s="5" t="str">
        <f>"10101015109"</f>
        <v>10101015109</v>
      </c>
      <c r="C510" s="6">
        <v>60</v>
      </c>
      <c r="D510" s="7">
        <v>508</v>
      </c>
      <c r="E510" s="8"/>
    </row>
    <row r="511" s="1" customFormat="1" ht="18" customHeight="1" spans="1:5">
      <c r="A511" s="5" t="str">
        <f>"张小飞"</f>
        <v>张小飞</v>
      </c>
      <c r="B511" s="5" t="str">
        <f>"10101015126"</f>
        <v>10101015126</v>
      </c>
      <c r="C511" s="6">
        <v>60</v>
      </c>
      <c r="D511" s="7">
        <v>509</v>
      </c>
      <c r="E511" s="8"/>
    </row>
    <row r="512" s="1" customFormat="1" ht="18" customHeight="1" spans="1:5">
      <c r="A512" s="5" t="str">
        <f>"吴燕"</f>
        <v>吴燕</v>
      </c>
      <c r="B512" s="5" t="str">
        <f>"10101015219"</f>
        <v>10101015219</v>
      </c>
      <c r="C512" s="6">
        <v>60</v>
      </c>
      <c r="D512" s="7">
        <v>510</v>
      </c>
      <c r="E512" s="8"/>
    </row>
    <row r="513" s="1" customFormat="1" ht="18" customHeight="1" spans="1:5">
      <c r="A513" s="5" t="str">
        <f>"符启菊"</f>
        <v>符启菊</v>
      </c>
      <c r="B513" s="5" t="str">
        <f>"10101012103"</f>
        <v>10101012103</v>
      </c>
      <c r="C513" s="6">
        <v>59</v>
      </c>
      <c r="D513" s="7">
        <v>511</v>
      </c>
      <c r="E513" s="8"/>
    </row>
    <row r="514" s="1" customFormat="1" ht="18" customHeight="1" spans="1:5">
      <c r="A514" s="5" t="str">
        <f>"吴溪银"</f>
        <v>吴溪银</v>
      </c>
      <c r="B514" s="5" t="str">
        <f>"10101012107"</f>
        <v>10101012107</v>
      </c>
      <c r="C514" s="6">
        <v>59</v>
      </c>
      <c r="D514" s="7">
        <v>512</v>
      </c>
      <c r="E514" s="8"/>
    </row>
    <row r="515" s="1" customFormat="1" ht="18" customHeight="1" spans="1:5">
      <c r="A515" s="5" t="str">
        <f>"符吉凤"</f>
        <v>符吉凤</v>
      </c>
      <c r="B515" s="5" t="str">
        <f>"10101012205"</f>
        <v>10101012205</v>
      </c>
      <c r="C515" s="6">
        <v>59</v>
      </c>
      <c r="D515" s="7">
        <v>513</v>
      </c>
      <c r="E515" s="8"/>
    </row>
    <row r="516" s="1" customFormat="1" ht="18" customHeight="1" spans="1:5">
      <c r="A516" s="5" t="str">
        <f>"杨雪"</f>
        <v>杨雪</v>
      </c>
      <c r="B516" s="5" t="str">
        <f>"10101012224"</f>
        <v>10101012224</v>
      </c>
      <c r="C516" s="6">
        <v>59</v>
      </c>
      <c r="D516" s="7">
        <v>514</v>
      </c>
      <c r="E516" s="8"/>
    </row>
    <row r="517" s="1" customFormat="1" ht="18" customHeight="1" spans="1:5">
      <c r="A517" s="5" t="str">
        <f>"苏墩丽"</f>
        <v>苏墩丽</v>
      </c>
      <c r="B517" s="5" t="str">
        <f>"10101012229"</f>
        <v>10101012229</v>
      </c>
      <c r="C517" s="6">
        <v>59</v>
      </c>
      <c r="D517" s="7">
        <v>515</v>
      </c>
      <c r="E517" s="8"/>
    </row>
    <row r="518" s="1" customFormat="1" ht="18" customHeight="1" spans="1:5">
      <c r="A518" s="5" t="str">
        <f>"豆翠娥"</f>
        <v>豆翠娥</v>
      </c>
      <c r="B518" s="5" t="str">
        <f>"10101012602"</f>
        <v>10101012602</v>
      </c>
      <c r="C518" s="6">
        <v>59</v>
      </c>
      <c r="D518" s="7">
        <v>516</v>
      </c>
      <c r="E518" s="8"/>
    </row>
    <row r="519" s="1" customFormat="1" ht="18" customHeight="1" spans="1:5">
      <c r="A519" s="5" t="str">
        <f>"吉超"</f>
        <v>吉超</v>
      </c>
      <c r="B519" s="5" t="str">
        <f>"10101012715"</f>
        <v>10101012715</v>
      </c>
      <c r="C519" s="6">
        <v>59</v>
      </c>
      <c r="D519" s="7">
        <v>517</v>
      </c>
      <c r="E519" s="8"/>
    </row>
    <row r="520" s="1" customFormat="1" ht="18" customHeight="1" spans="1:5">
      <c r="A520" s="5" t="str">
        <f>"代月华"</f>
        <v>代月华</v>
      </c>
      <c r="B520" s="5" t="str">
        <f>"10101012813"</f>
        <v>10101012813</v>
      </c>
      <c r="C520" s="6">
        <v>59</v>
      </c>
      <c r="D520" s="7">
        <v>518</v>
      </c>
      <c r="E520" s="8"/>
    </row>
    <row r="521" s="1" customFormat="1" ht="18" customHeight="1" spans="1:5">
      <c r="A521" s="5" t="str">
        <f>"吉丽川"</f>
        <v>吉丽川</v>
      </c>
      <c r="B521" s="5" t="str">
        <f>"10101012814"</f>
        <v>10101012814</v>
      </c>
      <c r="C521" s="6">
        <v>59</v>
      </c>
      <c r="D521" s="7">
        <v>519</v>
      </c>
      <c r="E521" s="8"/>
    </row>
    <row r="522" s="1" customFormat="1" ht="18" customHeight="1" spans="1:5">
      <c r="A522" s="5" t="str">
        <f>"柳重娜"</f>
        <v>柳重娜</v>
      </c>
      <c r="B522" s="5" t="str">
        <f>"10101012916"</f>
        <v>10101012916</v>
      </c>
      <c r="C522" s="6">
        <v>59</v>
      </c>
      <c r="D522" s="7">
        <v>520</v>
      </c>
      <c r="E522" s="8"/>
    </row>
    <row r="523" s="1" customFormat="1" ht="18" customHeight="1" spans="1:5">
      <c r="A523" s="5" t="str">
        <f>"文英金"</f>
        <v>文英金</v>
      </c>
      <c r="B523" s="5" t="str">
        <f>"10101013002"</f>
        <v>10101013002</v>
      </c>
      <c r="C523" s="6">
        <v>59</v>
      </c>
      <c r="D523" s="7">
        <v>521</v>
      </c>
      <c r="E523" s="8"/>
    </row>
    <row r="524" s="1" customFormat="1" ht="18" customHeight="1" spans="1:5">
      <c r="A524" s="5" t="str">
        <f>"符丽莹"</f>
        <v>符丽莹</v>
      </c>
      <c r="B524" s="5" t="str">
        <f>"10101013006"</f>
        <v>10101013006</v>
      </c>
      <c r="C524" s="6">
        <v>59</v>
      </c>
      <c r="D524" s="7">
        <v>522</v>
      </c>
      <c r="E524" s="8"/>
    </row>
    <row r="525" s="1" customFormat="1" ht="18" customHeight="1" spans="1:5">
      <c r="A525" s="5" t="str">
        <f>"符桂玲"</f>
        <v>符桂玲</v>
      </c>
      <c r="B525" s="5" t="str">
        <f>"10101013018"</f>
        <v>10101013018</v>
      </c>
      <c r="C525" s="6">
        <v>59</v>
      </c>
      <c r="D525" s="7">
        <v>523</v>
      </c>
      <c r="E525" s="8"/>
    </row>
    <row r="526" s="1" customFormat="1" ht="18" customHeight="1" spans="1:5">
      <c r="A526" s="5" t="str">
        <f>"刘丽琴"</f>
        <v>刘丽琴</v>
      </c>
      <c r="B526" s="5" t="str">
        <f>"10101013718"</f>
        <v>10101013718</v>
      </c>
      <c r="C526" s="6">
        <v>59</v>
      </c>
      <c r="D526" s="7">
        <v>524</v>
      </c>
      <c r="E526" s="8"/>
    </row>
    <row r="527" s="1" customFormat="1" ht="18" customHeight="1" spans="1:5">
      <c r="A527" s="5" t="str">
        <f>"秦才燕"</f>
        <v>秦才燕</v>
      </c>
      <c r="B527" s="5" t="str">
        <f>"10101013722"</f>
        <v>10101013722</v>
      </c>
      <c r="C527" s="6">
        <v>59</v>
      </c>
      <c r="D527" s="7">
        <v>525</v>
      </c>
      <c r="E527" s="8"/>
    </row>
    <row r="528" s="1" customFormat="1" ht="18" customHeight="1" spans="1:5">
      <c r="A528" s="5" t="str">
        <f>"符迎桃"</f>
        <v>符迎桃</v>
      </c>
      <c r="B528" s="5" t="str">
        <f>"10101013724"</f>
        <v>10101013724</v>
      </c>
      <c r="C528" s="6">
        <v>59</v>
      </c>
      <c r="D528" s="7">
        <v>526</v>
      </c>
      <c r="E528" s="8"/>
    </row>
    <row r="529" s="1" customFormat="1" ht="18" customHeight="1" spans="1:5">
      <c r="A529" s="5" t="str">
        <f>"熊小丽"</f>
        <v>熊小丽</v>
      </c>
      <c r="B529" s="5" t="str">
        <f>"10101013819"</f>
        <v>10101013819</v>
      </c>
      <c r="C529" s="6">
        <v>59</v>
      </c>
      <c r="D529" s="7">
        <v>527</v>
      </c>
      <c r="E529" s="8"/>
    </row>
    <row r="530" s="1" customFormat="1" ht="18" customHeight="1" spans="1:5">
      <c r="A530" s="5" t="str">
        <f>"文爱娟"</f>
        <v>文爱娟</v>
      </c>
      <c r="B530" s="5" t="str">
        <f>"10101014002"</f>
        <v>10101014002</v>
      </c>
      <c r="C530" s="6">
        <v>59</v>
      </c>
      <c r="D530" s="7">
        <v>528</v>
      </c>
      <c r="E530" s="8"/>
    </row>
    <row r="531" s="1" customFormat="1" ht="18" customHeight="1" spans="1:5">
      <c r="A531" s="5" t="str">
        <f>"曾学娜"</f>
        <v>曾学娜</v>
      </c>
      <c r="B531" s="5" t="str">
        <f>"10101014013"</f>
        <v>10101014013</v>
      </c>
      <c r="C531" s="6">
        <v>59</v>
      </c>
      <c r="D531" s="7">
        <v>529</v>
      </c>
      <c r="E531" s="8"/>
    </row>
    <row r="532" s="1" customFormat="1" ht="18" customHeight="1" spans="1:5">
      <c r="A532" s="5" t="str">
        <f>"张满飞"</f>
        <v>张满飞</v>
      </c>
      <c r="B532" s="5" t="str">
        <f>"10101014409"</f>
        <v>10101014409</v>
      </c>
      <c r="C532" s="6">
        <v>59</v>
      </c>
      <c r="D532" s="7">
        <v>530</v>
      </c>
      <c r="E532" s="8"/>
    </row>
    <row r="533" s="1" customFormat="1" ht="18" customHeight="1" spans="1:5">
      <c r="A533" s="5" t="str">
        <f>"文灵灵"</f>
        <v>文灵灵</v>
      </c>
      <c r="B533" s="5" t="str">
        <f>"10101014530"</f>
        <v>10101014530</v>
      </c>
      <c r="C533" s="6">
        <v>59</v>
      </c>
      <c r="D533" s="7">
        <v>531</v>
      </c>
      <c r="E533" s="8"/>
    </row>
    <row r="534" s="1" customFormat="1" ht="18" customHeight="1" spans="1:5">
      <c r="A534" s="5" t="str">
        <f>"蒙兴艳"</f>
        <v>蒙兴艳</v>
      </c>
      <c r="B534" s="5" t="str">
        <f>"10101014608"</f>
        <v>10101014608</v>
      </c>
      <c r="C534" s="6">
        <v>59</v>
      </c>
      <c r="D534" s="7">
        <v>532</v>
      </c>
      <c r="E534" s="8"/>
    </row>
    <row r="535" s="1" customFormat="1" ht="18" customHeight="1" spans="1:5">
      <c r="A535" s="5" t="str">
        <f>"唐海美"</f>
        <v>唐海美</v>
      </c>
      <c r="B535" s="5" t="str">
        <f>"10101014610"</f>
        <v>10101014610</v>
      </c>
      <c r="C535" s="6">
        <v>59</v>
      </c>
      <c r="D535" s="7">
        <v>533</v>
      </c>
      <c r="E535" s="8"/>
    </row>
    <row r="536" s="1" customFormat="1" ht="18" customHeight="1" spans="1:5">
      <c r="A536" s="5" t="str">
        <f>"赵艳勇"</f>
        <v>赵艳勇</v>
      </c>
      <c r="B536" s="5" t="str">
        <f>"10101014615"</f>
        <v>10101014615</v>
      </c>
      <c r="C536" s="6">
        <v>59</v>
      </c>
      <c r="D536" s="7">
        <v>534</v>
      </c>
      <c r="E536" s="8"/>
    </row>
    <row r="537" s="1" customFormat="1" ht="18" customHeight="1" spans="1:5">
      <c r="A537" s="5" t="str">
        <f>"苏秀艳"</f>
        <v>苏秀艳</v>
      </c>
      <c r="B537" s="5" t="str">
        <f>"10101014719"</f>
        <v>10101014719</v>
      </c>
      <c r="C537" s="6">
        <v>59</v>
      </c>
      <c r="D537" s="7">
        <v>535</v>
      </c>
      <c r="E537" s="8"/>
    </row>
    <row r="538" s="1" customFormat="1" ht="18" customHeight="1" spans="1:5">
      <c r="A538" s="5" t="str">
        <f>"符子英"</f>
        <v>符子英</v>
      </c>
      <c r="B538" s="5" t="str">
        <f>"10101014724"</f>
        <v>10101014724</v>
      </c>
      <c r="C538" s="6">
        <v>59</v>
      </c>
      <c r="D538" s="7">
        <v>536</v>
      </c>
      <c r="E538" s="8"/>
    </row>
    <row r="539" s="1" customFormat="1" ht="18" customHeight="1" spans="1:5">
      <c r="A539" s="5" t="str">
        <f>"钟文微"</f>
        <v>钟文微</v>
      </c>
      <c r="B539" s="5" t="str">
        <f>"10101014802"</f>
        <v>10101014802</v>
      </c>
      <c r="C539" s="6">
        <v>59</v>
      </c>
      <c r="D539" s="7">
        <v>537</v>
      </c>
      <c r="E539" s="8"/>
    </row>
    <row r="540" s="1" customFormat="1" ht="18" customHeight="1" spans="1:5">
      <c r="A540" s="5" t="str">
        <f>"黄志银"</f>
        <v>黄志银</v>
      </c>
      <c r="B540" s="5" t="str">
        <f>"10101015113"</f>
        <v>10101015113</v>
      </c>
      <c r="C540" s="6">
        <v>59</v>
      </c>
      <c r="D540" s="7">
        <v>538</v>
      </c>
      <c r="E540" s="8"/>
    </row>
    <row r="541" s="1" customFormat="1" ht="18" customHeight="1" spans="1:5">
      <c r="A541" s="5" t="str">
        <f>"陈秀丽"</f>
        <v>陈秀丽</v>
      </c>
      <c r="B541" s="5" t="str">
        <f>"10101015204"</f>
        <v>10101015204</v>
      </c>
      <c r="C541" s="6">
        <v>59</v>
      </c>
      <c r="D541" s="7">
        <v>539</v>
      </c>
      <c r="E541" s="8"/>
    </row>
    <row r="542" s="1" customFormat="1" ht="18" customHeight="1" spans="1:5">
      <c r="A542" s="5" t="str">
        <f>"张创丽"</f>
        <v>张创丽</v>
      </c>
      <c r="B542" s="5" t="str">
        <f>"10101015321"</f>
        <v>10101015321</v>
      </c>
      <c r="C542" s="6">
        <v>59</v>
      </c>
      <c r="D542" s="7">
        <v>540</v>
      </c>
      <c r="E542" s="8"/>
    </row>
    <row r="543" s="1" customFormat="1" ht="18" customHeight="1" spans="1:5">
      <c r="A543" s="5" t="str">
        <f>"张早霞"</f>
        <v>张早霞</v>
      </c>
      <c r="B543" s="5" t="str">
        <f>"10101012225"</f>
        <v>10101012225</v>
      </c>
      <c r="C543" s="6">
        <v>58</v>
      </c>
      <c r="D543" s="7">
        <v>541</v>
      </c>
      <c r="E543" s="8"/>
    </row>
    <row r="544" s="1" customFormat="1" ht="18" customHeight="1" spans="1:5">
      <c r="A544" s="5" t="str">
        <f>"黄亚云"</f>
        <v>黄亚云</v>
      </c>
      <c r="B544" s="5" t="str">
        <f>"10101012328"</f>
        <v>10101012328</v>
      </c>
      <c r="C544" s="6">
        <v>58</v>
      </c>
      <c r="D544" s="7">
        <v>542</v>
      </c>
      <c r="E544" s="8"/>
    </row>
    <row r="545" s="1" customFormat="1" ht="18" customHeight="1" spans="1:5">
      <c r="A545" s="5" t="str">
        <f>"文日超"</f>
        <v>文日超</v>
      </c>
      <c r="B545" s="5" t="str">
        <f>"10101012414"</f>
        <v>10101012414</v>
      </c>
      <c r="C545" s="6">
        <v>58</v>
      </c>
      <c r="D545" s="7">
        <v>543</v>
      </c>
      <c r="E545" s="8"/>
    </row>
    <row r="546" s="1" customFormat="1" ht="18" customHeight="1" spans="1:5">
      <c r="A546" s="5" t="str">
        <f>"王秋美"</f>
        <v>王秋美</v>
      </c>
      <c r="B546" s="5" t="str">
        <f>"10101012426"</f>
        <v>10101012426</v>
      </c>
      <c r="C546" s="6">
        <v>58</v>
      </c>
      <c r="D546" s="7">
        <v>544</v>
      </c>
      <c r="E546" s="8"/>
    </row>
    <row r="547" s="1" customFormat="1" ht="18" customHeight="1" spans="1:5">
      <c r="A547" s="5" t="str">
        <f>"马佳琴"</f>
        <v>马佳琴</v>
      </c>
      <c r="B547" s="5" t="str">
        <f>"10101012723"</f>
        <v>10101012723</v>
      </c>
      <c r="C547" s="6">
        <v>58</v>
      </c>
      <c r="D547" s="7">
        <v>545</v>
      </c>
      <c r="E547" s="8"/>
    </row>
    <row r="548" s="1" customFormat="1" ht="18" customHeight="1" spans="1:5">
      <c r="A548" s="5" t="str">
        <f>"张帅丽"</f>
        <v>张帅丽</v>
      </c>
      <c r="B548" s="5" t="str">
        <f>"10101012817"</f>
        <v>10101012817</v>
      </c>
      <c r="C548" s="6">
        <v>58</v>
      </c>
      <c r="D548" s="7">
        <v>546</v>
      </c>
      <c r="E548" s="8"/>
    </row>
    <row r="549" s="1" customFormat="1" ht="18" customHeight="1" spans="1:5">
      <c r="A549" s="5" t="str">
        <f>"符桂婷"</f>
        <v>符桂婷</v>
      </c>
      <c r="B549" s="5" t="str">
        <f>"10101013007"</f>
        <v>10101013007</v>
      </c>
      <c r="C549" s="6">
        <v>58</v>
      </c>
      <c r="D549" s="7">
        <v>547</v>
      </c>
      <c r="E549" s="8"/>
    </row>
    <row r="550" s="1" customFormat="1" ht="18" customHeight="1" spans="1:5">
      <c r="A550" s="5" t="str">
        <f>"符丽珍"</f>
        <v>符丽珍</v>
      </c>
      <c r="B550" s="5" t="str">
        <f>"10101013015"</f>
        <v>10101013015</v>
      </c>
      <c r="C550" s="6">
        <v>58</v>
      </c>
      <c r="D550" s="7">
        <v>548</v>
      </c>
      <c r="E550" s="8"/>
    </row>
    <row r="551" s="1" customFormat="1" ht="18" customHeight="1" spans="1:5">
      <c r="A551" s="5" t="str">
        <f>"杨泽江"</f>
        <v>杨泽江</v>
      </c>
      <c r="B551" s="5" t="str">
        <f>"10101013212"</f>
        <v>10101013212</v>
      </c>
      <c r="C551" s="6">
        <v>58</v>
      </c>
      <c r="D551" s="7">
        <v>549</v>
      </c>
      <c r="E551" s="8"/>
    </row>
    <row r="552" s="1" customFormat="1" ht="18" customHeight="1" spans="1:5">
      <c r="A552" s="5" t="str">
        <f>"文美珍"</f>
        <v>文美珍</v>
      </c>
      <c r="B552" s="5" t="str">
        <f>"10101013213"</f>
        <v>10101013213</v>
      </c>
      <c r="C552" s="6">
        <v>58</v>
      </c>
      <c r="D552" s="7">
        <v>550</v>
      </c>
      <c r="E552" s="8"/>
    </row>
    <row r="553" s="1" customFormat="1" ht="18" customHeight="1" spans="1:5">
      <c r="A553" s="5" t="str">
        <f>"吴天美"</f>
        <v>吴天美</v>
      </c>
      <c r="B553" s="5" t="str">
        <f>"10101013219"</f>
        <v>10101013219</v>
      </c>
      <c r="C553" s="6">
        <v>58</v>
      </c>
      <c r="D553" s="7">
        <v>551</v>
      </c>
      <c r="E553" s="8"/>
    </row>
    <row r="554" s="1" customFormat="1" ht="18" customHeight="1" spans="1:5">
      <c r="A554" s="5" t="str">
        <f>"苏英灵"</f>
        <v>苏英灵</v>
      </c>
      <c r="B554" s="5" t="str">
        <f>"10101013228"</f>
        <v>10101013228</v>
      </c>
      <c r="C554" s="6">
        <v>58</v>
      </c>
      <c r="D554" s="7">
        <v>552</v>
      </c>
      <c r="E554" s="8"/>
    </row>
    <row r="555" s="1" customFormat="1" ht="18" customHeight="1" spans="1:5">
      <c r="A555" s="5" t="str">
        <f>"符玲玉"</f>
        <v>符玲玉</v>
      </c>
      <c r="B555" s="5" t="str">
        <f>"10101013330"</f>
        <v>10101013330</v>
      </c>
      <c r="C555" s="6">
        <v>58</v>
      </c>
      <c r="D555" s="7">
        <v>553</v>
      </c>
      <c r="E555" s="8"/>
    </row>
    <row r="556" s="1" customFormat="1" ht="18" customHeight="1" spans="1:5">
      <c r="A556" s="5" t="str">
        <f>"刘凤金"</f>
        <v>刘凤金</v>
      </c>
      <c r="B556" s="5" t="str">
        <f>"10101013429"</f>
        <v>10101013429</v>
      </c>
      <c r="C556" s="6">
        <v>58</v>
      </c>
      <c r="D556" s="7">
        <v>554</v>
      </c>
      <c r="E556" s="8"/>
    </row>
    <row r="557" s="1" customFormat="1" ht="18" customHeight="1" spans="1:5">
      <c r="A557" s="5" t="str">
        <f>"吉鲁妹"</f>
        <v>吉鲁妹</v>
      </c>
      <c r="B557" s="5" t="str">
        <f>"10101013703"</f>
        <v>10101013703</v>
      </c>
      <c r="C557" s="6">
        <v>58</v>
      </c>
      <c r="D557" s="7">
        <v>555</v>
      </c>
      <c r="E557" s="8"/>
    </row>
    <row r="558" s="1" customFormat="1" ht="18" customHeight="1" spans="1:5">
      <c r="A558" s="5" t="str">
        <f>"马丽萍"</f>
        <v>马丽萍</v>
      </c>
      <c r="B558" s="5" t="str">
        <f>"10101013802"</f>
        <v>10101013802</v>
      </c>
      <c r="C558" s="6">
        <v>58</v>
      </c>
      <c r="D558" s="7">
        <v>556</v>
      </c>
      <c r="E558" s="8"/>
    </row>
    <row r="559" s="1" customFormat="1" ht="18" customHeight="1" spans="1:5">
      <c r="A559" s="5" t="str">
        <f>"符苏妍"</f>
        <v>符苏妍</v>
      </c>
      <c r="B559" s="5" t="str">
        <f>"10101013825"</f>
        <v>10101013825</v>
      </c>
      <c r="C559" s="6">
        <v>58</v>
      </c>
      <c r="D559" s="7">
        <v>557</v>
      </c>
      <c r="E559" s="8"/>
    </row>
    <row r="560" s="1" customFormat="1" ht="18" customHeight="1" spans="1:5">
      <c r="A560" s="5" t="str">
        <f>"李小芳"</f>
        <v>李小芳</v>
      </c>
      <c r="B560" s="5" t="str">
        <f>"10101013829"</f>
        <v>10101013829</v>
      </c>
      <c r="C560" s="6">
        <v>58</v>
      </c>
      <c r="D560" s="7">
        <v>558</v>
      </c>
      <c r="E560" s="8"/>
    </row>
    <row r="561" s="1" customFormat="1" ht="18" customHeight="1" spans="1:5">
      <c r="A561" s="5" t="str">
        <f>"周家爱"</f>
        <v>周家爱</v>
      </c>
      <c r="B561" s="5" t="str">
        <f>"10101014108"</f>
        <v>10101014108</v>
      </c>
      <c r="C561" s="6">
        <v>58</v>
      </c>
      <c r="D561" s="7">
        <v>559</v>
      </c>
      <c r="E561" s="8"/>
    </row>
    <row r="562" s="1" customFormat="1" ht="18" customHeight="1" spans="1:5">
      <c r="A562" s="5" t="str">
        <f>" 林青娴"</f>
        <v> 林青娴</v>
      </c>
      <c r="B562" s="5" t="str">
        <f>"10101014116"</f>
        <v>10101014116</v>
      </c>
      <c r="C562" s="6">
        <v>58</v>
      </c>
      <c r="D562" s="7">
        <v>560</v>
      </c>
      <c r="E562" s="8"/>
    </row>
    <row r="563" s="1" customFormat="1" ht="18" customHeight="1" spans="1:5">
      <c r="A563" s="5" t="str">
        <f>"符金倩"</f>
        <v>符金倩</v>
      </c>
      <c r="B563" s="5" t="str">
        <f>"10101014223"</f>
        <v>10101014223</v>
      </c>
      <c r="C563" s="6">
        <v>58</v>
      </c>
      <c r="D563" s="7">
        <v>561</v>
      </c>
      <c r="E563" s="8"/>
    </row>
    <row r="564" s="1" customFormat="1" ht="18" customHeight="1" spans="1:5">
      <c r="A564" s="5" t="str">
        <f>"唐纯芳"</f>
        <v>唐纯芳</v>
      </c>
      <c r="B564" s="5" t="str">
        <f>"10101014403"</f>
        <v>10101014403</v>
      </c>
      <c r="C564" s="6">
        <v>58</v>
      </c>
      <c r="D564" s="7">
        <v>562</v>
      </c>
      <c r="E564" s="8"/>
    </row>
    <row r="565" s="1" customFormat="1" ht="18" customHeight="1" spans="1:5">
      <c r="A565" s="5" t="str">
        <f>"刘肖玲"</f>
        <v>刘肖玲</v>
      </c>
      <c r="B565" s="5" t="str">
        <f>"10101014407"</f>
        <v>10101014407</v>
      </c>
      <c r="C565" s="6">
        <v>58</v>
      </c>
      <c r="D565" s="7">
        <v>563</v>
      </c>
      <c r="E565" s="8"/>
    </row>
    <row r="566" s="1" customFormat="1" ht="18" customHeight="1" spans="1:5">
      <c r="A566" s="5" t="str">
        <f>"陈晓菲"</f>
        <v>陈晓菲</v>
      </c>
      <c r="B566" s="5" t="str">
        <f>"10101014516"</f>
        <v>10101014516</v>
      </c>
      <c r="C566" s="6">
        <v>58</v>
      </c>
      <c r="D566" s="7">
        <v>564</v>
      </c>
      <c r="E566" s="8"/>
    </row>
    <row r="567" s="1" customFormat="1" ht="18" customHeight="1" spans="1:5">
      <c r="A567" s="5" t="str">
        <f>"刘晓薇"</f>
        <v>刘晓薇</v>
      </c>
      <c r="B567" s="5" t="str">
        <f>"10101014808"</f>
        <v>10101014808</v>
      </c>
      <c r="C567" s="6">
        <v>58</v>
      </c>
      <c r="D567" s="7">
        <v>565</v>
      </c>
      <c r="E567" s="8"/>
    </row>
    <row r="568" s="1" customFormat="1" ht="18" customHeight="1" spans="1:5">
      <c r="A568" s="5" t="str">
        <f>"符秀丽"</f>
        <v>符秀丽</v>
      </c>
      <c r="B568" s="5" t="str">
        <f>"10101014815"</f>
        <v>10101014815</v>
      </c>
      <c r="C568" s="6">
        <v>58</v>
      </c>
      <c r="D568" s="7">
        <v>566</v>
      </c>
      <c r="E568" s="8"/>
    </row>
    <row r="569" s="1" customFormat="1" ht="18" customHeight="1" spans="1:5">
      <c r="A569" s="5" t="str">
        <f>"郑敏"</f>
        <v>郑敏</v>
      </c>
      <c r="B569" s="5" t="str">
        <f>"10101014821"</f>
        <v>10101014821</v>
      </c>
      <c r="C569" s="6">
        <v>58</v>
      </c>
      <c r="D569" s="7">
        <v>567</v>
      </c>
      <c r="E569" s="8"/>
    </row>
    <row r="570" s="1" customFormat="1" ht="18" customHeight="1" spans="1:5">
      <c r="A570" s="5" t="str">
        <f>"文世莹"</f>
        <v>文世莹</v>
      </c>
      <c r="B570" s="5" t="str">
        <f>"10101015005"</f>
        <v>10101015005</v>
      </c>
      <c r="C570" s="6">
        <v>58</v>
      </c>
      <c r="D570" s="7">
        <v>568</v>
      </c>
      <c r="E570" s="8"/>
    </row>
    <row r="571" s="1" customFormat="1" ht="18" customHeight="1" spans="1:5">
      <c r="A571" s="5" t="str">
        <f>"吉丽丽"</f>
        <v>吉丽丽</v>
      </c>
      <c r="B571" s="5" t="str">
        <f>"10101015022"</f>
        <v>10101015022</v>
      </c>
      <c r="C571" s="6">
        <v>58</v>
      </c>
      <c r="D571" s="7">
        <v>569</v>
      </c>
      <c r="E571" s="8"/>
    </row>
    <row r="572" s="1" customFormat="1" ht="18" customHeight="1" spans="1:5">
      <c r="A572" s="5" t="str">
        <f>"李黄春"</f>
        <v>李黄春</v>
      </c>
      <c r="B572" s="5" t="str">
        <f>"10101015102"</f>
        <v>10101015102</v>
      </c>
      <c r="C572" s="6">
        <v>58</v>
      </c>
      <c r="D572" s="7">
        <v>570</v>
      </c>
      <c r="E572" s="8"/>
    </row>
    <row r="573" s="1" customFormat="1" ht="18" customHeight="1" spans="1:5">
      <c r="A573" s="5" t="str">
        <f>"符乙娇"</f>
        <v>符乙娇</v>
      </c>
      <c r="B573" s="5" t="str">
        <f>"10101015225"</f>
        <v>10101015225</v>
      </c>
      <c r="C573" s="6">
        <v>58</v>
      </c>
      <c r="D573" s="7">
        <v>571</v>
      </c>
      <c r="E573" s="8"/>
    </row>
    <row r="574" s="1" customFormat="1" ht="18" customHeight="1" spans="1:5">
      <c r="A574" s="5" t="str">
        <f>"符岁香"</f>
        <v>符岁香</v>
      </c>
      <c r="B574" s="5" t="str">
        <f>"10101015502"</f>
        <v>10101015502</v>
      </c>
      <c r="C574" s="6">
        <v>58</v>
      </c>
      <c r="D574" s="7">
        <v>572</v>
      </c>
      <c r="E574" s="8"/>
    </row>
    <row r="575" s="1" customFormat="1" ht="18" customHeight="1" spans="1:5">
      <c r="A575" s="5" t="str">
        <f>"曾小茜"</f>
        <v>曾小茜</v>
      </c>
      <c r="B575" s="5" t="str">
        <f>"10101012214"</f>
        <v>10101012214</v>
      </c>
      <c r="C575" s="6">
        <v>57</v>
      </c>
      <c r="D575" s="7">
        <v>573</v>
      </c>
      <c r="E575" s="8"/>
    </row>
    <row r="576" s="1" customFormat="1" ht="18" customHeight="1" spans="1:5">
      <c r="A576" s="5" t="str">
        <f>"任喜微"</f>
        <v>任喜微</v>
      </c>
      <c r="B576" s="5" t="str">
        <f>"10101012421"</f>
        <v>10101012421</v>
      </c>
      <c r="C576" s="6">
        <v>57</v>
      </c>
      <c r="D576" s="7">
        <v>574</v>
      </c>
      <c r="E576" s="8"/>
    </row>
    <row r="577" s="1" customFormat="1" ht="18" customHeight="1" spans="1:5">
      <c r="A577" s="5" t="str">
        <f>"王光环"</f>
        <v>王光环</v>
      </c>
      <c r="B577" s="5" t="str">
        <f>"10101012527"</f>
        <v>10101012527</v>
      </c>
      <c r="C577" s="6">
        <v>57</v>
      </c>
      <c r="D577" s="7">
        <v>575</v>
      </c>
      <c r="E577" s="8"/>
    </row>
    <row r="578" s="1" customFormat="1" ht="18" customHeight="1" spans="1:5">
      <c r="A578" s="5" t="str">
        <f>"关秋敏"</f>
        <v>关秋敏</v>
      </c>
      <c r="B578" s="5" t="str">
        <f>"10101012606"</f>
        <v>10101012606</v>
      </c>
      <c r="C578" s="6">
        <v>57</v>
      </c>
      <c r="D578" s="7">
        <v>576</v>
      </c>
      <c r="E578" s="8"/>
    </row>
    <row r="579" s="1" customFormat="1" ht="18" customHeight="1" spans="1:5">
      <c r="A579" s="5" t="str">
        <f>"张英"</f>
        <v>张英</v>
      </c>
      <c r="B579" s="5" t="str">
        <f>"10101012617"</f>
        <v>10101012617</v>
      </c>
      <c r="C579" s="6">
        <v>57</v>
      </c>
      <c r="D579" s="7">
        <v>577</v>
      </c>
      <c r="E579" s="8"/>
    </row>
    <row r="580" s="1" customFormat="1" ht="18" customHeight="1" spans="1:5">
      <c r="A580" s="5" t="str">
        <f>"麦雅"</f>
        <v>麦雅</v>
      </c>
      <c r="B580" s="5" t="str">
        <f>"10101012621"</f>
        <v>10101012621</v>
      </c>
      <c r="C580" s="6">
        <v>57</v>
      </c>
      <c r="D580" s="7">
        <v>578</v>
      </c>
      <c r="E580" s="8"/>
    </row>
    <row r="581" s="1" customFormat="1" ht="18" customHeight="1" spans="1:5">
      <c r="A581" s="5" t="str">
        <f>"高飞江"</f>
        <v>高飞江</v>
      </c>
      <c r="B581" s="5" t="str">
        <f>"10101012726"</f>
        <v>10101012726</v>
      </c>
      <c r="C581" s="6">
        <v>57</v>
      </c>
      <c r="D581" s="7">
        <v>579</v>
      </c>
      <c r="E581" s="8"/>
    </row>
    <row r="582" s="1" customFormat="1" ht="18" customHeight="1" spans="1:5">
      <c r="A582" s="5" t="str">
        <f>"卢炳燕"</f>
        <v>卢炳燕</v>
      </c>
      <c r="B582" s="5" t="str">
        <f>"10101012827"</f>
        <v>10101012827</v>
      </c>
      <c r="C582" s="6">
        <v>57</v>
      </c>
      <c r="D582" s="7">
        <v>580</v>
      </c>
      <c r="E582" s="8"/>
    </row>
    <row r="583" s="1" customFormat="1" ht="18" customHeight="1" spans="1:5">
      <c r="A583" s="5" t="str">
        <f>"吉海转"</f>
        <v>吉海转</v>
      </c>
      <c r="B583" s="5" t="str">
        <f>"10101012906"</f>
        <v>10101012906</v>
      </c>
      <c r="C583" s="6">
        <v>57</v>
      </c>
      <c r="D583" s="7">
        <v>581</v>
      </c>
      <c r="E583" s="8"/>
    </row>
    <row r="584" ht="18" customHeight="1" spans="1:5">
      <c r="A584" s="10" t="str">
        <f>"张正丽"</f>
        <v>张正丽</v>
      </c>
      <c r="B584" s="10" t="str">
        <f>"10101013017"</f>
        <v>10101013017</v>
      </c>
      <c r="C584" s="11">
        <v>57</v>
      </c>
      <c r="D584" s="7">
        <v>582</v>
      </c>
      <c r="E584" s="8" t="s">
        <v>20</v>
      </c>
    </row>
    <row r="585" ht="18" customHeight="1" spans="1:5">
      <c r="A585" s="10" t="str">
        <f>"文金玉"</f>
        <v>文金玉</v>
      </c>
      <c r="B585" s="10" t="str">
        <f>"10101013409"</f>
        <v>10101013409</v>
      </c>
      <c r="C585" s="11">
        <v>57</v>
      </c>
      <c r="D585" s="7">
        <v>583</v>
      </c>
      <c r="E585" s="11"/>
    </row>
    <row r="586" ht="18" customHeight="1" spans="1:5">
      <c r="A586" s="10" t="str">
        <f>"林慧"</f>
        <v>林慧</v>
      </c>
      <c r="B586" s="10" t="str">
        <f>"10101013430"</f>
        <v>10101013430</v>
      </c>
      <c r="C586" s="11">
        <v>57</v>
      </c>
      <c r="D586" s="7">
        <v>584</v>
      </c>
      <c r="E586" s="11"/>
    </row>
    <row r="587" ht="18" customHeight="1" spans="1:5">
      <c r="A587" s="10" t="str">
        <f>"卢运琪"</f>
        <v>卢运琪</v>
      </c>
      <c r="B587" s="10" t="str">
        <f>"10101013716"</f>
        <v>10101013716</v>
      </c>
      <c r="C587" s="11">
        <v>57</v>
      </c>
      <c r="D587" s="7">
        <v>585</v>
      </c>
      <c r="E587" s="11"/>
    </row>
    <row r="588" ht="18" customHeight="1" spans="1:5">
      <c r="A588" s="10" t="str">
        <f>"赵东玲"</f>
        <v>赵东玲</v>
      </c>
      <c r="B588" s="10" t="str">
        <f>"10101013726"</f>
        <v>10101013726</v>
      </c>
      <c r="C588" s="11">
        <v>57</v>
      </c>
      <c r="D588" s="7">
        <v>586</v>
      </c>
      <c r="E588" s="11"/>
    </row>
    <row r="589" ht="18" customHeight="1" spans="1:5">
      <c r="A589" s="10" t="str">
        <f>"张作嫔"</f>
        <v>张作嫔</v>
      </c>
      <c r="B589" s="10" t="str">
        <f>"10101013729"</f>
        <v>10101013729</v>
      </c>
      <c r="C589" s="11">
        <v>57</v>
      </c>
      <c r="D589" s="7">
        <v>587</v>
      </c>
      <c r="E589" s="11"/>
    </row>
    <row r="590" ht="18" customHeight="1" spans="1:5">
      <c r="A590" s="10" t="str">
        <f>"吴晓曼"</f>
        <v>吴晓曼</v>
      </c>
      <c r="B590" s="10" t="str">
        <f>"10101013824"</f>
        <v>10101013824</v>
      </c>
      <c r="C590" s="11">
        <v>57</v>
      </c>
      <c r="D590" s="7">
        <v>588</v>
      </c>
      <c r="E590" s="11"/>
    </row>
    <row r="591" ht="18" customHeight="1" spans="1:5">
      <c r="A591" s="10" t="str">
        <f>"张小英"</f>
        <v>张小英</v>
      </c>
      <c r="B591" s="10" t="str">
        <f>"10101013905"</f>
        <v>10101013905</v>
      </c>
      <c r="C591" s="11">
        <v>57</v>
      </c>
      <c r="D591" s="7">
        <v>589</v>
      </c>
      <c r="E591" s="11"/>
    </row>
    <row r="592" ht="18" customHeight="1" spans="1:5">
      <c r="A592" s="10" t="str">
        <f>"陈珊珊"</f>
        <v>陈珊珊</v>
      </c>
      <c r="B592" s="10" t="str">
        <f>"10101013916"</f>
        <v>10101013916</v>
      </c>
      <c r="C592" s="11">
        <v>57</v>
      </c>
      <c r="D592" s="7">
        <v>590</v>
      </c>
      <c r="E592" s="11"/>
    </row>
    <row r="593" ht="18" customHeight="1" spans="1:5">
      <c r="A593" s="10" t="str">
        <f>"林宏君"</f>
        <v>林宏君</v>
      </c>
      <c r="B593" s="10" t="str">
        <f>"10101014416"</f>
        <v>10101014416</v>
      </c>
      <c r="C593" s="11">
        <v>57</v>
      </c>
      <c r="D593" s="7">
        <v>591</v>
      </c>
      <c r="E593" s="11"/>
    </row>
    <row r="594" ht="18" customHeight="1" spans="1:5">
      <c r="A594" s="10" t="str">
        <f>"陈永丽"</f>
        <v>陈永丽</v>
      </c>
      <c r="B594" s="10" t="str">
        <f>"10101014617"</f>
        <v>10101014617</v>
      </c>
      <c r="C594" s="11">
        <v>57</v>
      </c>
      <c r="D594" s="7">
        <v>592</v>
      </c>
      <c r="E594" s="8" t="s">
        <v>21</v>
      </c>
    </row>
    <row r="595" ht="18" customHeight="1" spans="1:5">
      <c r="A595" s="10" t="str">
        <f>"苏榕霞"</f>
        <v>苏榕霞</v>
      </c>
      <c r="B595" s="10" t="str">
        <f>"10101014709"</f>
        <v>10101014709</v>
      </c>
      <c r="C595" s="11">
        <v>57</v>
      </c>
      <c r="D595" s="7">
        <v>593</v>
      </c>
      <c r="E595" s="11"/>
    </row>
    <row r="596" ht="18" customHeight="1" spans="1:5">
      <c r="A596" s="10" t="str">
        <f>"吴连"</f>
        <v>吴连</v>
      </c>
      <c r="B596" s="10" t="str">
        <f>"10101014919"</f>
        <v>10101014919</v>
      </c>
      <c r="C596" s="11">
        <v>57</v>
      </c>
      <c r="D596" s="7">
        <v>594</v>
      </c>
      <c r="E596" s="11"/>
    </row>
    <row r="597" ht="18" customHeight="1" spans="1:5">
      <c r="A597" s="10" t="str">
        <f>"赵学清"</f>
        <v>赵学清</v>
      </c>
      <c r="B597" s="10" t="str">
        <f>"10101015123"</f>
        <v>10101015123</v>
      </c>
      <c r="C597" s="11">
        <v>57</v>
      </c>
      <c r="D597" s="7">
        <v>595</v>
      </c>
      <c r="E597" s="11"/>
    </row>
    <row r="598" ht="18" customHeight="1" spans="1:5">
      <c r="A598" s="10" t="str">
        <f>"符亚珍"</f>
        <v>符亚珍</v>
      </c>
      <c r="B598" s="10" t="str">
        <f>"10101015220"</f>
        <v>10101015220</v>
      </c>
      <c r="C598" s="11">
        <v>57</v>
      </c>
      <c r="D598" s="7">
        <v>596</v>
      </c>
      <c r="E598" s="11"/>
    </row>
    <row r="599" ht="18" customHeight="1" spans="1:5">
      <c r="A599" s="10" t="str">
        <f>"吴燕媛"</f>
        <v>吴燕媛</v>
      </c>
      <c r="B599" s="10" t="str">
        <f>"10101015224"</f>
        <v>10101015224</v>
      </c>
      <c r="C599" s="11">
        <v>57</v>
      </c>
      <c r="D599" s="7">
        <v>597</v>
      </c>
      <c r="E599" s="11"/>
    </row>
    <row r="600" ht="18" customHeight="1" spans="1:5">
      <c r="A600" s="10" t="str">
        <f>"文晶晶"</f>
        <v>文晶晶</v>
      </c>
      <c r="B600" s="10" t="str">
        <f>"10101015302"</f>
        <v>10101015302</v>
      </c>
      <c r="C600" s="11">
        <v>57</v>
      </c>
      <c r="D600" s="7">
        <v>598</v>
      </c>
      <c r="E600" s="11"/>
    </row>
    <row r="601" ht="18" customHeight="1" spans="1:5">
      <c r="A601" s="10" t="str">
        <f>"陈小凤"</f>
        <v>陈小凤</v>
      </c>
      <c r="B601" s="10" t="str">
        <f>"10101015403"</f>
        <v>10101015403</v>
      </c>
      <c r="C601" s="11">
        <v>57</v>
      </c>
      <c r="D601" s="7">
        <v>599</v>
      </c>
      <c r="E601" s="8" t="s">
        <v>22</v>
      </c>
    </row>
    <row r="602" ht="18" customHeight="1" spans="1:5">
      <c r="A602" s="10" t="str">
        <f>"文列青"</f>
        <v>文列青</v>
      </c>
      <c r="B602" s="10" t="str">
        <f>"10101012210"</f>
        <v>10101012210</v>
      </c>
      <c r="C602" s="11">
        <v>56</v>
      </c>
      <c r="D602" s="7">
        <v>600</v>
      </c>
      <c r="E602" s="11"/>
    </row>
    <row r="603" ht="18" customHeight="1" spans="1:5">
      <c r="A603" s="10" t="str">
        <f>"陈永星"</f>
        <v>陈永星</v>
      </c>
      <c r="B603" s="10" t="str">
        <f>"10101012315"</f>
        <v>10101012315</v>
      </c>
      <c r="C603" s="11">
        <v>56</v>
      </c>
      <c r="D603" s="7">
        <v>601</v>
      </c>
      <c r="E603" s="11"/>
    </row>
    <row r="604" ht="18" customHeight="1" spans="1:5">
      <c r="A604" s="10" t="str">
        <f>"王家美"</f>
        <v>王家美</v>
      </c>
      <c r="B604" s="10" t="str">
        <f>"10101012322"</f>
        <v>10101012322</v>
      </c>
      <c r="C604" s="11">
        <v>56</v>
      </c>
      <c r="D604" s="7">
        <v>602</v>
      </c>
      <c r="E604" s="11"/>
    </row>
    <row r="605" ht="18" customHeight="1" spans="1:5">
      <c r="A605" s="10" t="str">
        <f>"张小凤"</f>
        <v>张小凤</v>
      </c>
      <c r="B605" s="10" t="str">
        <f>"10101012423"</f>
        <v>10101012423</v>
      </c>
      <c r="C605" s="11">
        <v>56</v>
      </c>
      <c r="D605" s="7">
        <v>603</v>
      </c>
      <c r="E605" s="11"/>
    </row>
    <row r="606" ht="18" customHeight="1" spans="1:5">
      <c r="A606" s="10" t="str">
        <f>"文俏翠"</f>
        <v>文俏翠</v>
      </c>
      <c r="B606" s="10" t="str">
        <f>"10101012503"</f>
        <v>10101012503</v>
      </c>
      <c r="C606" s="11">
        <v>56</v>
      </c>
      <c r="D606" s="7">
        <v>604</v>
      </c>
      <c r="E606" s="11"/>
    </row>
    <row r="607" ht="18" customHeight="1" spans="1:5">
      <c r="A607" s="10" t="str">
        <f>"李晓妹"</f>
        <v>李晓妹</v>
      </c>
      <c r="B607" s="10" t="str">
        <f>"10101012516"</f>
        <v>10101012516</v>
      </c>
      <c r="C607" s="11">
        <v>56</v>
      </c>
      <c r="D607" s="7">
        <v>605</v>
      </c>
      <c r="E607" s="11"/>
    </row>
    <row r="608" ht="18" customHeight="1" spans="1:5">
      <c r="A608" s="10" t="str">
        <f>"陈运霞"</f>
        <v>陈运霞</v>
      </c>
      <c r="B608" s="10" t="str">
        <f>"10101012529"</f>
        <v>10101012529</v>
      </c>
      <c r="C608" s="11">
        <v>56</v>
      </c>
      <c r="D608" s="7">
        <v>606</v>
      </c>
      <c r="E608" s="11"/>
    </row>
    <row r="609" ht="18" customHeight="1" spans="1:5">
      <c r="A609" s="10" t="str">
        <f>"曾媛"</f>
        <v>曾媛</v>
      </c>
      <c r="B609" s="10" t="str">
        <f>"10101012706"</f>
        <v>10101012706</v>
      </c>
      <c r="C609" s="11">
        <v>56</v>
      </c>
      <c r="D609" s="7">
        <v>607</v>
      </c>
      <c r="E609" s="11"/>
    </row>
    <row r="610" ht="18" customHeight="1" spans="1:5">
      <c r="A610" s="10" t="str">
        <f>"陈英"</f>
        <v>陈英</v>
      </c>
      <c r="B610" s="10" t="str">
        <f>"10101012804"</f>
        <v>10101012804</v>
      </c>
      <c r="C610" s="11">
        <v>56</v>
      </c>
      <c r="D610" s="7">
        <v>608</v>
      </c>
      <c r="E610" s="11"/>
    </row>
    <row r="611" ht="18" customHeight="1" spans="1:5">
      <c r="A611" s="10" t="str">
        <f>"郭菊梅"</f>
        <v>郭菊梅</v>
      </c>
      <c r="B611" s="10" t="str">
        <f>"10101012919"</f>
        <v>10101012919</v>
      </c>
      <c r="C611" s="11">
        <v>56</v>
      </c>
      <c r="D611" s="7">
        <v>609</v>
      </c>
      <c r="E611" s="11"/>
    </row>
    <row r="612" ht="18" customHeight="1" spans="1:5">
      <c r="A612" s="10" t="str">
        <f>"符家丹"</f>
        <v>符家丹</v>
      </c>
      <c r="B612" s="10" t="str">
        <f>"10101013107"</f>
        <v>10101013107</v>
      </c>
      <c r="C612" s="11">
        <v>56</v>
      </c>
      <c r="D612" s="7">
        <v>610</v>
      </c>
      <c r="E612" s="11"/>
    </row>
    <row r="613" ht="18" customHeight="1" spans="1:5">
      <c r="A613" s="10" t="str">
        <f>"刘侣凤"</f>
        <v>刘侣凤</v>
      </c>
      <c r="B613" s="10" t="str">
        <f>"10101013205"</f>
        <v>10101013205</v>
      </c>
      <c r="C613" s="11">
        <v>56</v>
      </c>
      <c r="D613" s="7">
        <v>611</v>
      </c>
      <c r="E613" s="11"/>
    </row>
    <row r="614" ht="18" customHeight="1" spans="1:5">
      <c r="A614" s="10" t="str">
        <f>"文小淑"</f>
        <v>文小淑</v>
      </c>
      <c r="B614" s="10" t="str">
        <f>"10101013209"</f>
        <v>10101013209</v>
      </c>
      <c r="C614" s="11">
        <v>56</v>
      </c>
      <c r="D614" s="7">
        <v>612</v>
      </c>
      <c r="E614" s="11"/>
    </row>
    <row r="615" ht="18" customHeight="1" spans="1:5">
      <c r="A615" s="10" t="str">
        <f>"符珍珍"</f>
        <v>符珍珍</v>
      </c>
      <c r="B615" s="10" t="str">
        <f>"10101013210"</f>
        <v>10101013210</v>
      </c>
      <c r="C615" s="11">
        <v>56</v>
      </c>
      <c r="D615" s="7">
        <v>613</v>
      </c>
      <c r="E615" s="11"/>
    </row>
    <row r="616" ht="18" customHeight="1" spans="1:5">
      <c r="A616" s="10" t="str">
        <f>"周琪"</f>
        <v>周琪</v>
      </c>
      <c r="B616" s="10" t="str">
        <f>"10101013911"</f>
        <v>10101013911</v>
      </c>
      <c r="C616" s="11">
        <v>56</v>
      </c>
      <c r="D616" s="7">
        <v>614</v>
      </c>
      <c r="E616" s="11"/>
    </row>
    <row r="617" ht="18" customHeight="1" spans="1:5">
      <c r="A617" s="10" t="str">
        <f>"王江仪"</f>
        <v>王江仪</v>
      </c>
      <c r="B617" s="10" t="str">
        <f>"10101014030"</f>
        <v>10101014030</v>
      </c>
      <c r="C617" s="11">
        <v>56</v>
      </c>
      <c r="D617" s="7">
        <v>615</v>
      </c>
      <c r="E617" s="11"/>
    </row>
    <row r="618" ht="18" customHeight="1" spans="1:5">
      <c r="A618" s="10" t="str">
        <f>"张吉妹"</f>
        <v>张吉妹</v>
      </c>
      <c r="B618" s="10" t="str">
        <f>"10101014219"</f>
        <v>10101014219</v>
      </c>
      <c r="C618" s="11">
        <v>56</v>
      </c>
      <c r="D618" s="7">
        <v>616</v>
      </c>
      <c r="E618" s="11"/>
    </row>
    <row r="619" ht="18" customHeight="1" spans="1:5">
      <c r="A619" s="10" t="str">
        <f>"符媛霞"</f>
        <v>符媛霞</v>
      </c>
      <c r="B619" s="10" t="str">
        <f>"10101014323"</f>
        <v>10101014323</v>
      </c>
      <c r="C619" s="11">
        <v>56</v>
      </c>
      <c r="D619" s="7">
        <v>617</v>
      </c>
      <c r="E619" s="11"/>
    </row>
    <row r="620" ht="18" customHeight="1" spans="1:5">
      <c r="A620" s="10" t="str">
        <f>"张永丽"</f>
        <v>张永丽</v>
      </c>
      <c r="B620" s="10" t="str">
        <f>"10101014413"</f>
        <v>10101014413</v>
      </c>
      <c r="C620" s="11">
        <v>56</v>
      </c>
      <c r="D620" s="7">
        <v>618</v>
      </c>
      <c r="E620" s="11"/>
    </row>
    <row r="621" ht="18" customHeight="1" spans="1:5">
      <c r="A621" s="10" t="str">
        <f>"陈永丽"</f>
        <v>陈永丽</v>
      </c>
      <c r="B621" s="10" t="str">
        <f>"10101014623"</f>
        <v>10101014623</v>
      </c>
      <c r="C621" s="11">
        <v>56</v>
      </c>
      <c r="D621" s="7">
        <v>619</v>
      </c>
      <c r="E621" s="8" t="s">
        <v>23</v>
      </c>
    </row>
    <row r="622" ht="18" customHeight="1" spans="1:5">
      <c r="A622" s="10" t="str">
        <f>"赵秀丽"</f>
        <v>赵秀丽</v>
      </c>
      <c r="B622" s="10" t="str">
        <f>"10101014722"</f>
        <v>10101014722</v>
      </c>
      <c r="C622" s="11">
        <v>56</v>
      </c>
      <c r="D622" s="7">
        <v>620</v>
      </c>
      <c r="E622" s="11"/>
    </row>
    <row r="623" ht="18" customHeight="1" spans="1:5">
      <c r="A623" s="10" t="str">
        <f>"张美京"</f>
        <v>张美京</v>
      </c>
      <c r="B623" s="10" t="str">
        <f>"10101015028"</f>
        <v>10101015028</v>
      </c>
      <c r="C623" s="11">
        <v>56</v>
      </c>
      <c r="D623" s="7">
        <v>621</v>
      </c>
      <c r="E623" s="11"/>
    </row>
    <row r="624" ht="18" customHeight="1" spans="1:5">
      <c r="A624" s="10" t="str">
        <f>"梁家曼"</f>
        <v>梁家曼</v>
      </c>
      <c r="B624" s="10" t="str">
        <f>"10101015030"</f>
        <v>10101015030</v>
      </c>
      <c r="C624" s="11">
        <v>56</v>
      </c>
      <c r="D624" s="7">
        <v>622</v>
      </c>
      <c r="E624" s="11"/>
    </row>
    <row r="625" ht="18" customHeight="1" spans="1:5">
      <c r="A625" s="10" t="str">
        <f>"李绍盈"</f>
        <v>李绍盈</v>
      </c>
      <c r="B625" s="10" t="str">
        <f>"10101015104"</f>
        <v>10101015104</v>
      </c>
      <c r="C625" s="11">
        <v>56</v>
      </c>
      <c r="D625" s="7">
        <v>623</v>
      </c>
      <c r="E625" s="11"/>
    </row>
    <row r="626" ht="18" customHeight="1" spans="1:5">
      <c r="A626" s="10" t="str">
        <f>"王基燕"</f>
        <v>王基燕</v>
      </c>
      <c r="B626" s="10" t="str">
        <f>"10101015314"</f>
        <v>10101015314</v>
      </c>
      <c r="C626" s="11">
        <v>56</v>
      </c>
      <c r="D626" s="7">
        <v>624</v>
      </c>
      <c r="E626" s="11"/>
    </row>
    <row r="627" ht="18" customHeight="1" spans="1:5">
      <c r="A627" s="10" t="str">
        <f>"王业珍"</f>
        <v>王业珍</v>
      </c>
      <c r="B627" s="10" t="str">
        <f>"10101015411"</f>
        <v>10101015411</v>
      </c>
      <c r="C627" s="11">
        <v>56</v>
      </c>
      <c r="D627" s="7">
        <v>625</v>
      </c>
      <c r="E627" s="11"/>
    </row>
    <row r="628" ht="18" customHeight="1" spans="1:5">
      <c r="A628" s="10" t="str">
        <f>"陈国玉"</f>
        <v>陈国玉</v>
      </c>
      <c r="B628" s="10" t="str">
        <f>"10101015414"</f>
        <v>10101015414</v>
      </c>
      <c r="C628" s="11">
        <v>56</v>
      </c>
      <c r="D628" s="7">
        <v>626</v>
      </c>
      <c r="E628" s="11"/>
    </row>
    <row r="629" ht="18" customHeight="1" spans="1:5">
      <c r="A629" s="10" t="str">
        <f>"符义娓"</f>
        <v>符义娓</v>
      </c>
      <c r="B629" s="10" t="str">
        <f>"10101015422"</f>
        <v>10101015422</v>
      </c>
      <c r="C629" s="11">
        <v>56</v>
      </c>
      <c r="D629" s="7">
        <v>627</v>
      </c>
      <c r="E629" s="11"/>
    </row>
    <row r="630" ht="18" customHeight="1" spans="1:5">
      <c r="A630" s="10" t="str">
        <f>"符亚领"</f>
        <v>符亚领</v>
      </c>
      <c r="B630" s="10" t="str">
        <f>"10101015429"</f>
        <v>10101015429</v>
      </c>
      <c r="C630" s="11">
        <v>56</v>
      </c>
      <c r="D630" s="7">
        <v>628</v>
      </c>
      <c r="E630" s="11"/>
    </row>
    <row r="631" ht="18" customHeight="1" spans="1:5">
      <c r="A631" s="10" t="str">
        <f>"符金凤"</f>
        <v>符金凤</v>
      </c>
      <c r="B631" s="10" t="str">
        <f>"10101012105"</f>
        <v>10101012105</v>
      </c>
      <c r="C631" s="11">
        <v>55</v>
      </c>
      <c r="D631" s="7">
        <v>629</v>
      </c>
      <c r="E631" s="8" t="s">
        <v>24</v>
      </c>
    </row>
    <row r="632" ht="18" customHeight="1" spans="1:5">
      <c r="A632" s="10" t="str">
        <f>"刘小茹"</f>
        <v>刘小茹</v>
      </c>
      <c r="B632" s="10" t="str">
        <f>"10101012115"</f>
        <v>10101012115</v>
      </c>
      <c r="C632" s="11">
        <v>55</v>
      </c>
      <c r="D632" s="7">
        <v>630</v>
      </c>
      <c r="E632" s="11"/>
    </row>
    <row r="633" ht="18" customHeight="1" spans="1:5">
      <c r="A633" s="10" t="str">
        <f>"吴良妹"</f>
        <v>吴良妹</v>
      </c>
      <c r="B633" s="10" t="str">
        <f>"10101012409"</f>
        <v>10101012409</v>
      </c>
      <c r="C633" s="11">
        <v>55</v>
      </c>
      <c r="D633" s="7">
        <v>631</v>
      </c>
      <c r="E633" s="11"/>
    </row>
    <row r="634" ht="18" customHeight="1" spans="1:5">
      <c r="A634" s="10" t="str">
        <f>"马亮凤"</f>
        <v>马亮凤</v>
      </c>
      <c r="B634" s="10" t="str">
        <f>"10101012418"</f>
        <v>10101012418</v>
      </c>
      <c r="C634" s="11">
        <v>55</v>
      </c>
      <c r="D634" s="7">
        <v>632</v>
      </c>
      <c r="E634" s="11"/>
    </row>
    <row r="635" ht="18" customHeight="1" spans="1:5">
      <c r="A635" s="10" t="str">
        <f>"张婕"</f>
        <v>张婕</v>
      </c>
      <c r="B635" s="10" t="str">
        <f>"10101012616"</f>
        <v>10101012616</v>
      </c>
      <c r="C635" s="11">
        <v>55</v>
      </c>
      <c r="D635" s="7">
        <v>633</v>
      </c>
      <c r="E635" s="11"/>
    </row>
    <row r="636" ht="18" customHeight="1" spans="1:5">
      <c r="A636" s="10" t="str">
        <f>"林觉"</f>
        <v>林觉</v>
      </c>
      <c r="B636" s="10" t="str">
        <f>"10101012704"</f>
        <v>10101012704</v>
      </c>
      <c r="C636" s="11">
        <v>55</v>
      </c>
      <c r="D636" s="7">
        <v>634</v>
      </c>
      <c r="E636" s="11"/>
    </row>
    <row r="637" ht="18" customHeight="1" spans="1:5">
      <c r="A637" s="10" t="str">
        <f>"吴梅"</f>
        <v>吴梅</v>
      </c>
      <c r="B637" s="10" t="str">
        <f>"10101012729"</f>
        <v>10101012729</v>
      </c>
      <c r="C637" s="11">
        <v>55</v>
      </c>
      <c r="D637" s="7">
        <v>635</v>
      </c>
      <c r="E637" s="11"/>
    </row>
    <row r="638" ht="18" customHeight="1" spans="1:5">
      <c r="A638" s="10" t="str">
        <f>" 林嘉欣"</f>
        <v> 林嘉欣</v>
      </c>
      <c r="B638" s="10" t="str">
        <f>"10101013019"</f>
        <v>10101013019</v>
      </c>
      <c r="C638" s="11">
        <v>55</v>
      </c>
      <c r="D638" s="7">
        <v>636</v>
      </c>
      <c r="E638" s="11"/>
    </row>
    <row r="639" ht="18" customHeight="1" spans="1:5">
      <c r="A639" s="10" t="str">
        <f>"王执霞"</f>
        <v>王执霞</v>
      </c>
      <c r="B639" s="10" t="str">
        <f>"10101013202"</f>
        <v>10101013202</v>
      </c>
      <c r="C639" s="11">
        <v>55</v>
      </c>
      <c r="D639" s="7">
        <v>637</v>
      </c>
      <c r="E639" s="11"/>
    </row>
    <row r="640" ht="18" customHeight="1" spans="1:5">
      <c r="A640" s="10" t="str">
        <f>"冯转平"</f>
        <v>冯转平</v>
      </c>
      <c r="B640" s="10" t="str">
        <f>"10101013303"</f>
        <v>10101013303</v>
      </c>
      <c r="C640" s="11">
        <v>55</v>
      </c>
      <c r="D640" s="7">
        <v>638</v>
      </c>
      <c r="E640" s="11"/>
    </row>
    <row r="641" ht="18" customHeight="1" spans="1:5">
      <c r="A641" s="10" t="str">
        <f>"赵永美"</f>
        <v>赵永美</v>
      </c>
      <c r="B641" s="10" t="str">
        <f>"10101013304"</f>
        <v>10101013304</v>
      </c>
      <c r="C641" s="11">
        <v>55</v>
      </c>
      <c r="D641" s="7">
        <v>639</v>
      </c>
      <c r="E641" s="11"/>
    </row>
    <row r="642" ht="18" customHeight="1" spans="1:5">
      <c r="A642" s="10" t="str">
        <f>"高芳瑜"</f>
        <v>高芳瑜</v>
      </c>
      <c r="B642" s="10" t="str">
        <f>"10101013305"</f>
        <v>10101013305</v>
      </c>
      <c r="C642" s="11">
        <v>55</v>
      </c>
      <c r="D642" s="7">
        <v>640</v>
      </c>
      <c r="E642" s="11"/>
    </row>
    <row r="643" ht="18" customHeight="1" spans="1:5">
      <c r="A643" s="10" t="str">
        <f>"赵茂棉"</f>
        <v>赵茂棉</v>
      </c>
      <c r="B643" s="10" t="str">
        <f>"10101013322"</f>
        <v>10101013322</v>
      </c>
      <c r="C643" s="11">
        <v>55</v>
      </c>
      <c r="D643" s="7">
        <v>641</v>
      </c>
      <c r="E643" s="11"/>
    </row>
    <row r="644" ht="18" customHeight="1" spans="1:5">
      <c r="A644" s="10" t="str">
        <f>"倪德娜"</f>
        <v>倪德娜</v>
      </c>
      <c r="B644" s="10" t="str">
        <f>"10101013329"</f>
        <v>10101013329</v>
      </c>
      <c r="C644" s="11">
        <v>55</v>
      </c>
      <c r="D644" s="7">
        <v>642</v>
      </c>
      <c r="E644" s="11"/>
    </row>
    <row r="645" ht="18" customHeight="1" spans="1:5">
      <c r="A645" s="10" t="str">
        <f>"罗随相"</f>
        <v>罗随相</v>
      </c>
      <c r="B645" s="10" t="str">
        <f>"10101013404"</f>
        <v>10101013404</v>
      </c>
      <c r="C645" s="11">
        <v>55</v>
      </c>
      <c r="D645" s="7">
        <v>643</v>
      </c>
      <c r="E645" s="11"/>
    </row>
    <row r="646" ht="18" customHeight="1" spans="1:5">
      <c r="A646" s="10" t="str">
        <f>"陈姿"</f>
        <v>陈姿</v>
      </c>
      <c r="B646" s="10" t="str">
        <f>"10101013406"</f>
        <v>10101013406</v>
      </c>
      <c r="C646" s="11">
        <v>55</v>
      </c>
      <c r="D646" s="7">
        <v>644</v>
      </c>
      <c r="E646" s="11"/>
    </row>
    <row r="647" ht="18" customHeight="1" spans="1:5">
      <c r="A647" s="10" t="str">
        <f>"吉艳祯"</f>
        <v>吉艳祯</v>
      </c>
      <c r="B647" s="10" t="str">
        <f>"10101013712"</f>
        <v>10101013712</v>
      </c>
      <c r="C647" s="11">
        <v>55</v>
      </c>
      <c r="D647" s="7">
        <v>645</v>
      </c>
      <c r="E647" s="11"/>
    </row>
    <row r="648" ht="18" customHeight="1" spans="1:5">
      <c r="A648" s="10" t="str">
        <f>"符起雪"</f>
        <v>符起雪</v>
      </c>
      <c r="B648" s="10" t="str">
        <f>"10101013723"</f>
        <v>10101013723</v>
      </c>
      <c r="C648" s="11">
        <v>55</v>
      </c>
      <c r="D648" s="7">
        <v>646</v>
      </c>
      <c r="E648" s="11"/>
    </row>
    <row r="649" ht="18" customHeight="1" spans="1:5">
      <c r="A649" s="10" t="str">
        <f>"张淑榕"</f>
        <v>张淑榕</v>
      </c>
      <c r="B649" s="10" t="str">
        <f>"10101013811"</f>
        <v>10101013811</v>
      </c>
      <c r="C649" s="11">
        <v>55</v>
      </c>
      <c r="D649" s="7">
        <v>647</v>
      </c>
      <c r="E649" s="11"/>
    </row>
    <row r="650" ht="18" customHeight="1" spans="1:5">
      <c r="A650" s="10" t="str">
        <f>"符俊兰"</f>
        <v>符俊兰</v>
      </c>
      <c r="B650" s="10" t="str">
        <f>"10101013814"</f>
        <v>10101013814</v>
      </c>
      <c r="C650" s="11">
        <v>55</v>
      </c>
      <c r="D650" s="7">
        <v>648</v>
      </c>
      <c r="E650" s="11"/>
    </row>
    <row r="651" ht="18" customHeight="1" spans="1:5">
      <c r="A651" s="10" t="str">
        <f>"赵美坛"</f>
        <v>赵美坛</v>
      </c>
      <c r="B651" s="10" t="str">
        <f>"10101013820"</f>
        <v>10101013820</v>
      </c>
      <c r="C651" s="11">
        <v>55</v>
      </c>
      <c r="D651" s="7">
        <v>649</v>
      </c>
      <c r="E651" s="11"/>
    </row>
    <row r="652" ht="18" customHeight="1" spans="1:5">
      <c r="A652" s="10" t="str">
        <f>"文开和"</f>
        <v>文开和</v>
      </c>
      <c r="B652" s="10" t="str">
        <f>"10101013913"</f>
        <v>10101013913</v>
      </c>
      <c r="C652" s="11">
        <v>55</v>
      </c>
      <c r="D652" s="7">
        <v>650</v>
      </c>
      <c r="E652" s="11"/>
    </row>
    <row r="653" ht="18" customHeight="1" spans="1:5">
      <c r="A653" s="10" t="str">
        <f>"韦丽英"</f>
        <v>韦丽英</v>
      </c>
      <c r="B653" s="10" t="str">
        <f>"10101013918"</f>
        <v>10101013918</v>
      </c>
      <c r="C653" s="11">
        <v>55</v>
      </c>
      <c r="D653" s="7">
        <v>651</v>
      </c>
      <c r="E653" s="11"/>
    </row>
    <row r="654" ht="18" customHeight="1" spans="1:5">
      <c r="A654" s="10" t="str">
        <f>"羊珍"</f>
        <v>羊珍</v>
      </c>
      <c r="B654" s="10" t="str">
        <f>"10101014229"</f>
        <v>10101014229</v>
      </c>
      <c r="C654" s="11">
        <v>55</v>
      </c>
      <c r="D654" s="7">
        <v>652</v>
      </c>
      <c r="E654" s="11"/>
    </row>
    <row r="655" ht="18" customHeight="1" spans="1:5">
      <c r="A655" s="10" t="str">
        <f>"唐丽凤"</f>
        <v>唐丽凤</v>
      </c>
      <c r="B655" s="10" t="str">
        <f>"10101014306"</f>
        <v>10101014306</v>
      </c>
      <c r="C655" s="11">
        <v>55</v>
      </c>
      <c r="D655" s="7">
        <v>653</v>
      </c>
      <c r="E655" s="11"/>
    </row>
    <row r="656" ht="18" customHeight="1" spans="1:5">
      <c r="A656" s="10" t="str">
        <f>"钟兴婷"</f>
        <v>钟兴婷</v>
      </c>
      <c r="B656" s="10" t="str">
        <f>"10101014402"</f>
        <v>10101014402</v>
      </c>
      <c r="C656" s="11">
        <v>55</v>
      </c>
      <c r="D656" s="7">
        <v>654</v>
      </c>
      <c r="E656" s="11"/>
    </row>
    <row r="657" ht="18" customHeight="1" spans="1:5">
      <c r="A657" s="10" t="str">
        <f>"陈冠千"</f>
        <v>陈冠千</v>
      </c>
      <c r="B657" s="10" t="str">
        <f>"10101014420"</f>
        <v>10101014420</v>
      </c>
      <c r="C657" s="11">
        <v>55</v>
      </c>
      <c r="D657" s="7">
        <v>655</v>
      </c>
      <c r="E657" s="11"/>
    </row>
    <row r="658" ht="18" customHeight="1" spans="1:5">
      <c r="A658" s="10" t="str">
        <f>"符焕娜"</f>
        <v>符焕娜</v>
      </c>
      <c r="B658" s="10" t="str">
        <f>"10101014602"</f>
        <v>10101014602</v>
      </c>
      <c r="C658" s="11">
        <v>55</v>
      </c>
      <c r="D658" s="7">
        <v>656</v>
      </c>
      <c r="E658" s="11"/>
    </row>
    <row r="659" ht="18" customHeight="1" spans="1:5">
      <c r="A659" s="10" t="str">
        <f>"苏芳"</f>
        <v>苏芳</v>
      </c>
      <c r="B659" s="10" t="str">
        <f>"10101014609"</f>
        <v>10101014609</v>
      </c>
      <c r="C659" s="11">
        <v>55</v>
      </c>
      <c r="D659" s="7">
        <v>657</v>
      </c>
      <c r="E659" s="11"/>
    </row>
    <row r="660" ht="18" customHeight="1" spans="1:5">
      <c r="A660" s="10" t="str">
        <f>"赵明层"</f>
        <v>赵明层</v>
      </c>
      <c r="B660" s="10" t="str">
        <f>"10101014628"</f>
        <v>10101014628</v>
      </c>
      <c r="C660" s="11">
        <v>55</v>
      </c>
      <c r="D660" s="7">
        <v>658</v>
      </c>
      <c r="E660" s="11"/>
    </row>
    <row r="661" ht="18" customHeight="1" spans="1:5">
      <c r="A661" s="10" t="str">
        <f>"王永蓝"</f>
        <v>王永蓝</v>
      </c>
      <c r="B661" s="10" t="str">
        <f>"10101014717"</f>
        <v>10101014717</v>
      </c>
      <c r="C661" s="11">
        <v>55</v>
      </c>
      <c r="D661" s="7">
        <v>659</v>
      </c>
      <c r="E661" s="11"/>
    </row>
    <row r="662" ht="18" customHeight="1" spans="1:5">
      <c r="A662" s="10" t="str">
        <f>"王君娴"</f>
        <v>王君娴</v>
      </c>
      <c r="B662" s="10" t="str">
        <f>"10101014824"</f>
        <v>10101014824</v>
      </c>
      <c r="C662" s="11">
        <v>55</v>
      </c>
      <c r="D662" s="7">
        <v>660</v>
      </c>
      <c r="E662" s="11"/>
    </row>
    <row r="663" ht="18" customHeight="1" spans="1:5">
      <c r="A663" s="10" t="str">
        <f>"李广彩"</f>
        <v>李广彩</v>
      </c>
      <c r="B663" s="10" t="str">
        <f>"10101015003"</f>
        <v>10101015003</v>
      </c>
      <c r="C663" s="11">
        <v>55</v>
      </c>
      <c r="D663" s="7">
        <v>661</v>
      </c>
      <c r="E663" s="11"/>
    </row>
    <row r="664" ht="18" customHeight="1" spans="1:5">
      <c r="A664" s="10" t="str">
        <f>"陈平艳"</f>
        <v>陈平艳</v>
      </c>
      <c r="B664" s="10" t="str">
        <f>"10101015019"</f>
        <v>10101015019</v>
      </c>
      <c r="C664" s="11">
        <v>55</v>
      </c>
      <c r="D664" s="7">
        <v>662</v>
      </c>
      <c r="E664" s="11"/>
    </row>
    <row r="665" ht="18" customHeight="1" spans="1:5">
      <c r="A665" s="10" t="str">
        <f>"李凤"</f>
        <v>李凤</v>
      </c>
      <c r="B665" s="10" t="str">
        <f>"10101015212"</f>
        <v>10101015212</v>
      </c>
      <c r="C665" s="11">
        <v>55</v>
      </c>
      <c r="D665" s="7">
        <v>663</v>
      </c>
      <c r="E665" s="11"/>
    </row>
    <row r="666" ht="18" customHeight="1" spans="1:5">
      <c r="A666" s="10" t="str">
        <f>"黄昌英"</f>
        <v>黄昌英</v>
      </c>
      <c r="B666" s="10" t="str">
        <f>"10101015226"</f>
        <v>10101015226</v>
      </c>
      <c r="C666" s="11">
        <v>55</v>
      </c>
      <c r="D666" s="7">
        <v>664</v>
      </c>
      <c r="E666" s="11"/>
    </row>
    <row r="667" ht="18" customHeight="1" spans="1:5">
      <c r="A667" s="10" t="str">
        <f>"张嫔"</f>
        <v>张嫔</v>
      </c>
      <c r="B667" s="10" t="str">
        <f>"10101012116"</f>
        <v>10101012116</v>
      </c>
      <c r="C667" s="11">
        <v>54</v>
      </c>
      <c r="D667" s="7">
        <v>665</v>
      </c>
      <c r="E667" s="11"/>
    </row>
    <row r="668" ht="18" customHeight="1" spans="1:5">
      <c r="A668" s="10" t="str">
        <f>"文永团"</f>
        <v>文永团</v>
      </c>
      <c r="B668" s="10" t="str">
        <f>"10101012201"</f>
        <v>10101012201</v>
      </c>
      <c r="C668" s="11">
        <v>54</v>
      </c>
      <c r="D668" s="7">
        <v>666</v>
      </c>
      <c r="E668" s="11"/>
    </row>
    <row r="669" ht="18" customHeight="1" spans="1:5">
      <c r="A669" s="10" t="str">
        <f>"张新燕"</f>
        <v>张新燕</v>
      </c>
      <c r="B669" s="10" t="str">
        <f>"10101012628"</f>
        <v>10101012628</v>
      </c>
      <c r="C669" s="11">
        <v>54</v>
      </c>
      <c r="D669" s="7">
        <v>667</v>
      </c>
      <c r="E669" s="11"/>
    </row>
    <row r="670" ht="18" customHeight="1" spans="1:5">
      <c r="A670" s="10" t="str">
        <f>"潘棉"</f>
        <v>潘棉</v>
      </c>
      <c r="B670" s="10" t="str">
        <f>"10101012904"</f>
        <v>10101012904</v>
      </c>
      <c r="C670" s="11">
        <v>54</v>
      </c>
      <c r="D670" s="7">
        <v>668</v>
      </c>
      <c r="E670" s="11"/>
    </row>
    <row r="671" ht="18" customHeight="1" spans="1:5">
      <c r="A671" s="10" t="str">
        <f>"周金梅"</f>
        <v>周金梅</v>
      </c>
      <c r="B671" s="10" t="str">
        <f>"10101013327"</f>
        <v>10101013327</v>
      </c>
      <c r="C671" s="11">
        <v>54</v>
      </c>
      <c r="D671" s="7">
        <v>669</v>
      </c>
      <c r="E671" s="11"/>
    </row>
    <row r="672" ht="18" customHeight="1" spans="1:5">
      <c r="A672" s="10" t="str">
        <f>"符华曦"</f>
        <v>符华曦</v>
      </c>
      <c r="B672" s="10" t="str">
        <f>"10101013419"</f>
        <v>10101013419</v>
      </c>
      <c r="C672" s="11">
        <v>54</v>
      </c>
      <c r="D672" s="7">
        <v>670</v>
      </c>
      <c r="E672" s="11"/>
    </row>
    <row r="673" ht="18" customHeight="1" spans="1:5">
      <c r="A673" s="10" t="str">
        <f>"王卿"</f>
        <v>王卿</v>
      </c>
      <c r="B673" s="10" t="str">
        <f>"10101013606"</f>
        <v>10101013606</v>
      </c>
      <c r="C673" s="11">
        <v>54</v>
      </c>
      <c r="D673" s="7">
        <v>671</v>
      </c>
      <c r="E673" s="8" t="s">
        <v>25</v>
      </c>
    </row>
    <row r="674" ht="18" customHeight="1" spans="1:5">
      <c r="A674" s="10" t="str">
        <f>"文江雪"</f>
        <v>文江雪</v>
      </c>
      <c r="B674" s="10" t="str">
        <f>"10101013608"</f>
        <v>10101013608</v>
      </c>
      <c r="C674" s="11">
        <v>54</v>
      </c>
      <c r="D674" s="7">
        <v>672</v>
      </c>
      <c r="E674" s="11"/>
    </row>
    <row r="675" ht="18" customHeight="1" spans="1:5">
      <c r="A675" s="10" t="str">
        <f>"柯翠婷"</f>
        <v>柯翠婷</v>
      </c>
      <c r="B675" s="10" t="str">
        <f>"10101013620"</f>
        <v>10101013620</v>
      </c>
      <c r="C675" s="11">
        <v>54</v>
      </c>
      <c r="D675" s="7">
        <v>673</v>
      </c>
      <c r="E675" s="11"/>
    </row>
    <row r="676" ht="18" customHeight="1" spans="1:5">
      <c r="A676" s="10" t="str">
        <f>"文兰转"</f>
        <v>文兰转</v>
      </c>
      <c r="B676" s="10" t="str">
        <f>"10101013628"</f>
        <v>10101013628</v>
      </c>
      <c r="C676" s="11">
        <v>54</v>
      </c>
      <c r="D676" s="7">
        <v>674</v>
      </c>
      <c r="E676" s="11"/>
    </row>
    <row r="677" ht="18" customHeight="1" spans="1:5">
      <c r="A677" s="10" t="str">
        <f>"王仁英"</f>
        <v>王仁英</v>
      </c>
      <c r="B677" s="10" t="str">
        <f>"10101013705"</f>
        <v>10101013705</v>
      </c>
      <c r="C677" s="11">
        <v>54</v>
      </c>
      <c r="D677" s="7">
        <v>675</v>
      </c>
      <c r="E677" s="11"/>
    </row>
    <row r="678" ht="18" customHeight="1" spans="1:5">
      <c r="A678" s="10" t="str">
        <f>"文坤妍"</f>
        <v>文坤妍</v>
      </c>
      <c r="B678" s="10" t="str">
        <f>"10101013813"</f>
        <v>10101013813</v>
      </c>
      <c r="C678" s="11">
        <v>54</v>
      </c>
      <c r="D678" s="7">
        <v>676</v>
      </c>
      <c r="E678" s="11"/>
    </row>
    <row r="679" ht="18" customHeight="1" spans="1:5">
      <c r="A679" s="10" t="str">
        <f>"符初银"</f>
        <v>符初银</v>
      </c>
      <c r="B679" s="10" t="str">
        <f>"10101014205"</f>
        <v>10101014205</v>
      </c>
      <c r="C679" s="11">
        <v>54</v>
      </c>
      <c r="D679" s="7">
        <v>677</v>
      </c>
      <c r="E679" s="11"/>
    </row>
    <row r="680" ht="18" customHeight="1" spans="1:5">
      <c r="A680" s="10" t="str">
        <f>"钟兴春"</f>
        <v>钟兴春</v>
      </c>
      <c r="B680" s="10" t="str">
        <f>"10101014230"</f>
        <v>10101014230</v>
      </c>
      <c r="C680" s="11">
        <v>54</v>
      </c>
      <c r="D680" s="7">
        <v>678</v>
      </c>
      <c r="E680" s="11"/>
    </row>
    <row r="681" ht="18" customHeight="1" spans="1:5">
      <c r="A681" s="10" t="str">
        <f>"王青雪"</f>
        <v>王青雪</v>
      </c>
      <c r="B681" s="10" t="str">
        <f>"10101014519"</f>
        <v>10101014519</v>
      </c>
      <c r="C681" s="11">
        <v>54</v>
      </c>
      <c r="D681" s="7">
        <v>679</v>
      </c>
      <c r="E681" s="11"/>
    </row>
    <row r="682" ht="18" customHeight="1" spans="1:5">
      <c r="A682" s="10" t="str">
        <f>"高想琴"</f>
        <v>高想琴</v>
      </c>
      <c r="B682" s="10" t="str">
        <f>"10101014826"</f>
        <v>10101014826</v>
      </c>
      <c r="C682" s="11">
        <v>54</v>
      </c>
      <c r="D682" s="7">
        <v>680</v>
      </c>
      <c r="E682" s="11"/>
    </row>
    <row r="683" ht="18" customHeight="1" spans="1:5">
      <c r="A683" s="10" t="str">
        <f>"唐有勇"</f>
        <v>唐有勇</v>
      </c>
      <c r="B683" s="10" t="str">
        <f>"10101015025"</f>
        <v>10101015025</v>
      </c>
      <c r="C683" s="11">
        <v>54</v>
      </c>
      <c r="D683" s="7">
        <v>681</v>
      </c>
      <c r="E683" s="11"/>
    </row>
    <row r="684" ht="18" customHeight="1" spans="1:5">
      <c r="A684" s="10" t="str">
        <f>"符玉妃"</f>
        <v>符玉妃</v>
      </c>
      <c r="B684" s="10" t="str">
        <f>"10101015408"</f>
        <v>10101015408</v>
      </c>
      <c r="C684" s="11">
        <v>54</v>
      </c>
      <c r="D684" s="7">
        <v>682</v>
      </c>
      <c r="E684" s="11"/>
    </row>
    <row r="685" ht="18" customHeight="1" spans="1:5">
      <c r="A685" s="10" t="str">
        <f>"汤洪娜"</f>
        <v>汤洪娜</v>
      </c>
      <c r="B685" s="10" t="str">
        <f>"10101012120"</f>
        <v>10101012120</v>
      </c>
      <c r="C685" s="11">
        <v>53</v>
      </c>
      <c r="D685" s="7">
        <v>683</v>
      </c>
      <c r="E685" s="11"/>
    </row>
    <row r="686" ht="18" customHeight="1" spans="1:5">
      <c r="A686" s="10" t="str">
        <f>"李江交"</f>
        <v>李江交</v>
      </c>
      <c r="B686" s="10" t="str">
        <f>"10101012223"</f>
        <v>10101012223</v>
      </c>
      <c r="C686" s="11">
        <v>53</v>
      </c>
      <c r="D686" s="7">
        <v>684</v>
      </c>
      <c r="E686" s="11"/>
    </row>
    <row r="687" ht="18" customHeight="1" spans="1:5">
      <c r="A687" s="10" t="str">
        <f>"刘美珊"</f>
        <v>刘美珊</v>
      </c>
      <c r="B687" s="10" t="str">
        <f>"10101012401"</f>
        <v>10101012401</v>
      </c>
      <c r="C687" s="11">
        <v>53</v>
      </c>
      <c r="D687" s="7">
        <v>685</v>
      </c>
      <c r="E687" s="11"/>
    </row>
    <row r="688" ht="18" customHeight="1" spans="1:5">
      <c r="A688" s="10" t="str">
        <f>"邢贞苗"</f>
        <v>邢贞苗</v>
      </c>
      <c r="B688" s="10" t="str">
        <f>"10101012615"</f>
        <v>10101012615</v>
      </c>
      <c r="C688" s="11">
        <v>53</v>
      </c>
      <c r="D688" s="7">
        <v>686</v>
      </c>
      <c r="E688" s="11"/>
    </row>
    <row r="689" ht="18" customHeight="1" spans="1:5">
      <c r="A689" s="10" t="str">
        <f>"黄益科"</f>
        <v>黄益科</v>
      </c>
      <c r="B689" s="10" t="str">
        <f>"10101012721"</f>
        <v>10101012721</v>
      </c>
      <c r="C689" s="11">
        <v>53</v>
      </c>
      <c r="D689" s="7">
        <v>687</v>
      </c>
      <c r="E689" s="11"/>
    </row>
    <row r="690" ht="18" customHeight="1" spans="1:5">
      <c r="A690" s="10" t="str">
        <f>"张深兰"</f>
        <v>张深兰</v>
      </c>
      <c r="B690" s="10" t="str">
        <f>"10101013509"</f>
        <v>10101013509</v>
      </c>
      <c r="C690" s="11">
        <v>53</v>
      </c>
      <c r="D690" s="7">
        <v>688</v>
      </c>
      <c r="E690" s="11"/>
    </row>
    <row r="691" ht="18" customHeight="1" spans="1:5">
      <c r="A691" s="10" t="str">
        <f>"文兰妹"</f>
        <v>文兰妹</v>
      </c>
      <c r="B691" s="10" t="str">
        <f>"10101013604"</f>
        <v>10101013604</v>
      </c>
      <c r="C691" s="11">
        <v>53</v>
      </c>
      <c r="D691" s="7">
        <v>689</v>
      </c>
      <c r="E691" s="11"/>
    </row>
    <row r="692" ht="18" customHeight="1" spans="1:5">
      <c r="A692" s="10" t="str">
        <f>"李奕慧"</f>
        <v>李奕慧</v>
      </c>
      <c r="B692" s="10" t="str">
        <f>"10101013725"</f>
        <v>10101013725</v>
      </c>
      <c r="C692" s="11">
        <v>53</v>
      </c>
      <c r="D692" s="7">
        <v>690</v>
      </c>
      <c r="E692" s="11"/>
    </row>
    <row r="693" ht="18" customHeight="1" spans="1:5">
      <c r="A693" s="10" t="str">
        <f>"何远妹"</f>
        <v>何远妹</v>
      </c>
      <c r="B693" s="10" t="str">
        <f>"10101013808"</f>
        <v>10101013808</v>
      </c>
      <c r="C693" s="11">
        <v>53</v>
      </c>
      <c r="D693" s="7">
        <v>691</v>
      </c>
      <c r="E693" s="11"/>
    </row>
    <row r="694" ht="18" customHeight="1" spans="1:5">
      <c r="A694" s="10" t="str">
        <f>"符春婷"</f>
        <v>符春婷</v>
      </c>
      <c r="B694" s="10" t="str">
        <f>"10101014425"</f>
        <v>10101014425</v>
      </c>
      <c r="C694" s="11">
        <v>53</v>
      </c>
      <c r="D694" s="7">
        <v>692</v>
      </c>
      <c r="E694" s="11"/>
    </row>
    <row r="695" ht="18" customHeight="1" spans="1:5">
      <c r="A695" s="10" t="str">
        <f>"张燕玲"</f>
        <v>张燕玲</v>
      </c>
      <c r="B695" s="10" t="str">
        <f>"10101014505"</f>
        <v>10101014505</v>
      </c>
      <c r="C695" s="11">
        <v>53</v>
      </c>
      <c r="D695" s="7">
        <v>693</v>
      </c>
      <c r="E695" s="11"/>
    </row>
    <row r="696" ht="18" customHeight="1" spans="1:5">
      <c r="A696" s="10" t="str">
        <f>"王静"</f>
        <v>王静</v>
      </c>
      <c r="B696" s="10" t="str">
        <f>"10101014728"</f>
        <v>10101014728</v>
      </c>
      <c r="C696" s="11">
        <v>53</v>
      </c>
      <c r="D696" s="7">
        <v>694</v>
      </c>
      <c r="E696" s="11"/>
    </row>
    <row r="697" ht="18" customHeight="1" spans="1:5">
      <c r="A697" s="10" t="str">
        <f>"符红柳"</f>
        <v>符红柳</v>
      </c>
      <c r="B697" s="10" t="str">
        <f>"10101014818"</f>
        <v>10101014818</v>
      </c>
      <c r="C697" s="11">
        <v>53</v>
      </c>
      <c r="D697" s="7">
        <v>695</v>
      </c>
      <c r="E697" s="11"/>
    </row>
    <row r="698" ht="18" customHeight="1" spans="1:5">
      <c r="A698" s="10" t="str">
        <f>"王英兰"</f>
        <v>王英兰</v>
      </c>
      <c r="B698" s="10" t="str">
        <f>"10101014913"</f>
        <v>10101014913</v>
      </c>
      <c r="C698" s="11">
        <v>53</v>
      </c>
      <c r="D698" s="7">
        <v>696</v>
      </c>
      <c r="E698" s="11"/>
    </row>
    <row r="699" ht="18" customHeight="1" spans="1:5">
      <c r="A699" s="10" t="str">
        <f>"林叶"</f>
        <v>林叶</v>
      </c>
      <c r="B699" s="10" t="str">
        <f>"10101014926"</f>
        <v>10101014926</v>
      </c>
      <c r="C699" s="11">
        <v>53</v>
      </c>
      <c r="D699" s="7">
        <v>697</v>
      </c>
      <c r="E699" s="11"/>
    </row>
    <row r="700" ht="18" customHeight="1" spans="1:5">
      <c r="A700" s="10" t="str">
        <f>"符修燕"</f>
        <v>符修燕</v>
      </c>
      <c r="B700" s="10" t="str">
        <f>"10101015117"</f>
        <v>10101015117</v>
      </c>
      <c r="C700" s="11">
        <v>53</v>
      </c>
      <c r="D700" s="7">
        <v>698</v>
      </c>
      <c r="E700" s="11"/>
    </row>
    <row r="701" ht="18" customHeight="1" spans="1:5">
      <c r="A701" s="10" t="str">
        <f>"文春艳"</f>
        <v>文春艳</v>
      </c>
      <c r="B701" s="10" t="str">
        <f>"10101015304"</f>
        <v>10101015304</v>
      </c>
      <c r="C701" s="11">
        <v>53</v>
      </c>
      <c r="D701" s="7">
        <v>699</v>
      </c>
      <c r="E701" s="11"/>
    </row>
    <row r="702" ht="18" customHeight="1" spans="1:5">
      <c r="A702" s="10" t="str">
        <f>"李安专"</f>
        <v>李安专</v>
      </c>
      <c r="B702" s="10" t="str">
        <f>"10101015310"</f>
        <v>10101015310</v>
      </c>
      <c r="C702" s="11">
        <v>53</v>
      </c>
      <c r="D702" s="7">
        <v>700</v>
      </c>
      <c r="E702" s="11"/>
    </row>
    <row r="703" ht="18" customHeight="1" spans="1:5">
      <c r="A703" s="10" t="str">
        <f>"莫发骤"</f>
        <v>莫发骤</v>
      </c>
      <c r="B703" s="10" t="str">
        <f>"10101015315"</f>
        <v>10101015315</v>
      </c>
      <c r="C703" s="11">
        <v>53</v>
      </c>
      <c r="D703" s="7">
        <v>701</v>
      </c>
      <c r="E703" s="11"/>
    </row>
    <row r="704" ht="18" customHeight="1" spans="1:5">
      <c r="A704" s="10" t="str">
        <f>"高亚燕"</f>
        <v>高亚燕</v>
      </c>
      <c r="B704" s="10" t="str">
        <f>"10101015427"</f>
        <v>10101015427</v>
      </c>
      <c r="C704" s="11">
        <v>53</v>
      </c>
      <c r="D704" s="7">
        <v>702</v>
      </c>
      <c r="E704" s="11"/>
    </row>
    <row r="705" ht="18" customHeight="1" spans="1:5">
      <c r="A705" s="10" t="str">
        <f>"文文"</f>
        <v>文文</v>
      </c>
      <c r="B705" s="10" t="str">
        <f>"10101012117"</f>
        <v>10101012117</v>
      </c>
      <c r="C705" s="11">
        <v>52</v>
      </c>
      <c r="D705" s="7">
        <v>703</v>
      </c>
      <c r="E705" s="11"/>
    </row>
    <row r="706" ht="18" customHeight="1" spans="1:5">
      <c r="A706" s="10" t="str">
        <f>"陈妮琳"</f>
        <v>陈妮琳</v>
      </c>
      <c r="B706" s="10" t="str">
        <f>"10101012403"</f>
        <v>10101012403</v>
      </c>
      <c r="C706" s="11">
        <v>52</v>
      </c>
      <c r="D706" s="7">
        <v>704</v>
      </c>
      <c r="E706" s="11"/>
    </row>
    <row r="707" ht="18" customHeight="1" spans="1:5">
      <c r="A707" s="10" t="str">
        <f>"张钰"</f>
        <v>张钰</v>
      </c>
      <c r="B707" s="10" t="str">
        <f>"10101012512"</f>
        <v>10101012512</v>
      </c>
      <c r="C707" s="11">
        <v>52</v>
      </c>
      <c r="D707" s="7">
        <v>705</v>
      </c>
      <c r="E707" s="11"/>
    </row>
    <row r="708" ht="18" customHeight="1" spans="1:5">
      <c r="A708" s="10" t="str">
        <f>"林乙新"</f>
        <v>林乙新</v>
      </c>
      <c r="B708" s="10" t="str">
        <f>"10101012525"</f>
        <v>10101012525</v>
      </c>
      <c r="C708" s="11">
        <v>52</v>
      </c>
      <c r="D708" s="7">
        <v>706</v>
      </c>
      <c r="E708" s="11"/>
    </row>
    <row r="709" ht="18" customHeight="1" spans="1:5">
      <c r="A709" s="10" t="str">
        <f>"陈孟珠"</f>
        <v>陈孟珠</v>
      </c>
      <c r="B709" s="10" t="str">
        <f>"10101012821"</f>
        <v>10101012821</v>
      </c>
      <c r="C709" s="11">
        <v>52</v>
      </c>
      <c r="D709" s="7">
        <v>707</v>
      </c>
      <c r="E709" s="11"/>
    </row>
    <row r="710" ht="18" customHeight="1" spans="1:5">
      <c r="A710" s="10" t="str">
        <f>"王金英"</f>
        <v>王金英</v>
      </c>
      <c r="B710" s="10" t="str">
        <f>"10101012918"</f>
        <v>10101012918</v>
      </c>
      <c r="C710" s="11">
        <v>52</v>
      </c>
      <c r="D710" s="7">
        <v>708</v>
      </c>
      <c r="E710" s="11"/>
    </row>
    <row r="711" ht="18" customHeight="1" spans="1:5">
      <c r="A711" s="10" t="str">
        <f>"杨樱"</f>
        <v>杨樱</v>
      </c>
      <c r="B711" s="10" t="str">
        <f>"10101013108"</f>
        <v>10101013108</v>
      </c>
      <c r="C711" s="11">
        <v>52</v>
      </c>
      <c r="D711" s="7">
        <v>709</v>
      </c>
      <c r="E711" s="11"/>
    </row>
    <row r="712" ht="18" customHeight="1" spans="1:5">
      <c r="A712" s="10" t="str">
        <f>"张深娇"</f>
        <v>张深娇</v>
      </c>
      <c r="B712" s="10" t="str">
        <f>"10101013311"</f>
        <v>10101013311</v>
      </c>
      <c r="C712" s="11">
        <v>52</v>
      </c>
      <c r="D712" s="7">
        <v>710</v>
      </c>
      <c r="E712" s="11"/>
    </row>
    <row r="713" ht="18" customHeight="1" spans="1:5">
      <c r="A713" s="10" t="str">
        <f>"李婷"</f>
        <v>李婷</v>
      </c>
      <c r="B713" s="10" t="str">
        <f>"10101013530"</f>
        <v>10101013530</v>
      </c>
      <c r="C713" s="11">
        <v>52</v>
      </c>
      <c r="D713" s="7">
        <v>711</v>
      </c>
      <c r="E713" s="11"/>
    </row>
    <row r="714" ht="18" customHeight="1" spans="1:5">
      <c r="A714" s="10" t="str">
        <f>"符香园"</f>
        <v>符香园</v>
      </c>
      <c r="B714" s="10" t="str">
        <f>"10101014003"</f>
        <v>10101014003</v>
      </c>
      <c r="C714" s="11">
        <v>52</v>
      </c>
      <c r="D714" s="7">
        <v>712</v>
      </c>
      <c r="E714" s="11"/>
    </row>
    <row r="715" ht="18" customHeight="1" spans="1:5">
      <c r="A715" s="10" t="str">
        <f>"文昌婷"</f>
        <v>文昌婷</v>
      </c>
      <c r="B715" s="10" t="str">
        <f>"10101014207"</f>
        <v>10101014207</v>
      </c>
      <c r="C715" s="11">
        <v>52</v>
      </c>
      <c r="D715" s="7">
        <v>713</v>
      </c>
      <c r="E715" s="11"/>
    </row>
    <row r="716" ht="18" customHeight="1" spans="1:5">
      <c r="A716" s="10" t="str">
        <f>"王秀婷"</f>
        <v>王秀婷</v>
      </c>
      <c r="B716" s="10" t="str">
        <f>"10101014518"</f>
        <v>10101014518</v>
      </c>
      <c r="C716" s="11">
        <v>52</v>
      </c>
      <c r="D716" s="7">
        <v>714</v>
      </c>
      <c r="E716" s="11"/>
    </row>
    <row r="717" ht="18" customHeight="1" spans="1:5">
      <c r="A717" s="10" t="str">
        <f>"王海娜"</f>
        <v>王海娜</v>
      </c>
      <c r="B717" s="10" t="str">
        <f>"10101014611"</f>
        <v>10101014611</v>
      </c>
      <c r="C717" s="11">
        <v>52</v>
      </c>
      <c r="D717" s="7">
        <v>715</v>
      </c>
      <c r="E717" s="11"/>
    </row>
    <row r="718" ht="18" customHeight="1" spans="1:5">
      <c r="A718" s="10" t="str">
        <f>"彭芳"</f>
        <v>彭芳</v>
      </c>
      <c r="B718" s="10" t="str">
        <f>"10101014710"</f>
        <v>10101014710</v>
      </c>
      <c r="C718" s="11">
        <v>52</v>
      </c>
      <c r="D718" s="7">
        <v>716</v>
      </c>
      <c r="E718" s="11"/>
    </row>
    <row r="719" ht="18" customHeight="1" spans="1:5">
      <c r="A719" s="10" t="str">
        <f>"刘叶"</f>
        <v>刘叶</v>
      </c>
      <c r="B719" s="10" t="str">
        <f>"10101015112"</f>
        <v>10101015112</v>
      </c>
      <c r="C719" s="11">
        <v>52</v>
      </c>
      <c r="D719" s="7">
        <v>717</v>
      </c>
      <c r="E719" s="11"/>
    </row>
    <row r="720" ht="18" customHeight="1" spans="1:5">
      <c r="A720" s="10" t="str">
        <f>"林亚环"</f>
        <v>林亚环</v>
      </c>
      <c r="B720" s="10" t="str">
        <f>"10101015213"</f>
        <v>10101015213</v>
      </c>
      <c r="C720" s="11">
        <v>52</v>
      </c>
      <c r="D720" s="7">
        <v>718</v>
      </c>
      <c r="E720" s="11"/>
    </row>
    <row r="721" ht="18" customHeight="1" spans="1:5">
      <c r="A721" s="10" t="str">
        <f>"陈秀娟"</f>
        <v>陈秀娟</v>
      </c>
      <c r="B721" s="10" t="str">
        <f>"10101015313"</f>
        <v>10101015313</v>
      </c>
      <c r="C721" s="11">
        <v>52</v>
      </c>
      <c r="D721" s="7">
        <v>719</v>
      </c>
      <c r="E721" s="11"/>
    </row>
    <row r="722" ht="18" customHeight="1" spans="1:5">
      <c r="A722" s="10" t="str">
        <f>"吉承宽"</f>
        <v>吉承宽</v>
      </c>
      <c r="B722" s="10" t="str">
        <f>"10101012415"</f>
        <v>10101012415</v>
      </c>
      <c r="C722" s="11">
        <v>51</v>
      </c>
      <c r="D722" s="7">
        <v>720</v>
      </c>
      <c r="E722" s="11"/>
    </row>
    <row r="723" ht="18" customHeight="1" spans="1:5">
      <c r="A723" s="10" t="str">
        <f>"王基沙"</f>
        <v>王基沙</v>
      </c>
      <c r="B723" s="10" t="str">
        <f>"10101013013"</f>
        <v>10101013013</v>
      </c>
      <c r="C723" s="11">
        <v>51</v>
      </c>
      <c r="D723" s="7">
        <v>721</v>
      </c>
      <c r="E723" s="11"/>
    </row>
    <row r="724" ht="18" customHeight="1" spans="1:5">
      <c r="A724" s="10" t="str">
        <f>"马秋"</f>
        <v>马秋</v>
      </c>
      <c r="B724" s="10" t="str">
        <f>"10101013109"</f>
        <v>10101013109</v>
      </c>
      <c r="C724" s="11">
        <v>51</v>
      </c>
      <c r="D724" s="7">
        <v>722</v>
      </c>
      <c r="E724" s="11"/>
    </row>
    <row r="725" ht="18" customHeight="1" spans="1:5">
      <c r="A725" s="10" t="str">
        <f>"唐统婷"</f>
        <v>唐统婷</v>
      </c>
      <c r="B725" s="10" t="str">
        <f>"10101013607"</f>
        <v>10101013607</v>
      </c>
      <c r="C725" s="11">
        <v>51</v>
      </c>
      <c r="D725" s="7">
        <v>723</v>
      </c>
      <c r="E725" s="11"/>
    </row>
    <row r="726" ht="18" customHeight="1" spans="1:5">
      <c r="A726" s="10" t="str">
        <f>"符丽彦"</f>
        <v>符丽彦</v>
      </c>
      <c r="B726" s="10" t="str">
        <f>"10101013922"</f>
        <v>10101013922</v>
      </c>
      <c r="C726" s="11">
        <v>51</v>
      </c>
      <c r="D726" s="7">
        <v>724</v>
      </c>
      <c r="E726" s="11"/>
    </row>
    <row r="727" ht="18" customHeight="1" spans="1:5">
      <c r="A727" s="10" t="str">
        <f>"赵武香"</f>
        <v>赵武香</v>
      </c>
      <c r="B727" s="10" t="str">
        <f>"10101014117"</f>
        <v>10101014117</v>
      </c>
      <c r="C727" s="11">
        <v>51</v>
      </c>
      <c r="D727" s="7">
        <v>725</v>
      </c>
      <c r="E727" s="11"/>
    </row>
    <row r="728" ht="18" customHeight="1" spans="1:5">
      <c r="A728" s="10" t="str">
        <f>"陈启金"</f>
        <v>陈启金</v>
      </c>
      <c r="B728" s="10" t="str">
        <f>"10101014313"</f>
        <v>10101014313</v>
      </c>
      <c r="C728" s="11">
        <v>51</v>
      </c>
      <c r="D728" s="7">
        <v>726</v>
      </c>
      <c r="E728" s="11"/>
    </row>
    <row r="729" ht="18" customHeight="1" spans="1:5">
      <c r="A729" s="10" t="str">
        <f>"李德丽"</f>
        <v>李德丽</v>
      </c>
      <c r="B729" s="10" t="str">
        <f>"10101014703"</f>
        <v>10101014703</v>
      </c>
      <c r="C729" s="11">
        <v>51</v>
      </c>
      <c r="D729" s="7">
        <v>727</v>
      </c>
      <c r="E729" s="11"/>
    </row>
    <row r="730" ht="18" customHeight="1" spans="1:5">
      <c r="A730" s="10" t="str">
        <f>"苏恩花"</f>
        <v>苏恩花</v>
      </c>
      <c r="B730" s="10" t="str">
        <f>"10101014712"</f>
        <v>10101014712</v>
      </c>
      <c r="C730" s="11">
        <v>51</v>
      </c>
      <c r="D730" s="7">
        <v>728</v>
      </c>
      <c r="E730" s="11"/>
    </row>
    <row r="731" ht="18" customHeight="1" spans="1:5">
      <c r="A731" s="10" t="str">
        <f>"符婷霞"</f>
        <v>符婷霞</v>
      </c>
      <c r="B731" s="10" t="str">
        <f>"10101015002"</f>
        <v>10101015002</v>
      </c>
      <c r="C731" s="11">
        <v>51</v>
      </c>
      <c r="D731" s="7">
        <v>729</v>
      </c>
      <c r="E731" s="11"/>
    </row>
    <row r="732" ht="18" customHeight="1" spans="1:5">
      <c r="A732" s="10" t="str">
        <f>"符女满"</f>
        <v>符女满</v>
      </c>
      <c r="B732" s="10" t="str">
        <f>"10101015217"</f>
        <v>10101015217</v>
      </c>
      <c r="C732" s="11">
        <v>51</v>
      </c>
      <c r="D732" s="7">
        <v>730</v>
      </c>
      <c r="E732" s="11"/>
    </row>
    <row r="733" ht="18" customHeight="1" spans="1:5">
      <c r="A733" s="10" t="str">
        <f>"陆忠燕"</f>
        <v>陆忠燕</v>
      </c>
      <c r="B733" s="10" t="str">
        <f>"10101015402"</f>
        <v>10101015402</v>
      </c>
      <c r="C733" s="11">
        <v>51</v>
      </c>
      <c r="D733" s="7">
        <v>731</v>
      </c>
      <c r="E733" s="11"/>
    </row>
    <row r="734" ht="18" customHeight="1" spans="1:5">
      <c r="A734" s="10" t="str">
        <f>"秦少娟"</f>
        <v>秦少娟</v>
      </c>
      <c r="B734" s="10" t="str">
        <f>"10101012102"</f>
        <v>10101012102</v>
      </c>
      <c r="C734" s="11">
        <v>50</v>
      </c>
      <c r="D734" s="7">
        <v>732</v>
      </c>
      <c r="E734" s="11"/>
    </row>
    <row r="735" ht="18" customHeight="1" spans="1:5">
      <c r="A735" s="10" t="str">
        <f>"符尤奇"</f>
        <v>符尤奇</v>
      </c>
      <c r="B735" s="10" t="str">
        <f>"10101012108"</f>
        <v>10101012108</v>
      </c>
      <c r="C735" s="11">
        <v>50</v>
      </c>
      <c r="D735" s="7">
        <v>733</v>
      </c>
      <c r="E735" s="11"/>
    </row>
    <row r="736" ht="18" customHeight="1" spans="1:5">
      <c r="A736" s="10" t="str">
        <f>"卢玉慧"</f>
        <v>卢玉慧</v>
      </c>
      <c r="B736" s="10" t="str">
        <f>"10101012422"</f>
        <v>10101012422</v>
      </c>
      <c r="C736" s="11">
        <v>50</v>
      </c>
      <c r="D736" s="7">
        <v>734</v>
      </c>
      <c r="E736" s="11"/>
    </row>
    <row r="737" ht="18" customHeight="1" spans="1:5">
      <c r="A737" s="10" t="str">
        <f>"卞珍丽"</f>
        <v>卞珍丽</v>
      </c>
      <c r="B737" s="10" t="str">
        <f>"10101013023"</f>
        <v>10101013023</v>
      </c>
      <c r="C737" s="11">
        <v>50</v>
      </c>
      <c r="D737" s="7">
        <v>735</v>
      </c>
      <c r="E737" s="11"/>
    </row>
    <row r="738" ht="18" customHeight="1" spans="1:5">
      <c r="A738" s="10" t="str">
        <f>"张生凤"</f>
        <v>张生凤</v>
      </c>
      <c r="B738" s="10" t="str">
        <f>"10101013218"</f>
        <v>10101013218</v>
      </c>
      <c r="C738" s="11">
        <v>50</v>
      </c>
      <c r="D738" s="7">
        <v>736</v>
      </c>
      <c r="E738" s="11"/>
    </row>
    <row r="739" ht="18" customHeight="1" spans="1:5">
      <c r="A739" s="10" t="str">
        <f>"陈荣芳"</f>
        <v>陈荣芳</v>
      </c>
      <c r="B739" s="10" t="str">
        <f>"10101013225"</f>
        <v>10101013225</v>
      </c>
      <c r="C739" s="11">
        <v>50</v>
      </c>
      <c r="D739" s="7">
        <v>737</v>
      </c>
      <c r="E739" s="11"/>
    </row>
    <row r="740" ht="18" customHeight="1" spans="1:5">
      <c r="A740" s="10" t="str">
        <f>"符梦婷"</f>
        <v>符梦婷</v>
      </c>
      <c r="B740" s="10" t="str">
        <f>"10101013315"</f>
        <v>10101013315</v>
      </c>
      <c r="C740" s="11">
        <v>50</v>
      </c>
      <c r="D740" s="7">
        <v>738</v>
      </c>
      <c r="E740" s="11"/>
    </row>
    <row r="741" ht="18" customHeight="1" spans="1:5">
      <c r="A741" s="10" t="str">
        <f>"张真燕"</f>
        <v>张真燕</v>
      </c>
      <c r="B741" s="10" t="str">
        <f>"10101013324"</f>
        <v>10101013324</v>
      </c>
      <c r="C741" s="11">
        <v>50</v>
      </c>
      <c r="D741" s="7">
        <v>739</v>
      </c>
      <c r="E741" s="11"/>
    </row>
    <row r="742" ht="18" customHeight="1" spans="1:5">
      <c r="A742" s="10" t="str">
        <f>"彭娜"</f>
        <v>彭娜</v>
      </c>
      <c r="B742" s="10" t="str">
        <f>"10101013615"</f>
        <v>10101013615</v>
      </c>
      <c r="C742" s="11">
        <v>50</v>
      </c>
      <c r="D742" s="7">
        <v>740</v>
      </c>
      <c r="E742" s="11"/>
    </row>
    <row r="743" ht="18" customHeight="1" spans="1:5">
      <c r="A743" s="10" t="str">
        <f>"郭教丽"</f>
        <v>郭教丽</v>
      </c>
      <c r="B743" s="10" t="str">
        <f>"10101014807"</f>
        <v>10101014807</v>
      </c>
      <c r="C743" s="11">
        <v>50</v>
      </c>
      <c r="D743" s="7">
        <v>741</v>
      </c>
      <c r="E743" s="11"/>
    </row>
    <row r="744" ht="18" customHeight="1" spans="1:5">
      <c r="A744" s="10" t="str">
        <f>"文秋勤"</f>
        <v>文秋勤</v>
      </c>
      <c r="B744" s="10" t="str">
        <f>"10101015016"</f>
        <v>10101015016</v>
      </c>
      <c r="C744" s="11">
        <v>50</v>
      </c>
      <c r="D744" s="7">
        <v>742</v>
      </c>
      <c r="E744" s="11"/>
    </row>
    <row r="745" ht="18" customHeight="1" spans="1:5">
      <c r="A745" s="10" t="str">
        <f>"符刘燕"</f>
        <v>符刘燕</v>
      </c>
      <c r="B745" s="10" t="str">
        <f>"10101015111"</f>
        <v>10101015111</v>
      </c>
      <c r="C745" s="11">
        <v>50</v>
      </c>
      <c r="D745" s="7">
        <v>743</v>
      </c>
      <c r="E745" s="11"/>
    </row>
    <row r="746" ht="18" customHeight="1" spans="1:5">
      <c r="A746" s="10" t="str">
        <f>"王英妹"</f>
        <v>王英妹</v>
      </c>
      <c r="B746" s="10" t="str">
        <f>"10101015229"</f>
        <v>10101015229</v>
      </c>
      <c r="C746" s="11">
        <v>50</v>
      </c>
      <c r="D746" s="7">
        <v>744</v>
      </c>
      <c r="E746" s="11"/>
    </row>
    <row r="747" ht="18" customHeight="1" spans="1:5">
      <c r="A747" s="10" t="str">
        <f>"卢良珍"</f>
        <v>卢良珍</v>
      </c>
      <c r="B747" s="10" t="str">
        <f>"10101015421"</f>
        <v>10101015421</v>
      </c>
      <c r="C747" s="11">
        <v>50</v>
      </c>
      <c r="D747" s="7">
        <v>745</v>
      </c>
      <c r="E747" s="11"/>
    </row>
    <row r="748" ht="18" customHeight="1" spans="1:5">
      <c r="A748" s="10" t="str">
        <f>"温剑消"</f>
        <v>温剑消</v>
      </c>
      <c r="B748" s="10" t="str">
        <f>"10101015426"</f>
        <v>10101015426</v>
      </c>
      <c r="C748" s="11">
        <v>50</v>
      </c>
      <c r="D748" s="7">
        <v>746</v>
      </c>
      <c r="E748" s="11"/>
    </row>
    <row r="749" ht="18" customHeight="1" spans="1:5">
      <c r="A749" s="10" t="str">
        <f>"张少红"</f>
        <v>张少红</v>
      </c>
      <c r="B749" s="10" t="str">
        <f>"10101012326"</f>
        <v>10101012326</v>
      </c>
      <c r="C749" s="11">
        <v>49</v>
      </c>
      <c r="D749" s="7">
        <v>747</v>
      </c>
      <c r="E749" s="11"/>
    </row>
    <row r="750" ht="18" customHeight="1" spans="1:5">
      <c r="A750" s="10" t="str">
        <f>"王德青"</f>
        <v>王德青</v>
      </c>
      <c r="B750" s="10" t="str">
        <f>"10101012608"</f>
        <v>10101012608</v>
      </c>
      <c r="C750" s="11">
        <v>49</v>
      </c>
      <c r="D750" s="7">
        <v>748</v>
      </c>
      <c r="E750" s="11"/>
    </row>
    <row r="751" ht="18" customHeight="1" spans="1:5">
      <c r="A751" s="10" t="str">
        <f>"吉丽霞"</f>
        <v>吉丽霞</v>
      </c>
      <c r="B751" s="10" t="str">
        <f>"10101012702"</f>
        <v>10101012702</v>
      </c>
      <c r="C751" s="11">
        <v>49</v>
      </c>
      <c r="D751" s="7">
        <v>749</v>
      </c>
      <c r="E751" s="11"/>
    </row>
    <row r="752" ht="18" customHeight="1" spans="1:5">
      <c r="A752" s="10" t="str">
        <f>"高奇英"</f>
        <v>高奇英</v>
      </c>
      <c r="B752" s="10" t="str">
        <f>"10101012720"</f>
        <v>10101012720</v>
      </c>
      <c r="C752" s="11">
        <v>49</v>
      </c>
      <c r="D752" s="7">
        <v>750</v>
      </c>
      <c r="E752" s="11"/>
    </row>
    <row r="753" ht="18" customHeight="1" spans="1:5">
      <c r="A753" s="10" t="str">
        <f>"赵菊春"</f>
        <v>赵菊春</v>
      </c>
      <c r="B753" s="10" t="str">
        <f>"10101012902"</f>
        <v>10101012902</v>
      </c>
      <c r="C753" s="11">
        <v>49</v>
      </c>
      <c r="D753" s="7">
        <v>751</v>
      </c>
      <c r="E753" s="11"/>
    </row>
    <row r="754" ht="18" customHeight="1" spans="1:5">
      <c r="A754" s="10" t="str">
        <f>"金仕轻"</f>
        <v>金仕轻</v>
      </c>
      <c r="B754" s="10" t="str">
        <f>"10101012910"</f>
        <v>10101012910</v>
      </c>
      <c r="C754" s="11">
        <v>49</v>
      </c>
      <c r="D754" s="7">
        <v>752</v>
      </c>
      <c r="E754" s="11"/>
    </row>
    <row r="755" ht="18" customHeight="1" spans="1:5">
      <c r="A755" s="10" t="str">
        <f>"吉艳菁"</f>
        <v>吉艳菁</v>
      </c>
      <c r="B755" s="10" t="str">
        <f>"10101013005"</f>
        <v>10101013005</v>
      </c>
      <c r="C755" s="11">
        <v>49</v>
      </c>
      <c r="D755" s="7">
        <v>753</v>
      </c>
      <c r="E755" s="11"/>
    </row>
    <row r="756" ht="18" customHeight="1" spans="1:5">
      <c r="A756" s="10" t="str">
        <f>"何婀俏"</f>
        <v>何婀俏</v>
      </c>
      <c r="B756" s="10" t="str">
        <f>"10101013427"</f>
        <v>10101013427</v>
      </c>
      <c r="C756" s="11">
        <v>49</v>
      </c>
      <c r="D756" s="7">
        <v>754</v>
      </c>
      <c r="E756" s="11"/>
    </row>
    <row r="757" ht="18" customHeight="1" spans="1:5">
      <c r="A757" s="10" t="str">
        <f>"文云芳"</f>
        <v>文云芳</v>
      </c>
      <c r="B757" s="10" t="str">
        <f>"10101013518"</f>
        <v>10101013518</v>
      </c>
      <c r="C757" s="11">
        <v>49</v>
      </c>
      <c r="D757" s="7">
        <v>755</v>
      </c>
      <c r="E757" s="11"/>
    </row>
    <row r="758" ht="18" customHeight="1" spans="1:5">
      <c r="A758" s="10" t="str">
        <f>"符意竹"</f>
        <v>符意竹</v>
      </c>
      <c r="B758" s="10" t="str">
        <f>"10101013623"</f>
        <v>10101013623</v>
      </c>
      <c r="C758" s="11">
        <v>49</v>
      </c>
      <c r="D758" s="7">
        <v>756</v>
      </c>
      <c r="E758" s="11"/>
    </row>
    <row r="759" ht="18" customHeight="1" spans="1:5">
      <c r="A759" s="10" t="str">
        <f>"冯成娟"</f>
        <v>冯成娟</v>
      </c>
      <c r="B759" s="10" t="str">
        <f>"10101013915"</f>
        <v>10101013915</v>
      </c>
      <c r="C759" s="11">
        <v>49</v>
      </c>
      <c r="D759" s="7">
        <v>757</v>
      </c>
      <c r="E759" s="11"/>
    </row>
    <row r="760" ht="18" customHeight="1" spans="1:5">
      <c r="A760" s="10" t="str">
        <f>"文秋华"</f>
        <v>文秋华</v>
      </c>
      <c r="B760" s="10" t="str">
        <f>"10101014222"</f>
        <v>10101014222</v>
      </c>
      <c r="C760" s="11">
        <v>49</v>
      </c>
      <c r="D760" s="7">
        <v>758</v>
      </c>
      <c r="E760" s="11"/>
    </row>
    <row r="761" ht="18" customHeight="1" spans="1:5">
      <c r="A761" s="10" t="str">
        <f>"张嫦美"</f>
        <v>张嫦美</v>
      </c>
      <c r="B761" s="10" t="str">
        <f>"10101014412"</f>
        <v>10101014412</v>
      </c>
      <c r="C761" s="11">
        <v>49</v>
      </c>
      <c r="D761" s="7">
        <v>759</v>
      </c>
      <c r="E761" s="11"/>
    </row>
    <row r="762" ht="18" customHeight="1" spans="1:5">
      <c r="A762" s="10" t="str">
        <f>"周志琼"</f>
        <v>周志琼</v>
      </c>
      <c r="B762" s="10" t="str">
        <f>"10101014430"</f>
        <v>10101014430</v>
      </c>
      <c r="C762" s="11">
        <v>49</v>
      </c>
      <c r="D762" s="7">
        <v>760</v>
      </c>
      <c r="E762" s="11"/>
    </row>
    <row r="763" ht="18" customHeight="1" spans="1:5">
      <c r="A763" s="10" t="str">
        <f>"文兰娇"</f>
        <v>文兰娇</v>
      </c>
      <c r="B763" s="10" t="str">
        <f>"10101014528"</f>
        <v>10101014528</v>
      </c>
      <c r="C763" s="11">
        <v>49</v>
      </c>
      <c r="D763" s="7">
        <v>761</v>
      </c>
      <c r="E763" s="11"/>
    </row>
    <row r="764" ht="18" customHeight="1" spans="1:5">
      <c r="A764" s="10" t="str">
        <f>"吉娇"</f>
        <v>吉娇</v>
      </c>
      <c r="B764" s="10" t="str">
        <f>"10101014619"</f>
        <v>10101014619</v>
      </c>
      <c r="C764" s="11">
        <v>49</v>
      </c>
      <c r="D764" s="7">
        <v>762</v>
      </c>
      <c r="E764" s="11"/>
    </row>
    <row r="765" ht="18" customHeight="1" spans="1:5">
      <c r="A765" s="10" t="str">
        <f>"吉凤玉"</f>
        <v>吉凤玉</v>
      </c>
      <c r="B765" s="10" t="str">
        <f>"10101014715"</f>
        <v>10101014715</v>
      </c>
      <c r="C765" s="11">
        <v>49</v>
      </c>
      <c r="D765" s="7">
        <v>763</v>
      </c>
      <c r="E765" s="11"/>
    </row>
    <row r="766" ht="18" customHeight="1" spans="1:5">
      <c r="A766" s="10" t="str">
        <f>"文凤交"</f>
        <v>文凤交</v>
      </c>
      <c r="B766" s="10" t="str">
        <f>"10101014730"</f>
        <v>10101014730</v>
      </c>
      <c r="C766" s="11">
        <v>49</v>
      </c>
      <c r="D766" s="7">
        <v>764</v>
      </c>
      <c r="E766" s="11"/>
    </row>
    <row r="767" ht="18" customHeight="1" spans="1:5">
      <c r="A767" s="10" t="str">
        <f>"陈浪"</f>
        <v>陈浪</v>
      </c>
      <c r="B767" s="10" t="str">
        <f>"10101014803"</f>
        <v>10101014803</v>
      </c>
      <c r="C767" s="11">
        <v>49</v>
      </c>
      <c r="D767" s="7">
        <v>765</v>
      </c>
      <c r="E767" s="11"/>
    </row>
    <row r="768" ht="18" customHeight="1" spans="1:5">
      <c r="A768" s="10" t="str">
        <f>"陈素玲"</f>
        <v>陈素玲</v>
      </c>
      <c r="B768" s="10" t="str">
        <f>"10101015006"</f>
        <v>10101015006</v>
      </c>
      <c r="C768" s="11">
        <v>49</v>
      </c>
      <c r="D768" s="7">
        <v>766</v>
      </c>
      <c r="E768" s="11"/>
    </row>
    <row r="769" ht="18" customHeight="1" spans="1:5">
      <c r="A769" s="10" t="str">
        <f>"张海青"</f>
        <v>张海青</v>
      </c>
      <c r="B769" s="10" t="str">
        <f>"10101015116"</f>
        <v>10101015116</v>
      </c>
      <c r="C769" s="11">
        <v>49</v>
      </c>
      <c r="D769" s="7">
        <v>767</v>
      </c>
      <c r="E769" s="11"/>
    </row>
    <row r="770" ht="18" customHeight="1" spans="1:5">
      <c r="A770" s="10" t="str">
        <f>"王玲玲"</f>
        <v>王玲玲</v>
      </c>
      <c r="B770" s="10" t="str">
        <f>"10101015221"</f>
        <v>10101015221</v>
      </c>
      <c r="C770" s="11">
        <v>49</v>
      </c>
      <c r="D770" s="7">
        <v>768</v>
      </c>
      <c r="E770" s="11"/>
    </row>
    <row r="771" ht="18" customHeight="1" spans="1:5">
      <c r="A771" s="10" t="str">
        <f>"柳家美"</f>
        <v>柳家美</v>
      </c>
      <c r="B771" s="10" t="str">
        <f>"10101015311"</f>
        <v>10101015311</v>
      </c>
      <c r="C771" s="11">
        <v>49</v>
      </c>
      <c r="D771" s="7">
        <v>769</v>
      </c>
      <c r="E771" s="11"/>
    </row>
    <row r="772" ht="18" customHeight="1" spans="1:5">
      <c r="A772" s="10" t="str">
        <f>"彭恩秋"</f>
        <v>彭恩秋</v>
      </c>
      <c r="B772" s="10" t="str">
        <f>"10101015415"</f>
        <v>10101015415</v>
      </c>
      <c r="C772" s="11">
        <v>49</v>
      </c>
      <c r="D772" s="7">
        <v>770</v>
      </c>
      <c r="E772" s="11"/>
    </row>
    <row r="773" ht="18" customHeight="1" spans="1:5">
      <c r="A773" s="10" t="str">
        <f>"黄丽"</f>
        <v>黄丽</v>
      </c>
      <c r="B773" s="10" t="str">
        <f>"10101012203"</f>
        <v>10101012203</v>
      </c>
      <c r="C773" s="11">
        <v>48</v>
      </c>
      <c r="D773" s="7">
        <v>771</v>
      </c>
      <c r="E773" s="11"/>
    </row>
    <row r="774" ht="18" customHeight="1" spans="1:5">
      <c r="A774" s="10" t="str">
        <f>"唐统梅"</f>
        <v>唐统梅</v>
      </c>
      <c r="B774" s="10" t="str">
        <f>"10101012424"</f>
        <v>10101012424</v>
      </c>
      <c r="C774" s="11">
        <v>48</v>
      </c>
      <c r="D774" s="7">
        <v>772</v>
      </c>
      <c r="E774" s="11"/>
    </row>
    <row r="775" ht="18" customHeight="1" spans="1:5">
      <c r="A775" s="10" t="str">
        <f>"苏亚燕"</f>
        <v>苏亚燕</v>
      </c>
      <c r="B775" s="10" t="str">
        <f>"10101012725"</f>
        <v>10101012725</v>
      </c>
      <c r="C775" s="11">
        <v>48</v>
      </c>
      <c r="D775" s="7">
        <v>773</v>
      </c>
      <c r="E775" s="11"/>
    </row>
    <row r="776" ht="18" customHeight="1" spans="1:5">
      <c r="A776" s="10" t="str">
        <f>"何美"</f>
        <v>何美</v>
      </c>
      <c r="B776" s="10" t="str">
        <f>"10101013810"</f>
        <v>10101013810</v>
      </c>
      <c r="C776" s="11">
        <v>48</v>
      </c>
      <c r="D776" s="7">
        <v>774</v>
      </c>
      <c r="E776" s="11"/>
    </row>
    <row r="777" ht="18" customHeight="1" spans="1:5">
      <c r="A777" s="10" t="str">
        <f>"张亦婷"</f>
        <v>张亦婷</v>
      </c>
      <c r="B777" s="10" t="str">
        <f>"10101013816"</f>
        <v>10101013816</v>
      </c>
      <c r="C777" s="11">
        <v>48</v>
      </c>
      <c r="D777" s="7">
        <v>775</v>
      </c>
      <c r="E777" s="11"/>
    </row>
    <row r="778" ht="18" customHeight="1" spans="1:5">
      <c r="A778" s="10" t="str">
        <f>"孙儒凤"</f>
        <v>孙儒凤</v>
      </c>
      <c r="B778" s="10" t="str">
        <f>"10101013928"</f>
        <v>10101013928</v>
      </c>
      <c r="C778" s="11">
        <v>48</v>
      </c>
      <c r="D778" s="7">
        <v>776</v>
      </c>
      <c r="E778" s="11"/>
    </row>
    <row r="779" ht="18" customHeight="1" spans="1:5">
      <c r="A779" s="10" t="str">
        <f>"苏丽美"</f>
        <v>苏丽美</v>
      </c>
      <c r="B779" s="10" t="str">
        <f>"10101014010"</f>
        <v>10101014010</v>
      </c>
      <c r="C779" s="11">
        <v>48</v>
      </c>
      <c r="D779" s="7">
        <v>777</v>
      </c>
      <c r="E779" s="11"/>
    </row>
    <row r="780" ht="18" customHeight="1" spans="1:5">
      <c r="A780" s="10" t="str">
        <f>"符俊妹"</f>
        <v>符俊妹</v>
      </c>
      <c r="B780" s="10" t="str">
        <f>"10101014404"</f>
        <v>10101014404</v>
      </c>
      <c r="C780" s="11">
        <v>48</v>
      </c>
      <c r="D780" s="7">
        <v>778</v>
      </c>
      <c r="E780" s="11"/>
    </row>
    <row r="781" ht="18" customHeight="1" spans="1:5">
      <c r="A781" s="10" t="str">
        <f>"王玉慧"</f>
        <v>王玉慧</v>
      </c>
      <c r="B781" s="10" t="str">
        <f>"10101014525"</f>
        <v>10101014525</v>
      </c>
      <c r="C781" s="11">
        <v>48</v>
      </c>
      <c r="D781" s="7">
        <v>779</v>
      </c>
      <c r="E781" s="11"/>
    </row>
    <row r="782" ht="18" customHeight="1" spans="1:5">
      <c r="A782" s="10" t="str">
        <f>"符海珠"</f>
        <v>符海珠</v>
      </c>
      <c r="B782" s="10" t="str">
        <f>"10101014604"</f>
        <v>10101014604</v>
      </c>
      <c r="C782" s="11">
        <v>48</v>
      </c>
      <c r="D782" s="7">
        <v>780</v>
      </c>
      <c r="E782" s="11"/>
    </row>
    <row r="783" ht="18" customHeight="1" spans="1:5">
      <c r="A783" s="10" t="str">
        <f>"倪德玲"</f>
        <v>倪德玲</v>
      </c>
      <c r="B783" s="10" t="str">
        <f>"10101014716"</f>
        <v>10101014716</v>
      </c>
      <c r="C783" s="11">
        <v>48</v>
      </c>
      <c r="D783" s="7">
        <v>781</v>
      </c>
      <c r="E783" s="11"/>
    </row>
    <row r="784" ht="18" customHeight="1" spans="1:5">
      <c r="A784" s="10" t="str">
        <f>"倪琴"</f>
        <v>倪琴</v>
      </c>
      <c r="B784" s="10" t="str">
        <f>"10101014922"</f>
        <v>10101014922</v>
      </c>
      <c r="C784" s="11">
        <v>48</v>
      </c>
      <c r="D784" s="7">
        <v>782</v>
      </c>
      <c r="E784" s="11"/>
    </row>
    <row r="785" ht="18" customHeight="1" spans="1:5">
      <c r="A785" s="10" t="str">
        <f>"苏紫认"</f>
        <v>苏紫认</v>
      </c>
      <c r="B785" s="10" t="str">
        <f>"10101015007"</f>
        <v>10101015007</v>
      </c>
      <c r="C785" s="11">
        <v>48</v>
      </c>
      <c r="D785" s="7">
        <v>783</v>
      </c>
      <c r="E785" s="11"/>
    </row>
    <row r="786" ht="18" customHeight="1" spans="1:5">
      <c r="A786" s="10" t="str">
        <f>"钟海玲"</f>
        <v>钟海玲</v>
      </c>
      <c r="B786" s="10" t="str">
        <f>"10101015128"</f>
        <v>10101015128</v>
      </c>
      <c r="C786" s="11">
        <v>48</v>
      </c>
      <c r="D786" s="7">
        <v>784</v>
      </c>
      <c r="E786" s="11"/>
    </row>
    <row r="787" ht="18" customHeight="1" spans="1:5">
      <c r="A787" s="10" t="str">
        <f>"陈娜舅"</f>
        <v>陈娜舅</v>
      </c>
      <c r="B787" s="10" t="str">
        <f>"10101015409"</f>
        <v>10101015409</v>
      </c>
      <c r="C787" s="11">
        <v>48</v>
      </c>
      <c r="D787" s="7">
        <v>785</v>
      </c>
      <c r="E787" s="11"/>
    </row>
    <row r="788" ht="18" customHeight="1" spans="1:5">
      <c r="A788" s="10" t="str">
        <f>"符凤尾"</f>
        <v>符凤尾</v>
      </c>
      <c r="B788" s="10" t="str">
        <f>"10101015419"</f>
        <v>10101015419</v>
      </c>
      <c r="C788" s="11">
        <v>48</v>
      </c>
      <c r="D788" s="7">
        <v>786</v>
      </c>
      <c r="E788" s="11"/>
    </row>
    <row r="789" ht="18" customHeight="1" spans="1:5">
      <c r="A789" s="10" t="str">
        <f>"符桂珍"</f>
        <v>符桂珍</v>
      </c>
      <c r="B789" s="10" t="str">
        <f>"10101012222"</f>
        <v>10101012222</v>
      </c>
      <c r="C789" s="11">
        <v>47</v>
      </c>
      <c r="D789" s="7">
        <v>787</v>
      </c>
      <c r="E789" s="11"/>
    </row>
    <row r="790" ht="18" customHeight="1" spans="1:5">
      <c r="A790" s="10" t="str">
        <f>"陈宝春"</f>
        <v>陈宝春</v>
      </c>
      <c r="B790" s="10" t="str">
        <f>"10101012713"</f>
        <v>10101012713</v>
      </c>
      <c r="C790" s="11">
        <v>47</v>
      </c>
      <c r="D790" s="7">
        <v>788</v>
      </c>
      <c r="E790" s="11"/>
    </row>
    <row r="791" ht="18" customHeight="1" spans="1:5">
      <c r="A791" s="10" t="str">
        <f>"钟圣美"</f>
        <v>钟圣美</v>
      </c>
      <c r="B791" s="10" t="str">
        <f>"10101012719"</f>
        <v>10101012719</v>
      </c>
      <c r="C791" s="11">
        <v>47</v>
      </c>
      <c r="D791" s="7">
        <v>789</v>
      </c>
      <c r="E791" s="11"/>
    </row>
    <row r="792" ht="18" customHeight="1" spans="1:5">
      <c r="A792" s="10" t="str">
        <f>"李丽菁"</f>
        <v>李丽菁</v>
      </c>
      <c r="B792" s="10" t="str">
        <f>"10101012724"</f>
        <v>10101012724</v>
      </c>
      <c r="C792" s="11">
        <v>47</v>
      </c>
      <c r="D792" s="7">
        <v>790</v>
      </c>
      <c r="E792" s="11"/>
    </row>
    <row r="793" ht="18" customHeight="1" spans="1:5">
      <c r="A793" s="10" t="str">
        <f>"刘嘉玲"</f>
        <v>刘嘉玲</v>
      </c>
      <c r="B793" s="10" t="str">
        <f>"10101012920"</f>
        <v>10101012920</v>
      </c>
      <c r="C793" s="11">
        <v>47</v>
      </c>
      <c r="D793" s="7">
        <v>791</v>
      </c>
      <c r="E793" s="11"/>
    </row>
    <row r="794" ht="18" customHeight="1" spans="1:5">
      <c r="A794" s="10" t="str">
        <f>"符晓莹"</f>
        <v>符晓莹</v>
      </c>
      <c r="B794" s="10" t="str">
        <f>"10101013220"</f>
        <v>10101013220</v>
      </c>
      <c r="C794" s="11">
        <v>47</v>
      </c>
      <c r="D794" s="7">
        <v>792</v>
      </c>
      <c r="E794" s="11"/>
    </row>
    <row r="795" ht="18" customHeight="1" spans="1:5">
      <c r="A795" s="10" t="str">
        <f>"苏紫曼"</f>
        <v>苏紫曼</v>
      </c>
      <c r="B795" s="10" t="str">
        <f>"10101014105"</f>
        <v>10101014105</v>
      </c>
      <c r="C795" s="11">
        <v>47</v>
      </c>
      <c r="D795" s="7">
        <v>793</v>
      </c>
      <c r="E795" s="11"/>
    </row>
    <row r="796" ht="18" customHeight="1" spans="1:5">
      <c r="A796" s="10" t="str">
        <f>"周莹"</f>
        <v>周莹</v>
      </c>
      <c r="B796" s="10" t="str">
        <f>"10101014217"</f>
        <v>10101014217</v>
      </c>
      <c r="C796" s="11">
        <v>47</v>
      </c>
      <c r="D796" s="7">
        <v>794</v>
      </c>
      <c r="E796" s="11"/>
    </row>
    <row r="797" ht="18" customHeight="1" spans="1:5">
      <c r="A797" s="10" t="str">
        <f>"赵小玉"</f>
        <v>赵小玉</v>
      </c>
      <c r="B797" s="10" t="str">
        <f>"10101014418"</f>
        <v>10101014418</v>
      </c>
      <c r="C797" s="11">
        <v>47</v>
      </c>
      <c r="D797" s="7">
        <v>795</v>
      </c>
      <c r="E797" s="11"/>
    </row>
    <row r="798" ht="18" customHeight="1" spans="1:5">
      <c r="A798" s="10" t="str">
        <f>"赵春足"</f>
        <v>赵春足</v>
      </c>
      <c r="B798" s="10" t="str">
        <f>"10101014424"</f>
        <v>10101014424</v>
      </c>
      <c r="C798" s="11">
        <v>47</v>
      </c>
      <c r="D798" s="7">
        <v>796</v>
      </c>
      <c r="E798" s="11"/>
    </row>
    <row r="799" ht="18" customHeight="1" spans="1:5">
      <c r="A799" s="10" t="str">
        <f>"王海玲"</f>
        <v>王海玲</v>
      </c>
      <c r="B799" s="10" t="str">
        <f>"10101014811"</f>
        <v>10101014811</v>
      </c>
      <c r="C799" s="11">
        <v>47</v>
      </c>
      <c r="D799" s="7">
        <v>797</v>
      </c>
      <c r="E799" s="11"/>
    </row>
    <row r="800" ht="18" customHeight="1" spans="1:5">
      <c r="A800" s="10" t="str">
        <f>"吴丽花"</f>
        <v>吴丽花</v>
      </c>
      <c r="B800" s="10" t="str">
        <f>"10101014912"</f>
        <v>10101014912</v>
      </c>
      <c r="C800" s="11">
        <v>47</v>
      </c>
      <c r="D800" s="7">
        <v>798</v>
      </c>
      <c r="E800" s="11"/>
    </row>
    <row r="801" ht="18" customHeight="1" spans="1:5">
      <c r="A801" s="10" t="str">
        <f>"谭仕莹"</f>
        <v>谭仕莹</v>
      </c>
      <c r="B801" s="10" t="str">
        <f>"10101015125"</f>
        <v>10101015125</v>
      </c>
      <c r="C801" s="11">
        <v>47</v>
      </c>
      <c r="D801" s="7">
        <v>799</v>
      </c>
      <c r="E801" s="11"/>
    </row>
    <row r="802" ht="18" customHeight="1" spans="1:5">
      <c r="A802" s="10" t="str">
        <f>"林尤霞"</f>
        <v>林尤霞</v>
      </c>
      <c r="B802" s="10" t="str">
        <f>"10101015503"</f>
        <v>10101015503</v>
      </c>
      <c r="C802" s="11">
        <v>47</v>
      </c>
      <c r="D802" s="7">
        <v>800</v>
      </c>
      <c r="E802" s="11"/>
    </row>
    <row r="803" ht="18" customHeight="1" spans="1:5">
      <c r="A803" s="10" t="str">
        <f>"刘秋婷"</f>
        <v>刘秋婷</v>
      </c>
      <c r="B803" s="10" t="str">
        <f>"10101012428"</f>
        <v>10101012428</v>
      </c>
      <c r="C803" s="11">
        <v>46</v>
      </c>
      <c r="D803" s="7">
        <v>801</v>
      </c>
      <c r="E803" s="11"/>
    </row>
    <row r="804" ht="18" customHeight="1" spans="1:5">
      <c r="A804" s="10" t="str">
        <f>"陈万移"</f>
        <v>陈万移</v>
      </c>
      <c r="B804" s="10" t="str">
        <f>"10101012622"</f>
        <v>10101012622</v>
      </c>
      <c r="C804" s="11">
        <v>46</v>
      </c>
      <c r="D804" s="7">
        <v>802</v>
      </c>
      <c r="E804" s="11"/>
    </row>
    <row r="805" ht="18" customHeight="1" spans="1:5">
      <c r="A805" s="10" t="str">
        <f>"吉亚妮"</f>
        <v>吉亚妮</v>
      </c>
      <c r="B805" s="10" t="str">
        <f>"10101012917"</f>
        <v>10101012917</v>
      </c>
      <c r="C805" s="11">
        <v>46</v>
      </c>
      <c r="D805" s="7">
        <v>803</v>
      </c>
      <c r="E805" s="11"/>
    </row>
    <row r="806" ht="18" customHeight="1" spans="1:5">
      <c r="A806" s="10" t="str">
        <f>"符兴丽"</f>
        <v>符兴丽</v>
      </c>
      <c r="B806" s="10" t="str">
        <f>"10101013515"</f>
        <v>10101013515</v>
      </c>
      <c r="C806" s="11">
        <v>46</v>
      </c>
      <c r="D806" s="7">
        <v>804</v>
      </c>
      <c r="E806" s="11"/>
    </row>
    <row r="807" ht="18" customHeight="1" spans="1:5">
      <c r="A807" s="10" t="str">
        <f>"陈玉君"</f>
        <v>陈玉君</v>
      </c>
      <c r="B807" s="10" t="str">
        <f>"10101013626"</f>
        <v>10101013626</v>
      </c>
      <c r="C807" s="11">
        <v>46</v>
      </c>
      <c r="D807" s="7">
        <v>805</v>
      </c>
      <c r="E807" s="11"/>
    </row>
    <row r="808" ht="18" customHeight="1" spans="1:5">
      <c r="A808" s="10" t="str">
        <f>"符树燕"</f>
        <v>符树燕</v>
      </c>
      <c r="B808" s="10" t="str">
        <f>"10101013806"</f>
        <v>10101013806</v>
      </c>
      <c r="C808" s="11">
        <v>46</v>
      </c>
      <c r="D808" s="7">
        <v>806</v>
      </c>
      <c r="E808" s="11"/>
    </row>
    <row r="809" ht="18" customHeight="1" spans="1:5">
      <c r="A809" s="10" t="str">
        <f>"符维燕"</f>
        <v>符维燕</v>
      </c>
      <c r="B809" s="10" t="str">
        <f>"10101013823"</f>
        <v>10101013823</v>
      </c>
      <c r="C809" s="11">
        <v>46</v>
      </c>
      <c r="D809" s="7">
        <v>807</v>
      </c>
      <c r="E809" s="11"/>
    </row>
    <row r="810" ht="18" customHeight="1" spans="1:5">
      <c r="A810" s="10" t="str">
        <f>"卢吉超"</f>
        <v>卢吉超</v>
      </c>
      <c r="B810" s="10" t="str">
        <f>"10101013909"</f>
        <v>10101013909</v>
      </c>
      <c r="C810" s="11">
        <v>46</v>
      </c>
      <c r="D810" s="7">
        <v>808</v>
      </c>
      <c r="E810" s="11"/>
    </row>
    <row r="811" ht="18" customHeight="1" spans="1:5">
      <c r="A811" s="10" t="str">
        <f>"吉训警"</f>
        <v>吉训警</v>
      </c>
      <c r="B811" s="10" t="str">
        <f>"10101014225"</f>
        <v>10101014225</v>
      </c>
      <c r="C811" s="11">
        <v>46</v>
      </c>
      <c r="D811" s="7">
        <v>809</v>
      </c>
      <c r="E811" s="11"/>
    </row>
    <row r="812" ht="18" customHeight="1" spans="1:5">
      <c r="A812" s="10" t="str">
        <f>"李密"</f>
        <v>李密</v>
      </c>
      <c r="B812" s="10" t="str">
        <f>"10101014311"</f>
        <v>10101014311</v>
      </c>
      <c r="C812" s="11">
        <v>46</v>
      </c>
      <c r="D812" s="7">
        <v>810</v>
      </c>
      <c r="E812" s="11"/>
    </row>
    <row r="813" ht="18" customHeight="1" spans="1:5">
      <c r="A813" s="10" t="str">
        <f>"符雕焕"</f>
        <v>符雕焕</v>
      </c>
      <c r="B813" s="10" t="str">
        <f>"10101014520"</f>
        <v>10101014520</v>
      </c>
      <c r="C813" s="11">
        <v>46</v>
      </c>
      <c r="D813" s="7">
        <v>811</v>
      </c>
      <c r="E813" s="11"/>
    </row>
    <row r="814" ht="18" customHeight="1" spans="1:5">
      <c r="A814" s="10" t="str">
        <f>"吉如宽"</f>
        <v>吉如宽</v>
      </c>
      <c r="B814" s="10" t="str">
        <f>"10101014601"</f>
        <v>10101014601</v>
      </c>
      <c r="C814" s="11">
        <v>46</v>
      </c>
      <c r="D814" s="7">
        <v>812</v>
      </c>
      <c r="E814" s="11"/>
    </row>
    <row r="815" ht="18" customHeight="1" spans="1:5">
      <c r="A815" s="10" t="str">
        <f>"钟莲"</f>
        <v>钟莲</v>
      </c>
      <c r="B815" s="10" t="str">
        <f>"10101015103"</f>
        <v>10101015103</v>
      </c>
      <c r="C815" s="11">
        <v>46</v>
      </c>
      <c r="D815" s="7">
        <v>813</v>
      </c>
      <c r="E815" s="11"/>
    </row>
    <row r="816" ht="18" customHeight="1" spans="1:5">
      <c r="A816" s="10" t="str">
        <f>"陈启凤"</f>
        <v>陈启凤</v>
      </c>
      <c r="B816" s="10" t="str">
        <f>"10101015401"</f>
        <v>10101015401</v>
      </c>
      <c r="C816" s="11">
        <v>46</v>
      </c>
      <c r="D816" s="7">
        <v>814</v>
      </c>
      <c r="E816" s="11"/>
    </row>
    <row r="817" ht="18" customHeight="1" spans="1:5">
      <c r="A817" s="10" t="str">
        <f>"符金娜"</f>
        <v>符金娜</v>
      </c>
      <c r="B817" s="10" t="str">
        <f>"10101012130"</f>
        <v>10101012130</v>
      </c>
      <c r="C817" s="11">
        <v>45</v>
      </c>
      <c r="D817" s="7">
        <v>815</v>
      </c>
      <c r="E817" s="11"/>
    </row>
    <row r="818" ht="18" customHeight="1" spans="1:5">
      <c r="A818" s="10" t="str">
        <f>"庄金玉"</f>
        <v>庄金玉</v>
      </c>
      <c r="B818" s="10" t="str">
        <f>"10101012327"</f>
        <v>10101012327</v>
      </c>
      <c r="C818" s="11">
        <v>45</v>
      </c>
      <c r="D818" s="7">
        <v>816</v>
      </c>
      <c r="E818" s="11"/>
    </row>
    <row r="819" ht="18" customHeight="1" spans="1:5">
      <c r="A819" s="10" t="str">
        <f>"郭彬花"</f>
        <v>郭彬花</v>
      </c>
      <c r="B819" s="10" t="str">
        <f>"10101012515"</f>
        <v>10101012515</v>
      </c>
      <c r="C819" s="11">
        <v>45</v>
      </c>
      <c r="D819" s="7">
        <v>817</v>
      </c>
      <c r="E819" s="11"/>
    </row>
    <row r="820" ht="18" customHeight="1" spans="1:5">
      <c r="A820" s="10" t="str">
        <f>"符薇"</f>
        <v>符薇</v>
      </c>
      <c r="B820" s="10" t="str">
        <f>"10101012911"</f>
        <v>10101012911</v>
      </c>
      <c r="C820" s="11">
        <v>45</v>
      </c>
      <c r="D820" s="7">
        <v>818</v>
      </c>
      <c r="E820" s="11"/>
    </row>
    <row r="821" ht="18" customHeight="1" spans="1:5">
      <c r="A821" s="10" t="str">
        <f>"钟远霞"</f>
        <v>钟远霞</v>
      </c>
      <c r="B821" s="10" t="str">
        <f>"10101013504"</f>
        <v>10101013504</v>
      </c>
      <c r="C821" s="11">
        <v>45</v>
      </c>
      <c r="D821" s="7">
        <v>819</v>
      </c>
      <c r="E821" s="11"/>
    </row>
    <row r="822" ht="18" customHeight="1" spans="1:5">
      <c r="A822" s="10" t="str">
        <f>"卢瑞琼"</f>
        <v>卢瑞琼</v>
      </c>
      <c r="B822" s="10" t="str">
        <f>"10101013630"</f>
        <v>10101013630</v>
      </c>
      <c r="C822" s="11">
        <v>45</v>
      </c>
      <c r="D822" s="7">
        <v>820</v>
      </c>
      <c r="E822" s="11"/>
    </row>
    <row r="823" ht="18" customHeight="1" spans="1:5">
      <c r="A823" s="10" t="str">
        <f>"尹朝霞"</f>
        <v>尹朝霞</v>
      </c>
      <c r="B823" s="10" t="str">
        <f>"10101013917"</f>
        <v>10101013917</v>
      </c>
      <c r="C823" s="11">
        <v>45</v>
      </c>
      <c r="D823" s="7">
        <v>821</v>
      </c>
      <c r="E823" s="11"/>
    </row>
    <row r="824" ht="18" customHeight="1" spans="1:5">
      <c r="A824" s="10" t="str">
        <f>"文而漫"</f>
        <v>文而漫</v>
      </c>
      <c r="B824" s="10" t="str">
        <f>"10101014122"</f>
        <v>10101014122</v>
      </c>
      <c r="C824" s="11">
        <v>45</v>
      </c>
      <c r="D824" s="7">
        <v>822</v>
      </c>
      <c r="E824" s="11"/>
    </row>
    <row r="825" ht="18" customHeight="1" spans="1:5">
      <c r="A825" s="10" t="str">
        <f>"文兰"</f>
        <v>文兰</v>
      </c>
      <c r="B825" s="10" t="str">
        <f>"10101014126"</f>
        <v>10101014126</v>
      </c>
      <c r="C825" s="11">
        <v>45</v>
      </c>
      <c r="D825" s="7">
        <v>823</v>
      </c>
      <c r="E825" s="11"/>
    </row>
    <row r="826" ht="18" customHeight="1" spans="1:5">
      <c r="A826" s="10" t="str">
        <f>"黄堂苗"</f>
        <v>黄堂苗</v>
      </c>
      <c r="B826" s="10" t="str">
        <f>"10101014618"</f>
        <v>10101014618</v>
      </c>
      <c r="C826" s="11">
        <v>45</v>
      </c>
      <c r="D826" s="7">
        <v>824</v>
      </c>
      <c r="E826" s="11"/>
    </row>
    <row r="827" ht="18" customHeight="1" spans="1:5">
      <c r="A827" s="10" t="str">
        <f>"卢叶婷"</f>
        <v>卢叶婷</v>
      </c>
      <c r="B827" s="10" t="str">
        <f>"10101014720"</f>
        <v>10101014720</v>
      </c>
      <c r="C827" s="11">
        <v>45</v>
      </c>
      <c r="D827" s="7">
        <v>825</v>
      </c>
      <c r="E827" s="11"/>
    </row>
    <row r="828" ht="18" customHeight="1" spans="1:5">
      <c r="A828" s="10" t="str">
        <f>"任喜燕"</f>
        <v>任喜燕</v>
      </c>
      <c r="B828" s="10" t="str">
        <f>"10101014813"</f>
        <v>10101014813</v>
      </c>
      <c r="C828" s="11">
        <v>45</v>
      </c>
      <c r="D828" s="7">
        <v>826</v>
      </c>
      <c r="E828" s="11"/>
    </row>
    <row r="829" ht="18" customHeight="1" spans="1:5">
      <c r="A829" s="10" t="str">
        <f>"高玉娟"</f>
        <v>高玉娟</v>
      </c>
      <c r="B829" s="10" t="str">
        <f>"10101015216"</f>
        <v>10101015216</v>
      </c>
      <c r="C829" s="11">
        <v>45</v>
      </c>
      <c r="D829" s="7">
        <v>827</v>
      </c>
      <c r="E829" s="11"/>
    </row>
    <row r="830" ht="18" customHeight="1" spans="1:5">
      <c r="A830" s="10" t="str">
        <f>"符礼璐"</f>
        <v>符礼璐</v>
      </c>
      <c r="B830" s="10" t="str">
        <f>"10101015230"</f>
        <v>10101015230</v>
      </c>
      <c r="C830" s="11">
        <v>45</v>
      </c>
      <c r="D830" s="7">
        <v>828</v>
      </c>
      <c r="E830" s="11"/>
    </row>
    <row r="831" ht="18" customHeight="1" spans="1:5">
      <c r="A831" s="10" t="str">
        <f>"周致珠"</f>
        <v>周致珠</v>
      </c>
      <c r="B831" s="10" t="str">
        <f>"10101015301"</f>
        <v>10101015301</v>
      </c>
      <c r="C831" s="11">
        <v>45</v>
      </c>
      <c r="D831" s="7">
        <v>829</v>
      </c>
      <c r="E831" s="11"/>
    </row>
    <row r="832" ht="18" customHeight="1" spans="1:5">
      <c r="A832" s="10" t="str">
        <f>"吉丽尾"</f>
        <v>吉丽尾</v>
      </c>
      <c r="B832" s="10" t="str">
        <f>"10101015506"</f>
        <v>10101015506</v>
      </c>
      <c r="C832" s="11">
        <v>45</v>
      </c>
      <c r="D832" s="7">
        <v>830</v>
      </c>
      <c r="E832" s="11"/>
    </row>
    <row r="833" ht="18" customHeight="1" spans="1:5">
      <c r="A833" s="10" t="str">
        <f>"符志交"</f>
        <v>符志交</v>
      </c>
      <c r="B833" s="10" t="str">
        <f>"10101012308"</f>
        <v>10101012308</v>
      </c>
      <c r="C833" s="11">
        <v>44</v>
      </c>
      <c r="D833" s="7">
        <v>831</v>
      </c>
      <c r="E833" s="11"/>
    </row>
    <row r="834" ht="18" customHeight="1" spans="1:5">
      <c r="A834" s="10" t="str">
        <f>"郭晓虹"</f>
        <v>郭晓虹</v>
      </c>
      <c r="B834" s="10" t="str">
        <f>"10101012707"</f>
        <v>10101012707</v>
      </c>
      <c r="C834" s="11">
        <v>44</v>
      </c>
      <c r="D834" s="7">
        <v>832</v>
      </c>
      <c r="E834" s="11"/>
    </row>
    <row r="835" ht="18" customHeight="1" spans="1:5">
      <c r="A835" s="10" t="str">
        <f>"吉训银"</f>
        <v>吉训银</v>
      </c>
      <c r="B835" s="10" t="str">
        <f>"10101012730"</f>
        <v>10101012730</v>
      </c>
      <c r="C835" s="11">
        <v>44</v>
      </c>
      <c r="D835" s="7">
        <v>833</v>
      </c>
      <c r="E835" s="11"/>
    </row>
    <row r="836" ht="18" customHeight="1" spans="1:5">
      <c r="A836" s="10" t="str">
        <f>"王锡姮"</f>
        <v>王锡姮</v>
      </c>
      <c r="B836" s="10" t="str">
        <f>"10101013029"</f>
        <v>10101013029</v>
      </c>
      <c r="C836" s="11">
        <v>44</v>
      </c>
      <c r="D836" s="7">
        <v>834</v>
      </c>
      <c r="E836" s="11"/>
    </row>
    <row r="837" ht="18" customHeight="1" spans="1:5">
      <c r="A837" s="10" t="str">
        <f>"符青青"</f>
        <v>符青青</v>
      </c>
      <c r="B837" s="10" t="str">
        <f>"10101013326"</f>
        <v>10101013326</v>
      </c>
      <c r="C837" s="11">
        <v>44</v>
      </c>
      <c r="D837" s="7">
        <v>835</v>
      </c>
      <c r="E837" s="11"/>
    </row>
    <row r="838" ht="18" customHeight="1" spans="1:5">
      <c r="A838" s="10" t="str">
        <f>"蔡易"</f>
        <v>蔡易</v>
      </c>
      <c r="B838" s="10" t="str">
        <f>"10101013328"</f>
        <v>10101013328</v>
      </c>
      <c r="C838" s="11">
        <v>44</v>
      </c>
      <c r="D838" s="7">
        <v>836</v>
      </c>
      <c r="E838" s="11"/>
    </row>
    <row r="839" ht="18" customHeight="1" spans="1:5">
      <c r="A839" s="10" t="str">
        <f>"郑高香"</f>
        <v>郑高香</v>
      </c>
      <c r="B839" s="10" t="str">
        <f>"10101013614"</f>
        <v>10101013614</v>
      </c>
      <c r="C839" s="11">
        <v>44</v>
      </c>
      <c r="D839" s="7">
        <v>837</v>
      </c>
      <c r="E839" s="11"/>
    </row>
    <row r="840" ht="18" customHeight="1" spans="1:5">
      <c r="A840" s="10" t="str">
        <f>"戴长翔"</f>
        <v>戴长翔</v>
      </c>
      <c r="B840" s="10" t="str">
        <f>"10101014320"</f>
        <v>10101014320</v>
      </c>
      <c r="C840" s="11">
        <v>44</v>
      </c>
      <c r="D840" s="7">
        <v>838</v>
      </c>
      <c r="E840" s="11"/>
    </row>
    <row r="841" ht="18" customHeight="1" spans="1:5">
      <c r="A841" s="10" t="str">
        <f>"王英艳"</f>
        <v>王英艳</v>
      </c>
      <c r="B841" s="10" t="str">
        <f>"10101014405"</f>
        <v>10101014405</v>
      </c>
      <c r="C841" s="11">
        <v>44</v>
      </c>
      <c r="D841" s="7">
        <v>839</v>
      </c>
      <c r="E841" s="11"/>
    </row>
    <row r="842" ht="18" customHeight="1" spans="1:5">
      <c r="A842" s="10" t="str">
        <f>"张道雨"</f>
        <v>张道雨</v>
      </c>
      <c r="B842" s="10" t="str">
        <f>"10101014612"</f>
        <v>10101014612</v>
      </c>
      <c r="C842" s="11">
        <v>44</v>
      </c>
      <c r="D842" s="7">
        <v>840</v>
      </c>
      <c r="E842" s="11"/>
    </row>
    <row r="843" ht="18" customHeight="1" spans="1:5">
      <c r="A843" s="10" t="str">
        <f>"马秀英"</f>
        <v>马秀英</v>
      </c>
      <c r="B843" s="10" t="str">
        <f>"10101014629"</f>
        <v>10101014629</v>
      </c>
      <c r="C843" s="11">
        <v>44</v>
      </c>
      <c r="D843" s="7">
        <v>841</v>
      </c>
      <c r="E843" s="11"/>
    </row>
    <row r="844" ht="18" customHeight="1" spans="1:5">
      <c r="A844" s="10" t="str">
        <f>"符爱雕"</f>
        <v>符爱雕</v>
      </c>
      <c r="B844" s="10" t="str">
        <f>"10101014902"</f>
        <v>10101014902</v>
      </c>
      <c r="C844" s="11">
        <v>44</v>
      </c>
      <c r="D844" s="7">
        <v>842</v>
      </c>
      <c r="E844" s="11"/>
    </row>
    <row r="845" ht="18" customHeight="1" spans="1:5">
      <c r="A845" s="10" t="str">
        <f>"王英俄"</f>
        <v>王英俄</v>
      </c>
      <c r="B845" s="10" t="str">
        <f>"10101014925"</f>
        <v>10101014925</v>
      </c>
      <c r="C845" s="11">
        <v>44</v>
      </c>
      <c r="D845" s="7">
        <v>843</v>
      </c>
      <c r="E845" s="11"/>
    </row>
    <row r="846" ht="18" customHeight="1" spans="1:5">
      <c r="A846" s="10" t="str">
        <f>"林德丽"</f>
        <v>林德丽</v>
      </c>
      <c r="B846" s="10" t="str">
        <f>"10101015305"</f>
        <v>10101015305</v>
      </c>
      <c r="C846" s="11">
        <v>44</v>
      </c>
      <c r="D846" s="7">
        <v>844</v>
      </c>
      <c r="E846" s="11"/>
    </row>
    <row r="847" ht="18" customHeight="1" spans="1:5">
      <c r="A847" s="10" t="str">
        <f>"符冰婷"</f>
        <v>符冰婷</v>
      </c>
      <c r="B847" s="10" t="str">
        <f>"10101012312"</f>
        <v>10101012312</v>
      </c>
      <c r="C847" s="11">
        <v>43</v>
      </c>
      <c r="D847" s="7">
        <v>845</v>
      </c>
      <c r="E847" s="11"/>
    </row>
    <row r="848" ht="18" customHeight="1" spans="1:5">
      <c r="A848" s="10" t="str">
        <f>"陈少红"</f>
        <v>陈少红</v>
      </c>
      <c r="B848" s="10" t="str">
        <f>"10101013216"</f>
        <v>10101013216</v>
      </c>
      <c r="C848" s="11">
        <v>43</v>
      </c>
      <c r="D848" s="7">
        <v>846</v>
      </c>
      <c r="E848" s="11"/>
    </row>
    <row r="849" ht="18" customHeight="1" spans="1:5">
      <c r="A849" s="10" t="str">
        <f>"汤俊梅"</f>
        <v>汤俊梅</v>
      </c>
      <c r="B849" s="10" t="str">
        <f>"10101013507"</f>
        <v>10101013507</v>
      </c>
      <c r="C849" s="11">
        <v>43</v>
      </c>
      <c r="D849" s="7">
        <v>847</v>
      </c>
      <c r="E849" s="11"/>
    </row>
    <row r="850" ht="18" customHeight="1" spans="1:5">
      <c r="A850" s="10" t="str">
        <f>"符杨丽"</f>
        <v>符杨丽</v>
      </c>
      <c r="B850" s="10" t="str">
        <f>"10101013902"</f>
        <v>10101013902</v>
      </c>
      <c r="C850" s="11">
        <v>43</v>
      </c>
      <c r="D850" s="7">
        <v>848</v>
      </c>
      <c r="E850" s="11"/>
    </row>
    <row r="851" ht="18" customHeight="1" spans="1:5">
      <c r="A851" s="10" t="str">
        <f>"符克燕"</f>
        <v>符克燕</v>
      </c>
      <c r="B851" s="10" t="str">
        <f>"10101014713"</f>
        <v>10101014713</v>
      </c>
      <c r="C851" s="11">
        <v>43</v>
      </c>
      <c r="D851" s="7">
        <v>849</v>
      </c>
      <c r="E851" s="11"/>
    </row>
    <row r="852" ht="18" customHeight="1" spans="1:5">
      <c r="A852" s="10" t="str">
        <f>"符小春"</f>
        <v>符小春</v>
      </c>
      <c r="B852" s="10" t="str">
        <f>"10101014927"</f>
        <v>10101014927</v>
      </c>
      <c r="C852" s="11">
        <v>43</v>
      </c>
      <c r="D852" s="7">
        <v>850</v>
      </c>
      <c r="E852" s="11"/>
    </row>
    <row r="853" ht="18" customHeight="1" spans="1:5">
      <c r="A853" s="10" t="str">
        <f>"赵美娜"</f>
        <v>赵美娜</v>
      </c>
      <c r="B853" s="10" t="str">
        <f>"10101015124"</f>
        <v>10101015124</v>
      </c>
      <c r="C853" s="11">
        <v>43</v>
      </c>
      <c r="D853" s="7">
        <v>851</v>
      </c>
      <c r="E853" s="11"/>
    </row>
    <row r="854" ht="18" customHeight="1" spans="1:5">
      <c r="A854" s="10" t="str">
        <f>"钟树凤"</f>
        <v>钟树凤</v>
      </c>
      <c r="B854" s="10" t="str">
        <f>"10101015328"</f>
        <v>10101015328</v>
      </c>
      <c r="C854" s="11">
        <v>43</v>
      </c>
      <c r="D854" s="7">
        <v>852</v>
      </c>
      <c r="E854" s="11"/>
    </row>
    <row r="855" ht="18" customHeight="1" spans="1:5">
      <c r="A855" s="10" t="str">
        <f>"符金凤"</f>
        <v>符金凤</v>
      </c>
      <c r="B855" s="10" t="str">
        <f>"10101014303"</f>
        <v>10101014303</v>
      </c>
      <c r="C855" s="11">
        <v>42</v>
      </c>
      <c r="D855" s="7">
        <v>853</v>
      </c>
      <c r="E855" s="8" t="s">
        <v>26</v>
      </c>
    </row>
    <row r="856" ht="18" customHeight="1" spans="1:5">
      <c r="A856" s="10" t="str">
        <f>"汤周兰"</f>
        <v>汤周兰</v>
      </c>
      <c r="B856" s="10" t="str">
        <f>"10101015105"</f>
        <v>10101015105</v>
      </c>
      <c r="C856" s="11">
        <v>42</v>
      </c>
      <c r="D856" s="7">
        <v>854</v>
      </c>
      <c r="E856" s="11"/>
    </row>
    <row r="857" ht="18" customHeight="1" spans="1:5">
      <c r="A857" s="10" t="str">
        <f>"符庆庆"</f>
        <v>符庆庆</v>
      </c>
      <c r="B857" s="10" t="str">
        <f>"10101015423"</f>
        <v>10101015423</v>
      </c>
      <c r="C857" s="11">
        <v>42</v>
      </c>
      <c r="D857" s="7">
        <v>855</v>
      </c>
      <c r="E857" s="11"/>
    </row>
    <row r="858" ht="18" customHeight="1" spans="1:5">
      <c r="A858" s="10" t="str">
        <f>"郭洪霞"</f>
        <v>郭洪霞</v>
      </c>
      <c r="B858" s="10" t="str">
        <f>"10101014502"</f>
        <v>10101014502</v>
      </c>
      <c r="C858" s="11">
        <v>41</v>
      </c>
      <c r="D858" s="7">
        <v>856</v>
      </c>
      <c r="E858" s="11"/>
    </row>
    <row r="859" ht="18" customHeight="1" spans="1:5">
      <c r="A859" s="10" t="str">
        <f>"王晓慧"</f>
        <v>王晓慧</v>
      </c>
      <c r="B859" s="10" t="str">
        <f>"10101015209"</f>
        <v>10101015209</v>
      </c>
      <c r="C859" s="11">
        <v>41</v>
      </c>
      <c r="D859" s="7">
        <v>857</v>
      </c>
      <c r="E859" s="11"/>
    </row>
    <row r="860" ht="18" customHeight="1" spans="1:5">
      <c r="A860" s="10" t="str">
        <f>"陈信竹"</f>
        <v>陈信竹</v>
      </c>
      <c r="B860" s="10" t="str">
        <f>"10101013222"</f>
        <v>10101013222</v>
      </c>
      <c r="C860" s="11">
        <v>40</v>
      </c>
      <c r="D860" s="7">
        <v>858</v>
      </c>
      <c r="E860" s="11"/>
    </row>
    <row r="861" ht="18" customHeight="1" spans="1:5">
      <c r="A861" s="10" t="str">
        <f>"周文美"</f>
        <v>周文美</v>
      </c>
      <c r="B861" s="10" t="str">
        <f>"10101014214"</f>
        <v>10101014214</v>
      </c>
      <c r="C861" s="11">
        <v>40</v>
      </c>
      <c r="D861" s="7">
        <v>859</v>
      </c>
      <c r="E861" s="11"/>
    </row>
    <row r="862" ht="18" customHeight="1" spans="1:5">
      <c r="A862" s="10" t="str">
        <f>"符女意"</f>
        <v>符女意</v>
      </c>
      <c r="B862" s="10" t="str">
        <f>"10101015202"</f>
        <v>10101015202</v>
      </c>
      <c r="C862" s="11">
        <v>40</v>
      </c>
      <c r="D862" s="7">
        <v>860</v>
      </c>
      <c r="E862" s="11"/>
    </row>
    <row r="863" ht="18" customHeight="1" spans="1:5">
      <c r="A863" s="10" t="str">
        <f>"谭仕娟"</f>
        <v>谭仕娟</v>
      </c>
      <c r="B863" s="10" t="str">
        <f>"10101015327"</f>
        <v>10101015327</v>
      </c>
      <c r="C863" s="11">
        <v>40</v>
      </c>
      <c r="D863" s="7">
        <v>861</v>
      </c>
      <c r="E863" s="11"/>
    </row>
    <row r="864" ht="18" customHeight="1" spans="1:5">
      <c r="A864" s="10" t="str">
        <f>"文开琴"</f>
        <v>文开琴</v>
      </c>
      <c r="B864" s="10" t="str">
        <f>"10101012815"</f>
        <v>10101012815</v>
      </c>
      <c r="C864" s="11">
        <v>39</v>
      </c>
      <c r="D864" s="7">
        <v>862</v>
      </c>
      <c r="E864" s="11"/>
    </row>
    <row r="865" ht="18" customHeight="1" spans="1:5">
      <c r="A865" s="10" t="str">
        <f>"符英翠"</f>
        <v>符英翠</v>
      </c>
      <c r="B865" s="10" t="str">
        <f>"10101012830"</f>
        <v>10101012830</v>
      </c>
      <c r="C865" s="11">
        <v>39</v>
      </c>
      <c r="D865" s="7">
        <v>863</v>
      </c>
      <c r="E865" s="11"/>
    </row>
    <row r="866" ht="18" customHeight="1" spans="1:5">
      <c r="A866" s="10" t="str">
        <f>"倪俊携"</f>
        <v>倪俊携</v>
      </c>
      <c r="B866" s="10" t="str">
        <f>"10101012914"</f>
        <v>10101012914</v>
      </c>
      <c r="C866" s="11">
        <v>39</v>
      </c>
      <c r="D866" s="7">
        <v>864</v>
      </c>
      <c r="E866" s="11"/>
    </row>
    <row r="867" ht="18" customHeight="1" spans="1:5">
      <c r="A867" s="10" t="str">
        <f>"符春秀"</f>
        <v>符春秀</v>
      </c>
      <c r="B867" s="10" t="str">
        <f>"10101013122"</f>
        <v>10101013122</v>
      </c>
      <c r="C867" s="11">
        <v>39</v>
      </c>
      <c r="D867" s="7">
        <v>865</v>
      </c>
      <c r="E867" s="11"/>
    </row>
    <row r="868" ht="18" customHeight="1" spans="1:5">
      <c r="A868" s="10" t="str">
        <f>"柳家兰"</f>
        <v>柳家兰</v>
      </c>
      <c r="B868" s="10" t="str">
        <f>"10101013227"</f>
        <v>10101013227</v>
      </c>
      <c r="C868" s="11">
        <v>39</v>
      </c>
      <c r="D868" s="7">
        <v>866</v>
      </c>
      <c r="E868" s="11"/>
    </row>
    <row r="869" ht="18" customHeight="1" spans="1:5">
      <c r="A869" s="10" t="str">
        <f>"冯淑婷"</f>
        <v>冯淑婷</v>
      </c>
      <c r="B869" s="10" t="str">
        <f>"10101013502"</f>
        <v>10101013502</v>
      </c>
      <c r="C869" s="11">
        <v>39</v>
      </c>
      <c r="D869" s="7">
        <v>867</v>
      </c>
      <c r="E869" s="11"/>
    </row>
    <row r="870" ht="18" customHeight="1" spans="1:5">
      <c r="A870" s="10" t="str">
        <f>"陈玲"</f>
        <v>陈玲</v>
      </c>
      <c r="B870" s="10" t="str">
        <f>"10101014009"</f>
        <v>10101014009</v>
      </c>
      <c r="C870" s="11">
        <v>39</v>
      </c>
      <c r="D870" s="7">
        <v>868</v>
      </c>
      <c r="E870" s="11"/>
    </row>
    <row r="871" ht="18" customHeight="1" spans="1:5">
      <c r="A871" s="10" t="str">
        <f>"冯亚怀"</f>
        <v>冯亚怀</v>
      </c>
      <c r="B871" s="10" t="str">
        <f>"10101014508"</f>
        <v>10101014508</v>
      </c>
      <c r="C871" s="11">
        <v>39</v>
      </c>
      <c r="D871" s="7">
        <v>869</v>
      </c>
      <c r="E871" s="11"/>
    </row>
    <row r="872" ht="18" customHeight="1" spans="1:5">
      <c r="A872" s="10" t="str">
        <f>"林芳"</f>
        <v>林芳</v>
      </c>
      <c r="B872" s="10" t="str">
        <f>"10101014920"</f>
        <v>10101014920</v>
      </c>
      <c r="C872" s="11">
        <v>39</v>
      </c>
      <c r="D872" s="7">
        <v>870</v>
      </c>
      <c r="E872" s="11"/>
    </row>
    <row r="873" ht="18" customHeight="1" spans="1:5">
      <c r="A873" s="10" t="str">
        <f>"吴家喜"</f>
        <v>吴家喜</v>
      </c>
      <c r="B873" s="10" t="str">
        <f>"10101015317"</f>
        <v>10101015317</v>
      </c>
      <c r="C873" s="11">
        <v>39</v>
      </c>
      <c r="D873" s="7">
        <v>871</v>
      </c>
      <c r="E873" s="11"/>
    </row>
    <row r="874" ht="18" customHeight="1" spans="1:5">
      <c r="A874" s="10" t="str">
        <f>"符美霞"</f>
        <v>符美霞</v>
      </c>
      <c r="B874" s="10" t="str">
        <f>"10101013124"</f>
        <v>10101013124</v>
      </c>
      <c r="C874" s="11">
        <v>38</v>
      </c>
      <c r="D874" s="7">
        <v>872</v>
      </c>
      <c r="E874" s="11"/>
    </row>
    <row r="875" ht="18" customHeight="1" spans="1:5">
      <c r="A875" s="10" t="str">
        <f>"蔡建芬"</f>
        <v>蔡建芬</v>
      </c>
      <c r="B875" s="10" t="str">
        <f>"10101013602"</f>
        <v>10101013602</v>
      </c>
      <c r="C875" s="11">
        <v>38</v>
      </c>
      <c r="D875" s="7">
        <v>873</v>
      </c>
      <c r="E875" s="11"/>
    </row>
    <row r="876" ht="18" customHeight="1" spans="1:5">
      <c r="A876" s="10" t="str">
        <f>"钟圣梨"</f>
        <v>钟圣梨</v>
      </c>
      <c r="B876" s="10" t="str">
        <f>"10101013924"</f>
        <v>10101013924</v>
      </c>
      <c r="C876" s="11">
        <v>38</v>
      </c>
      <c r="D876" s="7">
        <v>874</v>
      </c>
      <c r="E876" s="11"/>
    </row>
    <row r="877" ht="18" customHeight="1" spans="1:5">
      <c r="A877" s="10" t="str">
        <f>"曾小微"</f>
        <v>曾小微</v>
      </c>
      <c r="B877" s="10" t="str">
        <f>"10101014107"</f>
        <v>10101014107</v>
      </c>
      <c r="C877" s="11">
        <v>38</v>
      </c>
      <c r="D877" s="7">
        <v>875</v>
      </c>
      <c r="E877" s="11"/>
    </row>
    <row r="878" ht="18" customHeight="1" spans="1:5">
      <c r="A878" s="10" t="str">
        <f>"邢彩琼"</f>
        <v>邢彩琼</v>
      </c>
      <c r="B878" s="10" t="str">
        <f>"10101014226"</f>
        <v>10101014226</v>
      </c>
      <c r="C878" s="11">
        <v>38</v>
      </c>
      <c r="D878" s="7">
        <v>876</v>
      </c>
      <c r="E878" s="11"/>
    </row>
    <row r="879" ht="18" customHeight="1" spans="1:5">
      <c r="A879" s="10" t="str">
        <f>"李叶圆"</f>
        <v>李叶圆</v>
      </c>
      <c r="B879" s="10" t="str">
        <f>"10101014626"</f>
        <v>10101014626</v>
      </c>
      <c r="C879" s="11">
        <v>38</v>
      </c>
      <c r="D879" s="7">
        <v>877</v>
      </c>
      <c r="E879" s="11"/>
    </row>
    <row r="880" ht="18" customHeight="1" spans="1:5">
      <c r="A880" s="10" t="str">
        <f>"赵永春"</f>
        <v>赵永春</v>
      </c>
      <c r="B880" s="10" t="str">
        <f>"10101014718"</f>
        <v>10101014718</v>
      </c>
      <c r="C880" s="11">
        <v>38</v>
      </c>
      <c r="D880" s="7">
        <v>878</v>
      </c>
      <c r="E880" s="11"/>
    </row>
    <row r="881" ht="18" customHeight="1" spans="1:5">
      <c r="A881" s="10" t="str">
        <f>"陈韵"</f>
        <v>陈韵</v>
      </c>
      <c r="B881" s="10" t="str">
        <f>"10101014820"</f>
        <v>10101014820</v>
      </c>
      <c r="C881" s="11">
        <v>38</v>
      </c>
      <c r="D881" s="7">
        <v>879</v>
      </c>
      <c r="E881" s="11"/>
    </row>
    <row r="882" ht="18" customHeight="1" spans="1:5">
      <c r="A882" s="10" t="str">
        <f>"赵芊"</f>
        <v>赵芊</v>
      </c>
      <c r="B882" s="10" t="str">
        <f>"10101015011"</f>
        <v>10101015011</v>
      </c>
      <c r="C882" s="11">
        <v>38</v>
      </c>
      <c r="D882" s="7">
        <v>880</v>
      </c>
      <c r="E882" s="11"/>
    </row>
    <row r="883" ht="18" customHeight="1" spans="1:5">
      <c r="A883" s="10" t="str">
        <f>"杨丹"</f>
        <v>杨丹</v>
      </c>
      <c r="B883" s="10" t="str">
        <f>"10101015218"</f>
        <v>10101015218</v>
      </c>
      <c r="C883" s="11">
        <v>38</v>
      </c>
      <c r="D883" s="7">
        <v>881</v>
      </c>
      <c r="E883" s="11"/>
    </row>
    <row r="884" ht="18" customHeight="1" spans="1:5">
      <c r="A884" s="10" t="str">
        <f>"刘曾宽"</f>
        <v>刘曾宽</v>
      </c>
      <c r="B884" s="10" t="str">
        <f>"10101013405"</f>
        <v>10101013405</v>
      </c>
      <c r="C884" s="11">
        <v>37</v>
      </c>
      <c r="D884" s="7">
        <v>882</v>
      </c>
      <c r="E884" s="11"/>
    </row>
    <row r="885" ht="18" customHeight="1" spans="1:5">
      <c r="A885" s="10" t="str">
        <f>"唐和"</f>
        <v>唐和</v>
      </c>
      <c r="B885" s="10" t="str">
        <f>"10101013605"</f>
        <v>10101013605</v>
      </c>
      <c r="C885" s="11">
        <v>37</v>
      </c>
      <c r="D885" s="7">
        <v>883</v>
      </c>
      <c r="E885" s="11"/>
    </row>
    <row r="886" ht="18" customHeight="1" spans="1:5">
      <c r="A886" s="10" t="str">
        <f>"蒙美颖"</f>
        <v>蒙美颖</v>
      </c>
      <c r="B886" s="10" t="str">
        <f>"10101014630"</f>
        <v>10101014630</v>
      </c>
      <c r="C886" s="11">
        <v>37</v>
      </c>
      <c r="D886" s="7">
        <v>884</v>
      </c>
      <c r="E886" s="11"/>
    </row>
    <row r="887" ht="18" customHeight="1" spans="1:5">
      <c r="A887" s="10" t="str">
        <f>"王陆余"</f>
        <v>王陆余</v>
      </c>
      <c r="B887" s="10" t="str">
        <f>"10101015320"</f>
        <v>10101015320</v>
      </c>
      <c r="C887" s="11">
        <v>37</v>
      </c>
      <c r="D887" s="7">
        <v>885</v>
      </c>
      <c r="E887" s="11"/>
    </row>
    <row r="888" ht="18" customHeight="1" spans="1:5">
      <c r="A888" s="10" t="str">
        <f>"王华珍"</f>
        <v>王华珍</v>
      </c>
      <c r="B888" s="10" t="str">
        <f>"10101013415"</f>
        <v>10101013415</v>
      </c>
      <c r="C888" s="11">
        <v>36</v>
      </c>
      <c r="D888" s="7">
        <v>886</v>
      </c>
      <c r="E888" s="11"/>
    </row>
    <row r="889" ht="18" customHeight="1" spans="1:5">
      <c r="A889" s="10" t="str">
        <f>"卢艳艳"</f>
        <v>卢艳艳</v>
      </c>
      <c r="B889" s="10" t="str">
        <f>"10101013805"</f>
        <v>10101013805</v>
      </c>
      <c r="C889" s="11">
        <v>36</v>
      </c>
      <c r="D889" s="7">
        <v>887</v>
      </c>
      <c r="E889" s="11"/>
    </row>
    <row r="890" ht="18" customHeight="1" spans="1:5">
      <c r="A890" s="10" t="str">
        <f>"吉亚敬"</f>
        <v>吉亚敬</v>
      </c>
      <c r="B890" s="10" t="str">
        <f>"10101014014"</f>
        <v>10101014014</v>
      </c>
      <c r="C890" s="11">
        <v>36</v>
      </c>
      <c r="D890" s="7">
        <v>888</v>
      </c>
      <c r="E890" s="11"/>
    </row>
    <row r="891" ht="18" customHeight="1" spans="1:5">
      <c r="A891" s="10" t="str">
        <f>"王锡倩"</f>
        <v>王锡倩</v>
      </c>
      <c r="B891" s="10" t="str">
        <f>"10101014316"</f>
        <v>10101014316</v>
      </c>
      <c r="C891" s="11">
        <v>36</v>
      </c>
      <c r="D891" s="7">
        <v>889</v>
      </c>
      <c r="E891" s="11"/>
    </row>
    <row r="892" ht="18" customHeight="1" spans="1:5">
      <c r="A892" s="10" t="str">
        <f>"麦名燕"</f>
        <v>麦名燕</v>
      </c>
      <c r="B892" s="10" t="str">
        <f>"10101014509"</f>
        <v>10101014509</v>
      </c>
      <c r="C892" s="11">
        <v>36</v>
      </c>
      <c r="D892" s="7">
        <v>890</v>
      </c>
      <c r="E892" s="11"/>
    </row>
    <row r="893" ht="18" customHeight="1" spans="1:5">
      <c r="A893" s="10" t="str">
        <f>"吴家德"</f>
        <v>吴家德</v>
      </c>
      <c r="B893" s="10" t="str">
        <f>"10101014702"</f>
        <v>10101014702</v>
      </c>
      <c r="C893" s="11">
        <v>36</v>
      </c>
      <c r="D893" s="7">
        <v>891</v>
      </c>
      <c r="E893" s="11"/>
    </row>
    <row r="894" ht="18" customHeight="1" spans="1:5">
      <c r="A894" s="10" t="str">
        <f>"吴晓月"</f>
        <v>吴晓月</v>
      </c>
      <c r="B894" s="10" t="str">
        <f>"10101014906"</f>
        <v>10101014906</v>
      </c>
      <c r="C894" s="11">
        <v>36</v>
      </c>
      <c r="D894" s="7">
        <v>892</v>
      </c>
      <c r="E894" s="11"/>
    </row>
    <row r="895" ht="18" customHeight="1" spans="1:5">
      <c r="A895" s="10" t="str">
        <f>"符真真"</f>
        <v>符真真</v>
      </c>
      <c r="B895" s="10" t="str">
        <f>"10101012324"</f>
        <v>10101012324</v>
      </c>
      <c r="C895" s="11">
        <v>35</v>
      </c>
      <c r="D895" s="7">
        <v>893</v>
      </c>
      <c r="E895" s="11"/>
    </row>
    <row r="896" ht="18" customHeight="1" spans="1:5">
      <c r="A896" s="10" t="str">
        <f>"符尼沙"</f>
        <v>符尼沙</v>
      </c>
      <c r="B896" s="10" t="str">
        <f>"10101012411"</f>
        <v>10101012411</v>
      </c>
      <c r="C896" s="11">
        <v>35</v>
      </c>
      <c r="D896" s="7">
        <v>894</v>
      </c>
      <c r="E896" s="11"/>
    </row>
    <row r="897" ht="18" customHeight="1" spans="1:5">
      <c r="A897" s="10" t="str">
        <f>"王月"</f>
        <v>王月</v>
      </c>
      <c r="B897" s="10" t="str">
        <f>"10101012419"</f>
        <v>10101012419</v>
      </c>
      <c r="C897" s="11">
        <v>35</v>
      </c>
      <c r="D897" s="7">
        <v>895</v>
      </c>
      <c r="E897" s="11"/>
    </row>
    <row r="898" ht="18" customHeight="1" spans="1:5">
      <c r="A898" s="10" t="str">
        <f>"苏紫宇"</f>
        <v>苏紫宇</v>
      </c>
      <c r="B898" s="10" t="str">
        <f>"10101013012"</f>
        <v>10101013012</v>
      </c>
      <c r="C898" s="11">
        <v>35</v>
      </c>
      <c r="D898" s="7">
        <v>896</v>
      </c>
      <c r="E898" s="11"/>
    </row>
    <row r="899" ht="18" customHeight="1" spans="1:5">
      <c r="A899" s="10" t="str">
        <f>"周志丽"</f>
        <v>周志丽</v>
      </c>
      <c r="B899" s="10" t="str">
        <f>"10101014210"</f>
        <v>10101014210</v>
      </c>
      <c r="C899" s="11">
        <v>35</v>
      </c>
      <c r="D899" s="7">
        <v>897</v>
      </c>
      <c r="E899" s="11"/>
    </row>
    <row r="900" ht="18" customHeight="1" spans="1:5">
      <c r="A900" s="10" t="str">
        <f>"赵彦西"</f>
        <v>赵彦西</v>
      </c>
      <c r="B900" s="10" t="str">
        <f>"10101013919"</f>
        <v>10101013919</v>
      </c>
      <c r="C900" s="11">
        <v>34</v>
      </c>
      <c r="D900" s="7">
        <v>898</v>
      </c>
      <c r="E900" s="11"/>
    </row>
    <row r="901" ht="18" customHeight="1" spans="1:5">
      <c r="A901" s="10" t="str">
        <f>"高想菊"</f>
        <v>高想菊</v>
      </c>
      <c r="B901" s="10" t="str">
        <f>"10101014101"</f>
        <v>10101014101</v>
      </c>
      <c r="C901" s="11">
        <v>34</v>
      </c>
      <c r="D901" s="7">
        <v>899</v>
      </c>
      <c r="E901" s="11"/>
    </row>
    <row r="902" ht="18" customHeight="1" spans="1:5">
      <c r="A902" s="10" t="str">
        <f>"唐雅丽"</f>
        <v>唐雅丽</v>
      </c>
      <c r="B902" s="10" t="str">
        <f>"10101015004"</f>
        <v>10101015004</v>
      </c>
      <c r="C902" s="11">
        <v>33</v>
      </c>
      <c r="D902" s="7">
        <v>900</v>
      </c>
      <c r="E902" s="11"/>
    </row>
    <row r="903" ht="18" customHeight="1" spans="1:5">
      <c r="A903" s="10" t="str">
        <f>"符玉梅"</f>
        <v>符玉梅</v>
      </c>
      <c r="B903" s="10" t="str">
        <f>"10101013807"</f>
        <v>10101013807</v>
      </c>
      <c r="C903" s="11">
        <v>32</v>
      </c>
      <c r="D903" s="7">
        <v>901</v>
      </c>
      <c r="E903" s="11"/>
    </row>
    <row r="904" ht="18" customHeight="1" spans="1:5">
      <c r="A904" s="10" t="str">
        <f>"文超"</f>
        <v>文超</v>
      </c>
      <c r="B904" s="10" t="str">
        <f>"10101013906"</f>
        <v>10101013906</v>
      </c>
      <c r="C904" s="11">
        <v>32</v>
      </c>
      <c r="D904" s="7">
        <v>902</v>
      </c>
      <c r="E904" s="11"/>
    </row>
    <row r="905" ht="18" customHeight="1" spans="1:5">
      <c r="A905" s="10" t="str">
        <f>"王振爱"</f>
        <v>王振爱</v>
      </c>
      <c r="B905" s="10" t="str">
        <f>"10101012709"</f>
        <v>10101012709</v>
      </c>
      <c r="C905" s="11">
        <v>31</v>
      </c>
      <c r="D905" s="7">
        <v>903</v>
      </c>
      <c r="E905" s="11"/>
    </row>
    <row r="906" ht="18" customHeight="1" spans="1:5">
      <c r="A906" s="10" t="str">
        <f>"符坤金"</f>
        <v>符坤金</v>
      </c>
      <c r="B906" s="10" t="str">
        <f>"10101015014"</f>
        <v>10101015014</v>
      </c>
      <c r="C906" s="11">
        <v>31</v>
      </c>
      <c r="D906" s="7">
        <v>904</v>
      </c>
      <c r="E906" s="11"/>
    </row>
    <row r="907" ht="18" customHeight="1" spans="1:5">
      <c r="A907" s="10" t="str">
        <f>"李安逢"</f>
        <v>李安逢</v>
      </c>
      <c r="B907" s="10" t="str">
        <f>"10101014120"</f>
        <v>10101014120</v>
      </c>
      <c r="C907" s="11">
        <v>30</v>
      </c>
      <c r="D907" s="7">
        <v>905</v>
      </c>
      <c r="E907" s="11"/>
    </row>
    <row r="908" ht="18" customHeight="1" spans="1:5">
      <c r="A908" s="10" t="str">
        <f>"麦雪玉"</f>
        <v>麦雪玉</v>
      </c>
      <c r="B908" s="10" t="str">
        <f>"10101015417"</f>
        <v>10101015417</v>
      </c>
      <c r="C908" s="11">
        <v>30</v>
      </c>
      <c r="D908" s="7">
        <v>906</v>
      </c>
      <c r="E908" s="11"/>
    </row>
    <row r="909" ht="18" customHeight="1" spans="1:5">
      <c r="A909" s="10" t="str">
        <f>"吴先妹"</f>
        <v>吴先妹</v>
      </c>
      <c r="B909" s="10" t="str">
        <f>"10101015101"</f>
        <v>10101015101</v>
      </c>
      <c r="C909" s="11">
        <v>29</v>
      </c>
      <c r="D909" s="7">
        <v>907</v>
      </c>
      <c r="E909" s="11"/>
    </row>
    <row r="910" ht="18" customHeight="1" spans="1:5">
      <c r="A910" s="10" t="str">
        <f>"卞丽"</f>
        <v>卞丽</v>
      </c>
      <c r="B910" s="10" t="str">
        <f>"10101012416"</f>
        <v>10101012416</v>
      </c>
      <c r="C910" s="11">
        <v>27</v>
      </c>
      <c r="D910" s="7">
        <v>908</v>
      </c>
      <c r="E910" s="11"/>
    </row>
    <row r="911" ht="18" customHeight="1" spans="1:5">
      <c r="A911" s="10" t="str">
        <f>"尹爱燕"</f>
        <v>尹爱燕</v>
      </c>
      <c r="B911" s="10" t="str">
        <f>"10101013521"</f>
        <v>10101013521</v>
      </c>
      <c r="C911" s="11">
        <v>27</v>
      </c>
      <c r="D911" s="7">
        <v>909</v>
      </c>
      <c r="E911" s="11"/>
    </row>
    <row r="912" ht="18" customHeight="1" spans="1:5">
      <c r="A912" s="10" t="str">
        <f>"符海伟"</f>
        <v>符海伟</v>
      </c>
      <c r="B912" s="10" t="str">
        <f>"10101013914"</f>
        <v>10101013914</v>
      </c>
      <c r="C912" s="11">
        <v>27</v>
      </c>
      <c r="D912" s="7">
        <v>910</v>
      </c>
      <c r="E912" s="11"/>
    </row>
    <row r="913" ht="18" customHeight="1" spans="1:5">
      <c r="A913" s="10" t="str">
        <f>"符贞实"</f>
        <v>符贞实</v>
      </c>
      <c r="B913" s="10" t="str">
        <f>"10101014423"</f>
        <v>10101014423</v>
      </c>
      <c r="C913" s="11">
        <v>27</v>
      </c>
      <c r="D913" s="7">
        <v>911</v>
      </c>
      <c r="E913" s="11"/>
    </row>
    <row r="914" ht="18" customHeight="1" spans="1:5">
      <c r="A914" s="10" t="str">
        <f>"符素霞"</f>
        <v>符素霞</v>
      </c>
      <c r="B914" s="10" t="str">
        <f>"10101012605"</f>
        <v>10101012605</v>
      </c>
      <c r="C914" s="11">
        <v>26</v>
      </c>
      <c r="D914" s="7">
        <v>912</v>
      </c>
      <c r="E914" s="11"/>
    </row>
    <row r="915" ht="18" customHeight="1" spans="1:5">
      <c r="A915" s="10" t="str">
        <f>"陈照欢"</f>
        <v>陈照欢</v>
      </c>
      <c r="B915" s="10" t="str">
        <f>"10101014515"</f>
        <v>10101014515</v>
      </c>
      <c r="C915" s="11">
        <v>25</v>
      </c>
      <c r="D915" s="7">
        <v>913</v>
      </c>
      <c r="E915" s="11"/>
    </row>
    <row r="916" ht="18" customHeight="1" spans="1:5">
      <c r="A916" s="10" t="str">
        <f>"王经雪"</f>
        <v>王经雪</v>
      </c>
      <c r="B916" s="10" t="str">
        <f>"10101012513"</f>
        <v>10101012513</v>
      </c>
      <c r="C916" s="11">
        <v>24</v>
      </c>
      <c r="D916" s="7">
        <v>914</v>
      </c>
      <c r="E916" s="11"/>
    </row>
    <row r="917" ht="18" customHeight="1" spans="1:5">
      <c r="A917" s="10" t="str">
        <f>"陈琼燕"</f>
        <v>陈琼燕</v>
      </c>
      <c r="B917" s="10" t="str">
        <f>"10101014426"</f>
        <v>10101014426</v>
      </c>
      <c r="C917" s="11">
        <v>22</v>
      </c>
      <c r="D917" s="7">
        <v>915</v>
      </c>
      <c r="E917" s="11"/>
    </row>
    <row r="918" ht="18" customHeight="1" spans="1:5">
      <c r="A918" s="10" t="str">
        <f>"高红花"</f>
        <v>高红花</v>
      </c>
      <c r="B918" s="10" t="str">
        <f>"10101014721"</f>
        <v>10101014721</v>
      </c>
      <c r="C918" s="11">
        <v>21</v>
      </c>
      <c r="D918" s="7">
        <v>916</v>
      </c>
      <c r="E918" s="11"/>
    </row>
    <row r="919" ht="18" customHeight="1" spans="1:5">
      <c r="A919" s="10" t="str">
        <f>"符丽琴"</f>
        <v>符丽琴</v>
      </c>
      <c r="B919" s="10" t="str">
        <f>"10101015323"</f>
        <v>10101015323</v>
      </c>
      <c r="C919" s="11">
        <v>20</v>
      </c>
      <c r="D919" s="7">
        <v>917</v>
      </c>
      <c r="E919" s="11"/>
    </row>
    <row r="920" ht="18" customHeight="1" spans="1:5">
      <c r="A920" s="10" t="str">
        <f>"张娟"</f>
        <v>张娟</v>
      </c>
      <c r="B920" s="10" t="str">
        <f>"10101015127"</f>
        <v>10101015127</v>
      </c>
      <c r="C920" s="11">
        <v>17</v>
      </c>
      <c r="D920" s="7">
        <v>918</v>
      </c>
      <c r="E920" s="11"/>
    </row>
    <row r="921" ht="18" customHeight="1" spans="1:5">
      <c r="A921" s="10" t="str">
        <f>"汤表云"</f>
        <v>汤表云</v>
      </c>
      <c r="B921" s="10" t="str">
        <f>"10101012106"</f>
        <v>10101012106</v>
      </c>
      <c r="C921" s="6" t="s">
        <v>8</v>
      </c>
      <c r="D921" s="7" t="s">
        <v>9</v>
      </c>
      <c r="E921" s="11"/>
    </row>
    <row r="922" ht="18" customHeight="1" spans="1:5">
      <c r="A922" s="10" t="str">
        <f>"谢良婷"</f>
        <v>谢良婷</v>
      </c>
      <c r="B922" s="10" t="str">
        <f>"10101012109"</f>
        <v>10101012109</v>
      </c>
      <c r="C922" s="6" t="s">
        <v>8</v>
      </c>
      <c r="D922" s="7" t="s">
        <v>9</v>
      </c>
      <c r="E922" s="11"/>
    </row>
    <row r="923" ht="18" customHeight="1" spans="1:5">
      <c r="A923" s="10" t="str">
        <f>"文迪雅"</f>
        <v>文迪雅</v>
      </c>
      <c r="B923" s="10" t="str">
        <f>"10101012122"</f>
        <v>10101012122</v>
      </c>
      <c r="C923" s="6" t="s">
        <v>8</v>
      </c>
      <c r="D923" s="7" t="s">
        <v>9</v>
      </c>
      <c r="E923" s="11"/>
    </row>
    <row r="924" ht="18" customHeight="1" spans="1:5">
      <c r="A924" s="10" t="str">
        <f>"关贻玲"</f>
        <v>关贻玲</v>
      </c>
      <c r="B924" s="10" t="str">
        <f>"10101012123"</f>
        <v>10101012123</v>
      </c>
      <c r="C924" s="6" t="s">
        <v>8</v>
      </c>
      <c r="D924" s="7" t="s">
        <v>9</v>
      </c>
      <c r="E924" s="11"/>
    </row>
    <row r="925" ht="18" customHeight="1" spans="1:5">
      <c r="A925" s="10" t="str">
        <f>"符小卓"</f>
        <v>符小卓</v>
      </c>
      <c r="B925" s="10" t="str">
        <f>"10101012207"</f>
        <v>10101012207</v>
      </c>
      <c r="C925" s="6" t="s">
        <v>8</v>
      </c>
      <c r="D925" s="7" t="s">
        <v>9</v>
      </c>
      <c r="E925" s="11"/>
    </row>
    <row r="926" ht="18" customHeight="1" spans="1:5">
      <c r="A926" s="10" t="str">
        <f>"杨宗丹"</f>
        <v>杨宗丹</v>
      </c>
      <c r="B926" s="10" t="str">
        <f>"10101012208"</f>
        <v>10101012208</v>
      </c>
      <c r="C926" s="6" t="s">
        <v>8</v>
      </c>
      <c r="D926" s="7" t="s">
        <v>9</v>
      </c>
      <c r="E926" s="11"/>
    </row>
    <row r="927" ht="18" customHeight="1" spans="1:5">
      <c r="A927" s="10" t="str">
        <f>"邢嫦妙"</f>
        <v>邢嫦妙</v>
      </c>
      <c r="B927" s="10" t="str">
        <f>"10101012220"</f>
        <v>10101012220</v>
      </c>
      <c r="C927" s="6" t="s">
        <v>8</v>
      </c>
      <c r="D927" s="7" t="s">
        <v>9</v>
      </c>
      <c r="E927" s="11"/>
    </row>
    <row r="928" ht="18" customHeight="1" spans="1:5">
      <c r="A928" s="10" t="str">
        <f>"唐美丽"</f>
        <v>唐美丽</v>
      </c>
      <c r="B928" s="10" t="str">
        <f>"10101012221"</f>
        <v>10101012221</v>
      </c>
      <c r="C928" s="6" t="s">
        <v>8</v>
      </c>
      <c r="D928" s="7" t="s">
        <v>9</v>
      </c>
      <c r="E928" s="11"/>
    </row>
    <row r="929" ht="18" customHeight="1" spans="1:5">
      <c r="A929" s="10" t="str">
        <f>"杜可芯"</f>
        <v>杜可芯</v>
      </c>
      <c r="B929" s="10" t="str">
        <f>"10101012227"</f>
        <v>10101012227</v>
      </c>
      <c r="C929" s="6" t="s">
        <v>8</v>
      </c>
      <c r="D929" s="7" t="s">
        <v>9</v>
      </c>
      <c r="E929" s="11"/>
    </row>
    <row r="930" ht="18" customHeight="1" spans="1:5">
      <c r="A930" s="10" t="str">
        <f>"卞真燕"</f>
        <v>卞真燕</v>
      </c>
      <c r="B930" s="10" t="str">
        <f>"10101012301"</f>
        <v>10101012301</v>
      </c>
      <c r="C930" s="6" t="s">
        <v>8</v>
      </c>
      <c r="D930" s="7" t="s">
        <v>9</v>
      </c>
      <c r="E930" s="11"/>
    </row>
    <row r="931" ht="18" customHeight="1" spans="1:5">
      <c r="A931" s="10" t="str">
        <f>"杨家惠"</f>
        <v>杨家惠</v>
      </c>
      <c r="B931" s="10" t="str">
        <f>"10101012307"</f>
        <v>10101012307</v>
      </c>
      <c r="C931" s="6" t="s">
        <v>8</v>
      </c>
      <c r="D931" s="7" t="s">
        <v>9</v>
      </c>
      <c r="E931" s="11"/>
    </row>
    <row r="932" ht="18" customHeight="1" spans="1:5">
      <c r="A932" s="10" t="str">
        <f>"苏惠"</f>
        <v>苏惠</v>
      </c>
      <c r="B932" s="10" t="str">
        <f>"10101012317"</f>
        <v>10101012317</v>
      </c>
      <c r="C932" s="6" t="s">
        <v>8</v>
      </c>
      <c r="D932" s="7" t="s">
        <v>9</v>
      </c>
      <c r="E932" s="11"/>
    </row>
    <row r="933" ht="18" customHeight="1" spans="1:5">
      <c r="A933" s="10" t="str">
        <f>"吉楠"</f>
        <v>吉楠</v>
      </c>
      <c r="B933" s="10" t="str">
        <f>"10101012329"</f>
        <v>10101012329</v>
      </c>
      <c r="C933" s="6" t="s">
        <v>8</v>
      </c>
      <c r="D933" s="7" t="s">
        <v>9</v>
      </c>
      <c r="E933" s="11"/>
    </row>
    <row r="934" ht="18" customHeight="1" spans="1:5">
      <c r="A934" s="10" t="str">
        <f>"符晓红"</f>
        <v>符晓红</v>
      </c>
      <c r="B934" s="10" t="str">
        <f>"10101012402"</f>
        <v>10101012402</v>
      </c>
      <c r="C934" s="6" t="s">
        <v>8</v>
      </c>
      <c r="D934" s="7" t="s">
        <v>9</v>
      </c>
      <c r="E934" s="11"/>
    </row>
    <row r="935" ht="18" customHeight="1" spans="1:5">
      <c r="A935" s="10" t="str">
        <f>"张创娜"</f>
        <v>张创娜</v>
      </c>
      <c r="B935" s="10" t="str">
        <f>"10101012413"</f>
        <v>10101012413</v>
      </c>
      <c r="C935" s="6" t="s">
        <v>8</v>
      </c>
      <c r="D935" s="7" t="s">
        <v>9</v>
      </c>
      <c r="E935" s="11"/>
    </row>
    <row r="936" ht="18" customHeight="1" spans="1:5">
      <c r="A936" s="10" t="str">
        <f>"符梅夸"</f>
        <v>符梅夸</v>
      </c>
      <c r="B936" s="10" t="str">
        <f>"10101012430"</f>
        <v>10101012430</v>
      </c>
      <c r="C936" s="6" t="s">
        <v>8</v>
      </c>
      <c r="D936" s="7" t="s">
        <v>9</v>
      </c>
      <c r="E936" s="11"/>
    </row>
    <row r="937" ht="18" customHeight="1" spans="1:5">
      <c r="A937" s="10" t="str">
        <f>"陈莹"</f>
        <v>陈莹</v>
      </c>
      <c r="B937" s="10" t="str">
        <f>"10101012502"</f>
        <v>10101012502</v>
      </c>
      <c r="C937" s="6" t="s">
        <v>8</v>
      </c>
      <c r="D937" s="7" t="s">
        <v>9</v>
      </c>
      <c r="E937" s="11"/>
    </row>
    <row r="938" ht="18" customHeight="1" spans="1:5">
      <c r="A938" s="10" t="str">
        <f>"容珊珊"</f>
        <v>容珊珊</v>
      </c>
      <c r="B938" s="10" t="str">
        <f>"10101012509"</f>
        <v>10101012509</v>
      </c>
      <c r="C938" s="6" t="s">
        <v>8</v>
      </c>
      <c r="D938" s="7" t="s">
        <v>9</v>
      </c>
      <c r="E938" s="11"/>
    </row>
    <row r="939" ht="18" customHeight="1" spans="1:5">
      <c r="A939" s="10" t="str">
        <f>"吴佳玉"</f>
        <v>吴佳玉</v>
      </c>
      <c r="B939" s="10" t="str">
        <f>"10101012517"</f>
        <v>10101012517</v>
      </c>
      <c r="C939" s="6" t="s">
        <v>8</v>
      </c>
      <c r="D939" s="7" t="s">
        <v>9</v>
      </c>
      <c r="E939" s="11"/>
    </row>
    <row r="940" ht="18" customHeight="1" spans="1:5">
      <c r="A940" s="10" t="str">
        <f>"邢晓娟"</f>
        <v>邢晓娟</v>
      </c>
      <c r="B940" s="10" t="str">
        <f>"10101012528"</f>
        <v>10101012528</v>
      </c>
      <c r="C940" s="6" t="s">
        <v>8</v>
      </c>
      <c r="D940" s="7" t="s">
        <v>9</v>
      </c>
      <c r="E940" s="11"/>
    </row>
    <row r="941" ht="18" customHeight="1" spans="1:5">
      <c r="A941" s="10" t="str">
        <f>"文春劲"</f>
        <v>文春劲</v>
      </c>
      <c r="B941" s="10" t="str">
        <f>"10101012530"</f>
        <v>10101012530</v>
      </c>
      <c r="C941" s="6" t="s">
        <v>8</v>
      </c>
      <c r="D941" s="7" t="s">
        <v>9</v>
      </c>
      <c r="E941" s="11"/>
    </row>
    <row r="942" ht="18" customHeight="1" spans="1:5">
      <c r="A942" s="10" t="str">
        <f>"符小妃"</f>
        <v>符小妃</v>
      </c>
      <c r="B942" s="10" t="str">
        <f>"10101012610"</f>
        <v>10101012610</v>
      </c>
      <c r="C942" s="6" t="s">
        <v>8</v>
      </c>
      <c r="D942" s="7" t="s">
        <v>9</v>
      </c>
      <c r="E942" s="11"/>
    </row>
    <row r="943" ht="18" customHeight="1" spans="1:5">
      <c r="A943" s="10" t="str">
        <f>"吉青梅"</f>
        <v>吉青梅</v>
      </c>
      <c r="B943" s="10" t="str">
        <f>"10101012612"</f>
        <v>10101012612</v>
      </c>
      <c r="C943" s="6" t="s">
        <v>8</v>
      </c>
      <c r="D943" s="7" t="s">
        <v>9</v>
      </c>
      <c r="E943" s="11"/>
    </row>
    <row r="944" ht="18" customHeight="1" spans="1:5">
      <c r="A944" s="10" t="str">
        <f>"唐亮花"</f>
        <v>唐亮花</v>
      </c>
      <c r="B944" s="10" t="str">
        <f>"10101012705"</f>
        <v>10101012705</v>
      </c>
      <c r="C944" s="6" t="s">
        <v>8</v>
      </c>
      <c r="D944" s="7" t="s">
        <v>9</v>
      </c>
      <c r="E944" s="11"/>
    </row>
    <row r="945" ht="18" customHeight="1" spans="1:5">
      <c r="A945" s="10" t="str">
        <f>"张汉英"</f>
        <v>张汉英</v>
      </c>
      <c r="B945" s="10" t="str">
        <f>"10101012717"</f>
        <v>10101012717</v>
      </c>
      <c r="C945" s="6" t="s">
        <v>8</v>
      </c>
      <c r="D945" s="7" t="s">
        <v>9</v>
      </c>
      <c r="E945" s="11"/>
    </row>
    <row r="946" ht="18" customHeight="1" spans="1:5">
      <c r="A946" s="10" t="str">
        <f>"陈登梅"</f>
        <v>陈登梅</v>
      </c>
      <c r="B946" s="10" t="str">
        <f>"10101012718"</f>
        <v>10101012718</v>
      </c>
      <c r="C946" s="6" t="s">
        <v>8</v>
      </c>
      <c r="D946" s="7" t="s">
        <v>9</v>
      </c>
      <c r="E946" s="11"/>
    </row>
    <row r="947" ht="18" customHeight="1" spans="1:5">
      <c r="A947" s="10" t="str">
        <f>"罗圣芳"</f>
        <v>罗圣芳</v>
      </c>
      <c r="B947" s="10" t="str">
        <f>"10101012812"</f>
        <v>10101012812</v>
      </c>
      <c r="C947" s="6" t="s">
        <v>8</v>
      </c>
      <c r="D947" s="7" t="s">
        <v>9</v>
      </c>
      <c r="E947" s="11"/>
    </row>
    <row r="948" ht="18" customHeight="1" spans="1:5">
      <c r="A948" s="10" t="str">
        <f>"张新丽"</f>
        <v>张新丽</v>
      </c>
      <c r="B948" s="10" t="str">
        <f>"10101012820"</f>
        <v>10101012820</v>
      </c>
      <c r="C948" s="6" t="s">
        <v>8</v>
      </c>
      <c r="D948" s="7" t="s">
        <v>9</v>
      </c>
      <c r="E948" s="11"/>
    </row>
    <row r="949" ht="18" customHeight="1" spans="1:5">
      <c r="A949" s="10" t="str">
        <f>"罗有娜"</f>
        <v>罗有娜</v>
      </c>
      <c r="B949" s="10" t="str">
        <f>"10101012823"</f>
        <v>10101012823</v>
      </c>
      <c r="C949" s="6" t="s">
        <v>8</v>
      </c>
      <c r="D949" s="7" t="s">
        <v>9</v>
      </c>
      <c r="E949" s="11"/>
    </row>
    <row r="950" ht="18" customHeight="1" spans="1:5">
      <c r="A950" s="10" t="str">
        <f>"马莉"</f>
        <v>马莉</v>
      </c>
      <c r="B950" s="10" t="str">
        <f>"10101012903"</f>
        <v>10101012903</v>
      </c>
      <c r="C950" s="6" t="s">
        <v>8</v>
      </c>
      <c r="D950" s="7" t="s">
        <v>9</v>
      </c>
      <c r="E950" s="11"/>
    </row>
    <row r="951" ht="18" customHeight="1" spans="1:5">
      <c r="A951" s="10" t="str">
        <f>"明凤勤"</f>
        <v>明凤勤</v>
      </c>
      <c r="B951" s="10" t="str">
        <f>"10101012907"</f>
        <v>10101012907</v>
      </c>
      <c r="C951" s="6" t="s">
        <v>8</v>
      </c>
      <c r="D951" s="7" t="s">
        <v>9</v>
      </c>
      <c r="E951" s="11"/>
    </row>
    <row r="952" ht="18" customHeight="1" spans="1:5">
      <c r="A952" s="10" t="str">
        <f>"关云翔"</f>
        <v>关云翔</v>
      </c>
      <c r="B952" s="10" t="str">
        <f>"10101012912"</f>
        <v>10101012912</v>
      </c>
      <c r="C952" s="6" t="s">
        <v>8</v>
      </c>
      <c r="D952" s="7" t="s">
        <v>9</v>
      </c>
      <c r="E952" s="11"/>
    </row>
    <row r="953" ht="18" customHeight="1" spans="1:5">
      <c r="A953" s="10" t="str">
        <f>"王安凤"</f>
        <v>王安凤</v>
      </c>
      <c r="B953" s="10" t="str">
        <f>"10101012913"</f>
        <v>10101012913</v>
      </c>
      <c r="C953" s="6" t="s">
        <v>8</v>
      </c>
      <c r="D953" s="7" t="s">
        <v>9</v>
      </c>
      <c r="E953" s="11"/>
    </row>
    <row r="954" ht="18" customHeight="1" spans="1:5">
      <c r="A954" s="10" t="str">
        <f>"邝连燕"</f>
        <v>邝连燕</v>
      </c>
      <c r="B954" s="10" t="str">
        <f>"10101012915"</f>
        <v>10101012915</v>
      </c>
      <c r="C954" s="6" t="s">
        <v>8</v>
      </c>
      <c r="D954" s="7" t="s">
        <v>9</v>
      </c>
      <c r="E954" s="11"/>
    </row>
    <row r="955" ht="18" customHeight="1" spans="1:5">
      <c r="A955" s="10" t="str">
        <f>"文永薇"</f>
        <v>文永薇</v>
      </c>
      <c r="B955" s="10" t="str">
        <f>"10101013011"</f>
        <v>10101013011</v>
      </c>
      <c r="C955" s="6" t="s">
        <v>8</v>
      </c>
      <c r="D955" s="7" t="s">
        <v>9</v>
      </c>
      <c r="E955" s="11"/>
    </row>
    <row r="956" ht="18" customHeight="1" spans="1:5">
      <c r="A956" s="10" t="str">
        <f>"关蓉蓉"</f>
        <v>关蓉蓉</v>
      </c>
      <c r="B956" s="10" t="str">
        <f>"10101013020"</f>
        <v>10101013020</v>
      </c>
      <c r="C956" s="6" t="s">
        <v>8</v>
      </c>
      <c r="D956" s="7" t="s">
        <v>9</v>
      </c>
      <c r="E956" s="11"/>
    </row>
    <row r="957" ht="18" customHeight="1" spans="1:5">
      <c r="A957" s="10" t="str">
        <f>"赵思真"</f>
        <v>赵思真</v>
      </c>
      <c r="B957" s="10" t="str">
        <f>"10101013024"</f>
        <v>10101013024</v>
      </c>
      <c r="C957" s="6" t="s">
        <v>8</v>
      </c>
      <c r="D957" s="7" t="s">
        <v>9</v>
      </c>
      <c r="E957" s="11"/>
    </row>
    <row r="958" ht="18" customHeight="1" spans="1:5">
      <c r="A958" s="10" t="str">
        <f>"赵诗善"</f>
        <v>赵诗善</v>
      </c>
      <c r="B958" s="10" t="str">
        <f>"10101013101"</f>
        <v>10101013101</v>
      </c>
      <c r="C958" s="6" t="s">
        <v>8</v>
      </c>
      <c r="D958" s="7" t="s">
        <v>9</v>
      </c>
      <c r="E958" s="11"/>
    </row>
    <row r="959" ht="18" customHeight="1" spans="1:5">
      <c r="A959" s="10" t="str">
        <f>"符瑶瑷"</f>
        <v>符瑶瑷</v>
      </c>
      <c r="B959" s="10" t="str">
        <f>"10101013103"</f>
        <v>10101013103</v>
      </c>
      <c r="C959" s="6" t="s">
        <v>8</v>
      </c>
      <c r="D959" s="7" t="s">
        <v>9</v>
      </c>
      <c r="E959" s="11"/>
    </row>
    <row r="960" ht="18" customHeight="1" spans="1:5">
      <c r="A960" s="10" t="str">
        <f>"韩仁英"</f>
        <v>韩仁英</v>
      </c>
      <c r="B960" s="10" t="str">
        <f>"10101013116"</f>
        <v>10101013116</v>
      </c>
      <c r="C960" s="6" t="s">
        <v>8</v>
      </c>
      <c r="D960" s="7" t="s">
        <v>9</v>
      </c>
      <c r="E960" s="11"/>
    </row>
    <row r="961" ht="18" customHeight="1" spans="1:5">
      <c r="A961" s="10" t="str">
        <f>"苏英桥"</f>
        <v>苏英桥</v>
      </c>
      <c r="B961" s="10" t="str">
        <f>"10101013119"</f>
        <v>10101013119</v>
      </c>
      <c r="C961" s="6" t="s">
        <v>8</v>
      </c>
      <c r="D961" s="7" t="s">
        <v>9</v>
      </c>
      <c r="E961" s="11"/>
    </row>
    <row r="962" ht="18" customHeight="1" spans="1:5">
      <c r="A962" s="10" t="str">
        <f>"符小佩"</f>
        <v>符小佩</v>
      </c>
      <c r="B962" s="10" t="str">
        <f>"10101013201"</f>
        <v>10101013201</v>
      </c>
      <c r="C962" s="6" t="s">
        <v>8</v>
      </c>
      <c r="D962" s="7" t="s">
        <v>9</v>
      </c>
      <c r="E962" s="11"/>
    </row>
    <row r="963" ht="18" customHeight="1" spans="1:5">
      <c r="A963" s="10" t="str">
        <f>"符青娟"</f>
        <v>符青娟</v>
      </c>
      <c r="B963" s="10" t="str">
        <f>"10101013215"</f>
        <v>10101013215</v>
      </c>
      <c r="C963" s="6" t="s">
        <v>8</v>
      </c>
      <c r="D963" s="7" t="s">
        <v>9</v>
      </c>
      <c r="E963" s="11"/>
    </row>
    <row r="964" ht="18" customHeight="1" spans="1:5">
      <c r="A964" s="10" t="str">
        <f>"唐志兰"</f>
        <v>唐志兰</v>
      </c>
      <c r="B964" s="10" t="str">
        <f>"10101013217"</f>
        <v>10101013217</v>
      </c>
      <c r="C964" s="6" t="s">
        <v>8</v>
      </c>
      <c r="D964" s="7" t="s">
        <v>9</v>
      </c>
      <c r="E964" s="11"/>
    </row>
    <row r="965" ht="18" customHeight="1" spans="1:5">
      <c r="A965" s="10" t="str">
        <f>"吴美娇"</f>
        <v>吴美娇</v>
      </c>
      <c r="B965" s="10" t="str">
        <f>"10101013224"</f>
        <v>10101013224</v>
      </c>
      <c r="C965" s="6" t="s">
        <v>8</v>
      </c>
      <c r="D965" s="7" t="s">
        <v>9</v>
      </c>
      <c r="E965" s="11"/>
    </row>
    <row r="966" ht="18" customHeight="1" spans="1:5">
      <c r="A966" s="10" t="str">
        <f>"吴妹"</f>
        <v>吴妹</v>
      </c>
      <c r="B966" s="10" t="str">
        <f>"10101013230"</f>
        <v>10101013230</v>
      </c>
      <c r="C966" s="6" t="s">
        <v>8</v>
      </c>
      <c r="D966" s="7" t="s">
        <v>9</v>
      </c>
      <c r="E966" s="11" t="s">
        <v>27</v>
      </c>
    </row>
    <row r="967" ht="18" customHeight="1" spans="1:5">
      <c r="A967" s="10" t="str">
        <f>"苏荣曼"</f>
        <v>苏荣曼</v>
      </c>
      <c r="B967" s="10" t="str">
        <f>"10101013306"</f>
        <v>10101013306</v>
      </c>
      <c r="C967" s="6" t="s">
        <v>8</v>
      </c>
      <c r="D967" s="7" t="s">
        <v>9</v>
      </c>
      <c r="E967" s="11"/>
    </row>
    <row r="968" ht="18" customHeight="1" spans="1:5">
      <c r="A968" s="10" t="str">
        <f>"陈荣燕"</f>
        <v>陈荣燕</v>
      </c>
      <c r="B968" s="10" t="str">
        <f>"10101013309"</f>
        <v>10101013309</v>
      </c>
      <c r="C968" s="6" t="s">
        <v>8</v>
      </c>
      <c r="D968" s="7" t="s">
        <v>9</v>
      </c>
      <c r="E968" s="11"/>
    </row>
    <row r="969" ht="18" customHeight="1" spans="1:5">
      <c r="A969" s="10" t="str">
        <f>"钟云艳"</f>
        <v>钟云艳</v>
      </c>
      <c r="B969" s="10" t="str">
        <f>"10101013323"</f>
        <v>10101013323</v>
      </c>
      <c r="C969" s="6" t="s">
        <v>8</v>
      </c>
      <c r="D969" s="7" t="s">
        <v>9</v>
      </c>
      <c r="E969" s="11"/>
    </row>
    <row r="970" ht="18" customHeight="1" spans="1:5">
      <c r="A970" s="10" t="str">
        <f>"陈海妹"</f>
        <v>陈海妹</v>
      </c>
      <c r="B970" s="10" t="str">
        <f>"10101013426"</f>
        <v>10101013426</v>
      </c>
      <c r="C970" s="6" t="s">
        <v>8</v>
      </c>
      <c r="D970" s="7" t="s">
        <v>9</v>
      </c>
      <c r="E970" s="11"/>
    </row>
    <row r="971" ht="18" customHeight="1" spans="1:5">
      <c r="A971" s="10" t="str">
        <f>"赵菊妮"</f>
        <v>赵菊妮</v>
      </c>
      <c r="B971" s="10" t="str">
        <f>"10101013506"</f>
        <v>10101013506</v>
      </c>
      <c r="C971" s="6" t="s">
        <v>8</v>
      </c>
      <c r="D971" s="7" t="s">
        <v>9</v>
      </c>
      <c r="E971" s="11"/>
    </row>
    <row r="972" ht="18" customHeight="1" spans="1:5">
      <c r="A972" s="10" t="str">
        <f>"高凤莲"</f>
        <v>高凤莲</v>
      </c>
      <c r="B972" s="10" t="str">
        <f>"10101013508"</f>
        <v>10101013508</v>
      </c>
      <c r="C972" s="6" t="s">
        <v>8</v>
      </c>
      <c r="D972" s="7" t="s">
        <v>9</v>
      </c>
      <c r="E972" s="11"/>
    </row>
    <row r="973" ht="18" customHeight="1" spans="1:5">
      <c r="A973" s="10" t="str">
        <f>"苏金碰"</f>
        <v>苏金碰</v>
      </c>
      <c r="B973" s="10" t="str">
        <f>"10101013516"</f>
        <v>10101013516</v>
      </c>
      <c r="C973" s="6" t="s">
        <v>8</v>
      </c>
      <c r="D973" s="7" t="s">
        <v>9</v>
      </c>
      <c r="E973" s="11"/>
    </row>
    <row r="974" ht="18" customHeight="1" spans="1:5">
      <c r="A974" s="10" t="str">
        <f>"王丽"</f>
        <v>王丽</v>
      </c>
      <c r="B974" s="10" t="str">
        <f>"10101013525"</f>
        <v>10101013525</v>
      </c>
      <c r="C974" s="6" t="s">
        <v>8</v>
      </c>
      <c r="D974" s="7" t="s">
        <v>9</v>
      </c>
      <c r="E974" s="11" t="s">
        <v>28</v>
      </c>
    </row>
    <row r="975" ht="18" customHeight="1" spans="1:5">
      <c r="A975" s="10" t="str">
        <f>"周东兰"</f>
        <v>周东兰</v>
      </c>
      <c r="B975" s="10" t="str">
        <f>"10101013527"</f>
        <v>10101013527</v>
      </c>
      <c r="C975" s="6" t="s">
        <v>8</v>
      </c>
      <c r="D975" s="7" t="s">
        <v>9</v>
      </c>
      <c r="E975" s="11"/>
    </row>
    <row r="976" ht="18" customHeight="1" spans="1:5">
      <c r="A976" s="10" t="str">
        <f>"陈心媛"</f>
        <v>陈心媛</v>
      </c>
      <c r="B976" s="10" t="str">
        <f>"10101013529"</f>
        <v>10101013529</v>
      </c>
      <c r="C976" s="6" t="s">
        <v>8</v>
      </c>
      <c r="D976" s="7" t="s">
        <v>9</v>
      </c>
      <c r="E976" s="11"/>
    </row>
    <row r="977" ht="18" customHeight="1" spans="1:5">
      <c r="A977" s="10" t="str">
        <f>"苏家庙"</f>
        <v>苏家庙</v>
      </c>
      <c r="B977" s="10" t="str">
        <f>"10101013616"</f>
        <v>10101013616</v>
      </c>
      <c r="C977" s="6" t="s">
        <v>8</v>
      </c>
      <c r="D977" s="7" t="s">
        <v>9</v>
      </c>
      <c r="E977" s="11"/>
    </row>
    <row r="978" ht="18" customHeight="1" spans="1:5">
      <c r="A978" s="10" t="str">
        <f>"任喜芬"</f>
        <v>任喜芬</v>
      </c>
      <c r="B978" s="10" t="str">
        <f>"10101013709"</f>
        <v>10101013709</v>
      </c>
      <c r="C978" s="6" t="s">
        <v>8</v>
      </c>
      <c r="D978" s="7" t="s">
        <v>9</v>
      </c>
      <c r="E978" s="11"/>
    </row>
    <row r="979" ht="18" customHeight="1" spans="1:5">
      <c r="A979" s="10" t="str">
        <f>"王秀芳"</f>
        <v>王秀芳</v>
      </c>
      <c r="B979" s="10" t="str">
        <f>"10101013714"</f>
        <v>10101013714</v>
      </c>
      <c r="C979" s="6" t="s">
        <v>8</v>
      </c>
      <c r="D979" s="7" t="s">
        <v>9</v>
      </c>
      <c r="E979" s="11"/>
    </row>
    <row r="980" ht="18" customHeight="1" spans="1:5">
      <c r="A980" s="10" t="str">
        <f>"符雪露"</f>
        <v>符雪露</v>
      </c>
      <c r="B980" s="10" t="str">
        <f>"10101013719"</f>
        <v>10101013719</v>
      </c>
      <c r="C980" s="6" t="s">
        <v>8</v>
      </c>
      <c r="D980" s="7" t="s">
        <v>9</v>
      </c>
      <c r="E980" s="11"/>
    </row>
    <row r="981" ht="18" customHeight="1" spans="1:5">
      <c r="A981" s="10" t="str">
        <f>"赵金会"</f>
        <v>赵金会</v>
      </c>
      <c r="B981" s="10" t="str">
        <f>"10101013721"</f>
        <v>10101013721</v>
      </c>
      <c r="C981" s="6" t="s">
        <v>8</v>
      </c>
      <c r="D981" s="7" t="s">
        <v>9</v>
      </c>
      <c r="E981" s="11"/>
    </row>
    <row r="982" ht="18" customHeight="1" spans="1:5">
      <c r="A982" s="10" t="str">
        <f>"庄开星"</f>
        <v>庄开星</v>
      </c>
      <c r="B982" s="10" t="str">
        <f>"10101013727"</f>
        <v>10101013727</v>
      </c>
      <c r="C982" s="6" t="s">
        <v>8</v>
      </c>
      <c r="D982" s="7" t="s">
        <v>9</v>
      </c>
      <c r="E982" s="11"/>
    </row>
    <row r="983" ht="18" customHeight="1" spans="1:5">
      <c r="A983" s="10" t="str">
        <f>"邱帮雪"</f>
        <v>邱帮雪</v>
      </c>
      <c r="B983" s="10" t="str">
        <f>"10101013801"</f>
        <v>10101013801</v>
      </c>
      <c r="C983" s="6" t="s">
        <v>8</v>
      </c>
      <c r="D983" s="7" t="s">
        <v>9</v>
      </c>
      <c r="E983" s="11"/>
    </row>
    <row r="984" ht="18" customHeight="1" spans="1:5">
      <c r="A984" s="10" t="str">
        <f>"符芒江"</f>
        <v>符芒江</v>
      </c>
      <c r="B984" s="10" t="str">
        <f>"10101013826"</f>
        <v>10101013826</v>
      </c>
      <c r="C984" s="6" t="s">
        <v>8</v>
      </c>
      <c r="D984" s="7" t="s">
        <v>9</v>
      </c>
      <c r="E984" s="11"/>
    </row>
    <row r="985" ht="18" customHeight="1" spans="1:5">
      <c r="A985" s="10" t="str">
        <f>"吉双"</f>
        <v>吉双</v>
      </c>
      <c r="B985" s="10" t="str">
        <f>"10101013920"</f>
        <v>10101013920</v>
      </c>
      <c r="C985" s="6" t="s">
        <v>8</v>
      </c>
      <c r="D985" s="7" t="s">
        <v>9</v>
      </c>
      <c r="E985" s="11"/>
    </row>
    <row r="986" ht="18" customHeight="1" spans="1:5">
      <c r="A986" s="10" t="str">
        <f>"王燕清"</f>
        <v>王燕清</v>
      </c>
      <c r="B986" s="10" t="str">
        <f>"10101013927"</f>
        <v>10101013927</v>
      </c>
      <c r="C986" s="6" t="s">
        <v>8</v>
      </c>
      <c r="D986" s="7" t="s">
        <v>9</v>
      </c>
      <c r="E986" s="11"/>
    </row>
    <row r="987" ht="18" customHeight="1" spans="1:5">
      <c r="A987" s="10" t="str">
        <f>"符扬乌"</f>
        <v>符扬乌</v>
      </c>
      <c r="B987" s="10" t="str">
        <f>"10101013929"</f>
        <v>10101013929</v>
      </c>
      <c r="C987" s="6" t="s">
        <v>8</v>
      </c>
      <c r="D987" s="7" t="s">
        <v>9</v>
      </c>
      <c r="E987" s="11"/>
    </row>
    <row r="988" ht="18" customHeight="1" spans="1:5">
      <c r="A988" s="10" t="str">
        <f>"林诗娜"</f>
        <v>林诗娜</v>
      </c>
      <c r="B988" s="10" t="str">
        <f>"10101013930"</f>
        <v>10101013930</v>
      </c>
      <c r="C988" s="6" t="s">
        <v>8</v>
      </c>
      <c r="D988" s="7" t="s">
        <v>9</v>
      </c>
      <c r="E988" s="11"/>
    </row>
    <row r="989" ht="18" customHeight="1" spans="1:5">
      <c r="A989" s="10" t="str">
        <f>"符兴倩"</f>
        <v>符兴倩</v>
      </c>
      <c r="B989" s="10" t="str">
        <f>"10101014006"</f>
        <v>10101014006</v>
      </c>
      <c r="C989" s="6" t="s">
        <v>8</v>
      </c>
      <c r="D989" s="7" t="s">
        <v>9</v>
      </c>
      <c r="E989" s="11"/>
    </row>
    <row r="990" ht="18" customHeight="1" spans="1:5">
      <c r="A990" s="10" t="str">
        <f>"李海鹰"</f>
        <v>李海鹰</v>
      </c>
      <c r="B990" s="10" t="str">
        <f>"10101014012"</f>
        <v>10101014012</v>
      </c>
      <c r="C990" s="6" t="s">
        <v>8</v>
      </c>
      <c r="D990" s="7" t="s">
        <v>9</v>
      </c>
      <c r="E990" s="11"/>
    </row>
    <row r="991" ht="18" customHeight="1" spans="1:5">
      <c r="A991" s="10" t="str">
        <f>"汤表燕"</f>
        <v>汤表燕</v>
      </c>
      <c r="B991" s="10" t="str">
        <f>"10101014015"</f>
        <v>10101014015</v>
      </c>
      <c r="C991" s="6" t="s">
        <v>8</v>
      </c>
      <c r="D991" s="7" t="s">
        <v>9</v>
      </c>
      <c r="E991" s="11"/>
    </row>
    <row r="992" ht="18" customHeight="1" spans="1:5">
      <c r="A992" s="10" t="str">
        <f>"杨仁芍"</f>
        <v>杨仁芍</v>
      </c>
      <c r="B992" s="10" t="str">
        <f>"10101014017"</f>
        <v>10101014017</v>
      </c>
      <c r="C992" s="6" t="s">
        <v>8</v>
      </c>
      <c r="D992" s="7" t="s">
        <v>9</v>
      </c>
      <c r="E992" s="11"/>
    </row>
    <row r="993" ht="18" customHeight="1" spans="1:5">
      <c r="A993" s="10" t="str">
        <f>"汤世沅"</f>
        <v>汤世沅</v>
      </c>
      <c r="B993" s="10" t="str">
        <f>"10101014020"</f>
        <v>10101014020</v>
      </c>
      <c r="C993" s="6" t="s">
        <v>8</v>
      </c>
      <c r="D993" s="7" t="s">
        <v>9</v>
      </c>
      <c r="E993" s="11"/>
    </row>
    <row r="994" ht="18" customHeight="1" spans="1:5">
      <c r="A994" s="10" t="str">
        <f>"郑茜圆"</f>
        <v>郑茜圆</v>
      </c>
      <c r="B994" s="10" t="str">
        <f>"10101014112"</f>
        <v>10101014112</v>
      </c>
      <c r="C994" s="6" t="s">
        <v>8</v>
      </c>
      <c r="D994" s="7" t="s">
        <v>9</v>
      </c>
      <c r="E994" s="11"/>
    </row>
    <row r="995" ht="18" customHeight="1" spans="1:5">
      <c r="A995" s="10" t="str">
        <f>"苏金够"</f>
        <v>苏金够</v>
      </c>
      <c r="B995" s="10" t="str">
        <f>"10101014118"</f>
        <v>10101014118</v>
      </c>
      <c r="C995" s="6" t="s">
        <v>8</v>
      </c>
      <c r="D995" s="7" t="s">
        <v>9</v>
      </c>
      <c r="E995" s="11"/>
    </row>
    <row r="996" ht="18" customHeight="1" spans="1:5">
      <c r="A996" s="10" t="str">
        <f>"欧阳慧"</f>
        <v>欧阳慧</v>
      </c>
      <c r="B996" s="10" t="str">
        <f>"10101014208"</f>
        <v>10101014208</v>
      </c>
      <c r="C996" s="6" t="s">
        <v>8</v>
      </c>
      <c r="D996" s="7" t="s">
        <v>9</v>
      </c>
      <c r="E996" s="11"/>
    </row>
    <row r="997" ht="18" customHeight="1" spans="1:5">
      <c r="A997" s="10" t="str">
        <f>"罗有丽"</f>
        <v>罗有丽</v>
      </c>
      <c r="B997" s="10" t="str">
        <f>"10101014215"</f>
        <v>10101014215</v>
      </c>
      <c r="C997" s="6" t="s">
        <v>8</v>
      </c>
      <c r="D997" s="7" t="s">
        <v>9</v>
      </c>
      <c r="E997" s="11"/>
    </row>
    <row r="998" ht="18" customHeight="1" spans="1:5">
      <c r="A998" s="10" t="str">
        <f>"陶琳"</f>
        <v>陶琳</v>
      </c>
      <c r="B998" s="10" t="str">
        <f>"10101014305"</f>
        <v>10101014305</v>
      </c>
      <c r="C998" s="6" t="s">
        <v>8</v>
      </c>
      <c r="D998" s="7" t="s">
        <v>9</v>
      </c>
      <c r="E998" s="11"/>
    </row>
    <row r="999" ht="18" customHeight="1" spans="1:5">
      <c r="A999" s="10" t="str">
        <f>"赵学桥"</f>
        <v>赵学桥</v>
      </c>
      <c r="B999" s="10" t="str">
        <f>"10101014314"</f>
        <v>10101014314</v>
      </c>
      <c r="C999" s="6" t="s">
        <v>8</v>
      </c>
      <c r="D999" s="7" t="s">
        <v>9</v>
      </c>
      <c r="E999" s="11"/>
    </row>
    <row r="1000" ht="18" customHeight="1" spans="1:5">
      <c r="A1000" s="10" t="str">
        <f>"陈仕娇"</f>
        <v>陈仕娇</v>
      </c>
      <c r="B1000" s="10" t="str">
        <f>"10101014326"</f>
        <v>10101014326</v>
      </c>
      <c r="C1000" s="6" t="s">
        <v>8</v>
      </c>
      <c r="D1000" s="7" t="s">
        <v>9</v>
      </c>
      <c r="E1000" s="11"/>
    </row>
    <row r="1001" ht="18" customHeight="1" spans="1:5">
      <c r="A1001" s="10" t="str">
        <f>"林明新"</f>
        <v>林明新</v>
      </c>
      <c r="B1001" s="10" t="str">
        <f>"10101014406"</f>
        <v>10101014406</v>
      </c>
      <c r="C1001" s="6" t="s">
        <v>8</v>
      </c>
      <c r="D1001" s="7" t="s">
        <v>9</v>
      </c>
      <c r="E1001" s="11"/>
    </row>
    <row r="1002" ht="18" customHeight="1" spans="1:5">
      <c r="A1002" s="10" t="str">
        <f>"张绍丽"</f>
        <v>张绍丽</v>
      </c>
      <c r="B1002" s="10" t="str">
        <f>"10101014408"</f>
        <v>10101014408</v>
      </c>
      <c r="C1002" s="6" t="s">
        <v>8</v>
      </c>
      <c r="D1002" s="7" t="s">
        <v>9</v>
      </c>
      <c r="E1002" s="11"/>
    </row>
    <row r="1003" ht="18" customHeight="1" spans="1:5">
      <c r="A1003" s="10" t="str">
        <f>"王井利"</f>
        <v>王井利</v>
      </c>
      <c r="B1003" s="10" t="str">
        <f>"10101014410"</f>
        <v>10101014410</v>
      </c>
      <c r="C1003" s="6" t="s">
        <v>8</v>
      </c>
      <c r="D1003" s="7" t="s">
        <v>9</v>
      </c>
      <c r="E1003" s="11"/>
    </row>
    <row r="1004" ht="18" customHeight="1" spans="1:5">
      <c r="A1004" s="10" t="str">
        <f>"黄国敏"</f>
        <v>黄国敏</v>
      </c>
      <c r="B1004" s="10" t="str">
        <f>"10101014417"</f>
        <v>10101014417</v>
      </c>
      <c r="C1004" s="6" t="s">
        <v>8</v>
      </c>
      <c r="D1004" s="7" t="s">
        <v>9</v>
      </c>
      <c r="E1004" s="11"/>
    </row>
    <row r="1005" ht="18" customHeight="1" spans="1:5">
      <c r="A1005" s="10" t="str">
        <f>"张彩霞"</f>
        <v>张彩霞</v>
      </c>
      <c r="B1005" s="10" t="str">
        <f>"10101014427"</f>
        <v>10101014427</v>
      </c>
      <c r="C1005" s="6" t="s">
        <v>8</v>
      </c>
      <c r="D1005" s="7" t="s">
        <v>9</v>
      </c>
      <c r="E1005" s="11"/>
    </row>
    <row r="1006" ht="18" customHeight="1" spans="1:5">
      <c r="A1006" s="10" t="str">
        <f>"符礼婷"</f>
        <v>符礼婷</v>
      </c>
      <c r="B1006" s="10" t="str">
        <f>"10101014507"</f>
        <v>10101014507</v>
      </c>
      <c r="C1006" s="6" t="s">
        <v>8</v>
      </c>
      <c r="D1006" s="7" t="s">
        <v>9</v>
      </c>
      <c r="E1006" s="11"/>
    </row>
    <row r="1007" ht="18" customHeight="1" spans="1:5">
      <c r="A1007" s="10" t="str">
        <f>"黄益顺"</f>
        <v>黄益顺</v>
      </c>
      <c r="B1007" s="10" t="str">
        <f>"10101014529"</f>
        <v>10101014529</v>
      </c>
      <c r="C1007" s="6" t="s">
        <v>8</v>
      </c>
      <c r="D1007" s="7" t="s">
        <v>9</v>
      </c>
      <c r="E1007" s="11"/>
    </row>
    <row r="1008" ht="18" customHeight="1" spans="1:5">
      <c r="A1008" s="10" t="str">
        <f>"李江丽"</f>
        <v>李江丽</v>
      </c>
      <c r="B1008" s="10" t="str">
        <f>"10101014606"</f>
        <v>10101014606</v>
      </c>
      <c r="C1008" s="6" t="s">
        <v>8</v>
      </c>
      <c r="D1008" s="7" t="s">
        <v>9</v>
      </c>
      <c r="E1008" s="11"/>
    </row>
    <row r="1009" ht="18" customHeight="1" spans="1:5">
      <c r="A1009" s="10" t="str">
        <f>"李才慧"</f>
        <v>李才慧</v>
      </c>
      <c r="B1009" s="10" t="str">
        <f>"10101014627"</f>
        <v>10101014627</v>
      </c>
      <c r="C1009" s="6" t="s">
        <v>8</v>
      </c>
      <c r="D1009" s="7" t="s">
        <v>9</v>
      </c>
      <c r="E1009" s="11"/>
    </row>
    <row r="1010" ht="18" customHeight="1" spans="1:5">
      <c r="A1010" s="10" t="str">
        <f>"黄海芳"</f>
        <v>黄海芳</v>
      </c>
      <c r="B1010" s="10" t="str">
        <f>"10101014725"</f>
        <v>10101014725</v>
      </c>
      <c r="C1010" s="6" t="s">
        <v>8</v>
      </c>
      <c r="D1010" s="7" t="s">
        <v>9</v>
      </c>
      <c r="E1010" s="11"/>
    </row>
    <row r="1011" ht="18" customHeight="1" spans="1:5">
      <c r="A1011" s="10" t="str">
        <f>"庄子伦"</f>
        <v>庄子伦</v>
      </c>
      <c r="B1011" s="10" t="str">
        <f>"10101014812"</f>
        <v>10101014812</v>
      </c>
      <c r="C1011" s="6" t="s">
        <v>8</v>
      </c>
      <c r="D1011" s="7" t="s">
        <v>9</v>
      </c>
      <c r="E1011" s="11"/>
    </row>
    <row r="1012" ht="18" customHeight="1" spans="1:5">
      <c r="A1012" s="10" t="str">
        <f>"卢健烹"</f>
        <v>卢健烹</v>
      </c>
      <c r="B1012" s="10" t="str">
        <f>"10101014829"</f>
        <v>10101014829</v>
      </c>
      <c r="C1012" s="6" t="s">
        <v>8</v>
      </c>
      <c r="D1012" s="7" t="s">
        <v>9</v>
      </c>
      <c r="E1012" s="11"/>
    </row>
    <row r="1013" ht="18" customHeight="1" spans="1:5">
      <c r="A1013" s="10" t="str">
        <f>"赵晓凤"</f>
        <v>赵晓凤</v>
      </c>
      <c r="B1013" s="10" t="str">
        <f>"10101014916"</f>
        <v>10101014916</v>
      </c>
      <c r="C1013" s="6" t="s">
        <v>8</v>
      </c>
      <c r="D1013" s="7" t="s">
        <v>9</v>
      </c>
      <c r="E1013" s="11"/>
    </row>
    <row r="1014" ht="18" customHeight="1" spans="1:5">
      <c r="A1014" s="10" t="str">
        <f>"唐平丽"</f>
        <v>唐平丽</v>
      </c>
      <c r="B1014" s="10" t="str">
        <f>"10101014918"</f>
        <v>10101014918</v>
      </c>
      <c r="C1014" s="6" t="s">
        <v>8</v>
      </c>
      <c r="D1014" s="7" t="s">
        <v>9</v>
      </c>
      <c r="E1014" s="11"/>
    </row>
    <row r="1015" ht="18" customHeight="1" spans="1:5">
      <c r="A1015" s="10" t="str">
        <f>"高丽"</f>
        <v>高丽</v>
      </c>
      <c r="B1015" s="10" t="str">
        <f>"10101014921"</f>
        <v>10101014921</v>
      </c>
      <c r="C1015" s="6" t="s">
        <v>8</v>
      </c>
      <c r="D1015" s="7" t="s">
        <v>9</v>
      </c>
      <c r="E1015" s="11"/>
    </row>
    <row r="1016" ht="18" customHeight="1" spans="1:5">
      <c r="A1016" s="10" t="str">
        <f>"符启娜"</f>
        <v>符启娜</v>
      </c>
      <c r="B1016" s="10" t="str">
        <f>"10101014929"</f>
        <v>10101014929</v>
      </c>
      <c r="C1016" s="6" t="s">
        <v>8</v>
      </c>
      <c r="D1016" s="7" t="s">
        <v>9</v>
      </c>
      <c r="E1016" s="11"/>
    </row>
    <row r="1017" ht="18" customHeight="1" spans="1:5">
      <c r="A1017" s="10" t="str">
        <f>"文珍"</f>
        <v>文珍</v>
      </c>
      <c r="B1017" s="10" t="str">
        <f>"10101015009"</f>
        <v>10101015009</v>
      </c>
      <c r="C1017" s="6" t="s">
        <v>8</v>
      </c>
      <c r="D1017" s="7" t="s">
        <v>9</v>
      </c>
      <c r="E1017" s="11"/>
    </row>
    <row r="1018" ht="18" customHeight="1" spans="1:5">
      <c r="A1018" s="10" t="str">
        <f>"郭教芳"</f>
        <v>郭教芳</v>
      </c>
      <c r="B1018" s="10" t="str">
        <f>"10101015029"</f>
        <v>10101015029</v>
      </c>
      <c r="C1018" s="6" t="s">
        <v>8</v>
      </c>
      <c r="D1018" s="7" t="s">
        <v>9</v>
      </c>
      <c r="E1018" s="11"/>
    </row>
    <row r="1019" ht="18" customHeight="1" spans="1:5">
      <c r="A1019" s="10" t="str">
        <f>"任喜媱"</f>
        <v>任喜媱</v>
      </c>
      <c r="B1019" s="10" t="str">
        <f>"10101015106"</f>
        <v>10101015106</v>
      </c>
      <c r="C1019" s="6" t="s">
        <v>8</v>
      </c>
      <c r="D1019" s="7" t="s">
        <v>9</v>
      </c>
      <c r="E1019" s="11"/>
    </row>
    <row r="1020" ht="18" customHeight="1" spans="1:5">
      <c r="A1020" s="10" t="str">
        <f>"张秋彩"</f>
        <v>张秋彩</v>
      </c>
      <c r="B1020" s="10" t="str">
        <f>"10101015108"</f>
        <v>10101015108</v>
      </c>
      <c r="C1020" s="6" t="s">
        <v>8</v>
      </c>
      <c r="D1020" s="7" t="s">
        <v>9</v>
      </c>
      <c r="E1020" s="11"/>
    </row>
    <row r="1021" ht="18" customHeight="1" spans="1:5">
      <c r="A1021" s="10" t="str">
        <f>"翁小妹"</f>
        <v>翁小妹</v>
      </c>
      <c r="B1021" s="10" t="str">
        <f>"10101015206"</f>
        <v>10101015206</v>
      </c>
      <c r="C1021" s="6" t="s">
        <v>8</v>
      </c>
      <c r="D1021" s="7" t="s">
        <v>9</v>
      </c>
      <c r="E1021" s="11"/>
    </row>
    <row r="1022" ht="18" customHeight="1" spans="1:5">
      <c r="A1022" s="10" t="str">
        <f>"王达雪"</f>
        <v>王达雪</v>
      </c>
      <c r="B1022" s="10" t="str">
        <f>"10101015214"</f>
        <v>10101015214</v>
      </c>
      <c r="C1022" s="6" t="s">
        <v>8</v>
      </c>
      <c r="D1022" s="7" t="s">
        <v>9</v>
      </c>
      <c r="E1022" s="11"/>
    </row>
    <row r="1023" ht="18" customHeight="1" spans="1:5">
      <c r="A1023" s="10" t="str">
        <f>"卢瑞燕"</f>
        <v>卢瑞燕</v>
      </c>
      <c r="B1023" s="10" t="str">
        <f>"10101015303"</f>
        <v>10101015303</v>
      </c>
      <c r="C1023" s="6" t="s">
        <v>8</v>
      </c>
      <c r="D1023" s="7" t="s">
        <v>9</v>
      </c>
      <c r="E1023" s="11"/>
    </row>
    <row r="1024" ht="18" customHeight="1" spans="1:5">
      <c r="A1024" s="10" t="str">
        <f>"符三美"</f>
        <v>符三美</v>
      </c>
      <c r="B1024" s="10" t="str">
        <f>"10101015308"</f>
        <v>10101015308</v>
      </c>
      <c r="C1024" s="6" t="s">
        <v>8</v>
      </c>
      <c r="D1024" s="7" t="s">
        <v>9</v>
      </c>
      <c r="E1024" s="11"/>
    </row>
    <row r="1025" ht="18" customHeight="1" spans="1:5">
      <c r="A1025" s="10" t="str">
        <f>"符啟霞"</f>
        <v>符啟霞</v>
      </c>
      <c r="B1025" s="10" t="str">
        <f>"10101015316"</f>
        <v>10101015316</v>
      </c>
      <c r="C1025" s="6" t="s">
        <v>8</v>
      </c>
      <c r="D1025" s="7" t="s">
        <v>9</v>
      </c>
      <c r="E1025" s="11"/>
    </row>
    <row r="1026" ht="18" customHeight="1" spans="1:5">
      <c r="A1026" s="10" t="str">
        <f>"陈井妹"</f>
        <v>陈井妹</v>
      </c>
      <c r="B1026" s="10" t="str">
        <f>"10101015405"</f>
        <v>10101015405</v>
      </c>
      <c r="C1026" s="6" t="s">
        <v>8</v>
      </c>
      <c r="D1026" s="7" t="s">
        <v>9</v>
      </c>
      <c r="E1026" s="11"/>
    </row>
    <row r="1027" ht="18" customHeight="1" spans="1:5">
      <c r="A1027" s="10" t="str">
        <f>"文秀妮"</f>
        <v>文秀妮</v>
      </c>
      <c r="B1027" s="10" t="str">
        <f>"10101015406"</f>
        <v>10101015406</v>
      </c>
      <c r="C1027" s="6" t="s">
        <v>8</v>
      </c>
      <c r="D1027" s="7" t="s">
        <v>9</v>
      </c>
      <c r="E1027" s="11"/>
    </row>
    <row r="1028" ht="18" customHeight="1" spans="1:5">
      <c r="A1028" s="10" t="str">
        <f>"吴妹"</f>
        <v>吴妹</v>
      </c>
      <c r="B1028" s="10" t="str">
        <f>"10101015418"</f>
        <v>10101015418</v>
      </c>
      <c r="C1028" s="6" t="s">
        <v>8</v>
      </c>
      <c r="D1028" s="7" t="s">
        <v>9</v>
      </c>
      <c r="E1028" s="11" t="s">
        <v>29</v>
      </c>
    </row>
    <row r="1029" ht="18" customHeight="1" spans="1:5">
      <c r="A1029" s="10" t="str">
        <f>"卞再燕"</f>
        <v>卞再燕</v>
      </c>
      <c r="B1029" s="10" t="str">
        <f>"10101015425"</f>
        <v>10101015425</v>
      </c>
      <c r="C1029" s="6" t="s">
        <v>8</v>
      </c>
      <c r="D1029" s="7" t="s">
        <v>9</v>
      </c>
      <c r="E1029" s="11"/>
    </row>
    <row r="1030" ht="18" customHeight="1" spans="1:5">
      <c r="A1030" s="10" t="str">
        <f>"温嘉仪"</f>
        <v>温嘉仪</v>
      </c>
      <c r="B1030" s="10" t="str">
        <f>"10101015430"</f>
        <v>10101015430</v>
      </c>
      <c r="C1030" s="6" t="s">
        <v>8</v>
      </c>
      <c r="D1030" s="7" t="s">
        <v>9</v>
      </c>
      <c r="E1030" s="11"/>
    </row>
  </sheetData>
  <sheetProtection password="C7D5" sheet="1" objects="1"/>
  <protectedRanges>
    <protectedRange sqref="D3:D920" name="岗位排名"/>
  </protectedRanges>
  <autoFilter ref="A2:E1030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11" customWidth="1"/>
    <col min="2" max="2" width="17.125" customWidth="1"/>
    <col min="3" max="3" width="16" customWidth="1"/>
    <col min="4" max="4" width="11.625" style="2" customWidth="1"/>
    <col min="5" max="5" width="33" customWidth="1"/>
  </cols>
  <sheetData>
    <row r="1" ht="51" customHeight="1" spans="1:5">
      <c r="A1" s="3" t="s">
        <v>30</v>
      </c>
      <c r="B1" s="3"/>
      <c r="C1" s="3"/>
      <c r="D1" s="3"/>
      <c r="E1" s="3"/>
    </row>
    <row r="2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8" customHeight="1" spans="1:5">
      <c r="A3" s="5" t="str">
        <f>"吉淑雅"</f>
        <v>吉淑雅</v>
      </c>
      <c r="B3" s="5" t="str">
        <f>"10101016103"</f>
        <v>10101016103</v>
      </c>
      <c r="C3" s="6">
        <v>62</v>
      </c>
      <c r="D3" s="7">
        <v>1</v>
      </c>
      <c r="E3" s="8"/>
    </row>
    <row r="4" s="1" customFormat="1" ht="18" customHeight="1" spans="1:5">
      <c r="A4" s="5" t="str">
        <f>"符求伍"</f>
        <v>符求伍</v>
      </c>
      <c r="B4" s="5" t="str">
        <f>"10101015916"</f>
        <v>10101015916</v>
      </c>
      <c r="C4" s="6">
        <v>57</v>
      </c>
      <c r="D4" s="7">
        <v>2</v>
      </c>
      <c r="E4" s="8"/>
    </row>
    <row r="5" s="1" customFormat="1" ht="18" customHeight="1" spans="1:5">
      <c r="A5" s="5" t="str">
        <f>"梁凤兰"</f>
        <v>梁凤兰</v>
      </c>
      <c r="B5" s="5" t="str">
        <f>"10101015815"</f>
        <v>10101015815</v>
      </c>
      <c r="C5" s="6">
        <v>52</v>
      </c>
      <c r="D5" s="7">
        <v>3</v>
      </c>
      <c r="E5" s="8"/>
    </row>
    <row r="6" s="1" customFormat="1" ht="18" customHeight="1" spans="1:5">
      <c r="A6" s="5" t="str">
        <f>"张立珍"</f>
        <v>张立珍</v>
      </c>
      <c r="B6" s="5" t="str">
        <f>"10101015827"</f>
        <v>10101015827</v>
      </c>
      <c r="C6" s="6">
        <v>51</v>
      </c>
      <c r="D6" s="7">
        <v>4</v>
      </c>
      <c r="E6" s="8"/>
    </row>
    <row r="7" s="1" customFormat="1" ht="18" customHeight="1" spans="1:5">
      <c r="A7" s="5" t="str">
        <f>"文雪琳"</f>
        <v>文雪琳</v>
      </c>
      <c r="B7" s="5" t="str">
        <f>"10101015707"</f>
        <v>10101015707</v>
      </c>
      <c r="C7" s="6">
        <v>47</v>
      </c>
      <c r="D7" s="7">
        <v>5</v>
      </c>
      <c r="E7" s="8"/>
    </row>
    <row r="8" s="1" customFormat="1" ht="18" customHeight="1" spans="1:5">
      <c r="A8" s="5" t="str">
        <f>"符景翠"</f>
        <v>符景翠</v>
      </c>
      <c r="B8" s="5" t="str">
        <f>"10101016020"</f>
        <v>10101016020</v>
      </c>
      <c r="C8" s="6">
        <v>47</v>
      </c>
      <c r="D8" s="7">
        <v>6</v>
      </c>
      <c r="E8" s="8"/>
    </row>
    <row r="9" s="1" customFormat="1" ht="18" customHeight="1" spans="1:5">
      <c r="A9" s="5" t="str">
        <f>"许莹莹"</f>
        <v>许莹莹</v>
      </c>
      <c r="B9" s="5" t="str">
        <f>"10101015624"</f>
        <v>10101015624</v>
      </c>
      <c r="C9" s="6">
        <v>46</v>
      </c>
      <c r="D9" s="7">
        <v>7</v>
      </c>
      <c r="E9" s="8"/>
    </row>
    <row r="10" s="1" customFormat="1" ht="18" customHeight="1" spans="1:5">
      <c r="A10" s="5" t="str">
        <f>"陈冠舒"</f>
        <v>陈冠舒</v>
      </c>
      <c r="B10" s="5" t="str">
        <f>"10101015706"</f>
        <v>10101015706</v>
      </c>
      <c r="C10" s="6">
        <v>45</v>
      </c>
      <c r="D10" s="7">
        <v>8</v>
      </c>
      <c r="E10" s="8"/>
    </row>
    <row r="11" s="1" customFormat="1" ht="18" customHeight="1" spans="1:5">
      <c r="A11" s="5" t="str">
        <f>"吉玉香"</f>
        <v>吉玉香</v>
      </c>
      <c r="B11" s="5" t="str">
        <f>"10101015708"</f>
        <v>10101015708</v>
      </c>
      <c r="C11" s="6">
        <v>42</v>
      </c>
      <c r="D11" s="7">
        <v>9</v>
      </c>
      <c r="E11" s="8"/>
    </row>
    <row r="12" s="1" customFormat="1" ht="18" customHeight="1" spans="1:5">
      <c r="A12" s="5" t="str">
        <f>"谭妹燕"</f>
        <v>谭妹燕</v>
      </c>
      <c r="B12" s="5" t="str">
        <f>"10101015709"</f>
        <v>10101015709</v>
      </c>
      <c r="C12" s="6">
        <v>42</v>
      </c>
      <c r="D12" s="7">
        <v>10</v>
      </c>
      <c r="E12" s="8"/>
    </row>
    <row r="13" s="1" customFormat="1" ht="18" customHeight="1" spans="1:5">
      <c r="A13" s="5" t="str">
        <f>"林秋萍"</f>
        <v>林秋萍</v>
      </c>
      <c r="B13" s="5" t="str">
        <f>"10101015611"</f>
        <v>10101015611</v>
      </c>
      <c r="C13" s="6">
        <v>40</v>
      </c>
      <c r="D13" s="7">
        <v>11</v>
      </c>
      <c r="E13" s="8"/>
    </row>
    <row r="14" s="1" customFormat="1" ht="18" customHeight="1" spans="1:5">
      <c r="A14" s="5" t="str">
        <f>"彭洁"</f>
        <v>彭洁</v>
      </c>
      <c r="B14" s="5" t="str">
        <f>"10101015627"</f>
        <v>10101015627</v>
      </c>
      <c r="C14" s="6">
        <v>40</v>
      </c>
      <c r="D14" s="7">
        <v>12</v>
      </c>
      <c r="E14" s="8"/>
    </row>
    <row r="15" s="1" customFormat="1" ht="18" customHeight="1" spans="1:5">
      <c r="A15" s="5" t="str">
        <f>"符慧令"</f>
        <v>符慧令</v>
      </c>
      <c r="B15" s="5" t="str">
        <f>"10101015701"</f>
        <v>10101015701</v>
      </c>
      <c r="C15" s="6">
        <v>40</v>
      </c>
      <c r="D15" s="7">
        <v>13</v>
      </c>
      <c r="E15" s="8"/>
    </row>
    <row r="16" s="1" customFormat="1" ht="18" customHeight="1" spans="1:5">
      <c r="A16" s="5" t="str">
        <f>"金立娜"</f>
        <v>金立娜</v>
      </c>
      <c r="B16" s="5" t="str">
        <f>"10101015721"</f>
        <v>10101015721</v>
      </c>
      <c r="C16" s="6">
        <v>40</v>
      </c>
      <c r="D16" s="7">
        <v>14</v>
      </c>
      <c r="E16" s="8"/>
    </row>
    <row r="17" s="1" customFormat="1" ht="18" customHeight="1" spans="1:5">
      <c r="A17" s="5" t="str">
        <f>"符转"</f>
        <v>符转</v>
      </c>
      <c r="B17" s="5" t="str">
        <f>"10101015722"</f>
        <v>10101015722</v>
      </c>
      <c r="C17" s="6">
        <v>40</v>
      </c>
      <c r="D17" s="7">
        <v>15</v>
      </c>
      <c r="E17" s="8"/>
    </row>
    <row r="18" s="1" customFormat="1" ht="18" customHeight="1" spans="1:5">
      <c r="A18" s="5" t="str">
        <f>"符丽花"</f>
        <v>符丽花</v>
      </c>
      <c r="B18" s="5" t="str">
        <f>"10101015822"</f>
        <v>10101015822</v>
      </c>
      <c r="C18" s="6">
        <v>40</v>
      </c>
      <c r="D18" s="7">
        <v>16</v>
      </c>
      <c r="E18" s="8"/>
    </row>
    <row r="19" s="1" customFormat="1" ht="18" customHeight="1" spans="1:5">
      <c r="A19" s="5" t="str">
        <f>"陈钰霞"</f>
        <v>陈钰霞</v>
      </c>
      <c r="B19" s="5" t="str">
        <f>"10101015919"</f>
        <v>10101015919</v>
      </c>
      <c r="C19" s="6">
        <v>40</v>
      </c>
      <c r="D19" s="7">
        <v>17</v>
      </c>
      <c r="E19" s="8"/>
    </row>
    <row r="20" s="1" customFormat="1" ht="18" customHeight="1" spans="1:5">
      <c r="A20" s="5" t="str">
        <f>"蓝世乐"</f>
        <v>蓝世乐</v>
      </c>
      <c r="B20" s="5" t="str">
        <f>"10101016105"</f>
        <v>10101016105</v>
      </c>
      <c r="C20" s="6">
        <v>40</v>
      </c>
      <c r="D20" s="7">
        <v>18</v>
      </c>
      <c r="E20" s="8"/>
    </row>
    <row r="21" s="1" customFormat="1" ht="18" customHeight="1" spans="1:5">
      <c r="A21" s="5" t="str">
        <f>"杨子慧"</f>
        <v>杨子慧</v>
      </c>
      <c r="B21" s="5" t="str">
        <f>"10101015808"</f>
        <v>10101015808</v>
      </c>
      <c r="C21" s="6">
        <v>39</v>
      </c>
      <c r="D21" s="7">
        <v>19</v>
      </c>
      <c r="E21" s="8"/>
    </row>
    <row r="22" s="1" customFormat="1" ht="18" customHeight="1" spans="1:5">
      <c r="A22" s="5" t="str">
        <f>"李霞灵"</f>
        <v>李霞灵</v>
      </c>
      <c r="B22" s="5" t="str">
        <f>"10101015910"</f>
        <v>10101015910</v>
      </c>
      <c r="C22" s="6">
        <v>39</v>
      </c>
      <c r="D22" s="7">
        <v>20</v>
      </c>
      <c r="E22" s="8"/>
    </row>
    <row r="23" s="1" customFormat="1" ht="18" customHeight="1" spans="1:5">
      <c r="A23" s="5" t="str">
        <f>"林妮"</f>
        <v>林妮</v>
      </c>
      <c r="B23" s="5" t="str">
        <f>"10101016004"</f>
        <v>10101016004</v>
      </c>
      <c r="C23" s="6">
        <v>39</v>
      </c>
      <c r="D23" s="7">
        <v>21</v>
      </c>
      <c r="E23" s="8"/>
    </row>
    <row r="24" s="1" customFormat="1" ht="18" customHeight="1" spans="1:5">
      <c r="A24" s="5" t="str">
        <f>"麦名美"</f>
        <v>麦名美</v>
      </c>
      <c r="B24" s="5" t="str">
        <f>"10101016025"</f>
        <v>10101016025</v>
      </c>
      <c r="C24" s="6">
        <v>39</v>
      </c>
      <c r="D24" s="7">
        <v>22</v>
      </c>
      <c r="E24" s="8"/>
    </row>
    <row r="25" s="1" customFormat="1" ht="18" customHeight="1" spans="1:5">
      <c r="A25" s="5" t="str">
        <f>"符运飞"</f>
        <v>符运飞</v>
      </c>
      <c r="B25" s="5" t="str">
        <f>"10101015620"</f>
        <v>10101015620</v>
      </c>
      <c r="C25" s="6">
        <v>38</v>
      </c>
      <c r="D25" s="7">
        <v>23</v>
      </c>
      <c r="E25" s="8"/>
    </row>
    <row r="26" s="1" customFormat="1" ht="18" customHeight="1" spans="1:5">
      <c r="A26" s="5" t="str">
        <f>"罗三喜"</f>
        <v>罗三喜</v>
      </c>
      <c r="B26" s="5" t="str">
        <f>"10101015711"</f>
        <v>10101015711</v>
      </c>
      <c r="C26" s="6">
        <v>38</v>
      </c>
      <c r="D26" s="7">
        <v>24</v>
      </c>
      <c r="E26" s="8"/>
    </row>
    <row r="27" s="1" customFormat="1" ht="18" customHeight="1" spans="1:5">
      <c r="A27" s="5" t="str">
        <f>"吴珍"</f>
        <v>吴珍</v>
      </c>
      <c r="B27" s="5" t="str">
        <f>"10101015716"</f>
        <v>10101015716</v>
      </c>
      <c r="C27" s="6">
        <v>38</v>
      </c>
      <c r="D27" s="7">
        <v>25</v>
      </c>
      <c r="E27" s="8"/>
    </row>
    <row r="28" s="1" customFormat="1" ht="18" customHeight="1" spans="1:5">
      <c r="A28" s="5" t="str">
        <f>"杨够"</f>
        <v>杨够</v>
      </c>
      <c r="B28" s="5" t="str">
        <f>"10101015727"</f>
        <v>10101015727</v>
      </c>
      <c r="C28" s="6">
        <v>38</v>
      </c>
      <c r="D28" s="7">
        <v>26</v>
      </c>
      <c r="E28" s="8"/>
    </row>
    <row r="29" s="1" customFormat="1" ht="18" customHeight="1" spans="1:5">
      <c r="A29" s="5" t="str">
        <f>"陆晓莹"</f>
        <v>陆晓莹</v>
      </c>
      <c r="B29" s="5" t="str">
        <f>"10101015730"</f>
        <v>10101015730</v>
      </c>
      <c r="C29" s="6">
        <v>38</v>
      </c>
      <c r="D29" s="7">
        <v>27</v>
      </c>
      <c r="E29" s="8"/>
    </row>
    <row r="30" s="1" customFormat="1" ht="18" customHeight="1" spans="1:5">
      <c r="A30" s="5" t="str">
        <f>"王丽"</f>
        <v>王丽</v>
      </c>
      <c r="B30" s="5" t="str">
        <f>"10101016109"</f>
        <v>10101016109</v>
      </c>
      <c r="C30" s="6">
        <v>38</v>
      </c>
      <c r="D30" s="7">
        <v>28</v>
      </c>
      <c r="E30" s="8"/>
    </row>
    <row r="31" s="1" customFormat="1" ht="18" customHeight="1" spans="1:5">
      <c r="A31" s="5" t="str">
        <f>"卢运瑛"</f>
        <v>卢运瑛</v>
      </c>
      <c r="B31" s="5" t="str">
        <f>"10101015616"</f>
        <v>10101015616</v>
      </c>
      <c r="C31" s="6">
        <v>37</v>
      </c>
      <c r="D31" s="7">
        <v>29</v>
      </c>
      <c r="E31" s="8"/>
    </row>
    <row r="32" s="1" customFormat="1" ht="18" customHeight="1" spans="1:5">
      <c r="A32" s="5" t="str">
        <f>"周志莲"</f>
        <v>周志莲</v>
      </c>
      <c r="B32" s="5" t="str">
        <f>"10101015630"</f>
        <v>10101015630</v>
      </c>
      <c r="C32" s="6">
        <v>37</v>
      </c>
      <c r="D32" s="7">
        <v>30</v>
      </c>
      <c r="E32" s="8"/>
    </row>
    <row r="33" s="1" customFormat="1" ht="18" customHeight="1" spans="1:5">
      <c r="A33" s="5" t="str">
        <f>"宣月"</f>
        <v>宣月</v>
      </c>
      <c r="B33" s="5" t="str">
        <f>"10101015704"</f>
        <v>10101015704</v>
      </c>
      <c r="C33" s="6">
        <v>37</v>
      </c>
      <c r="D33" s="7">
        <v>31</v>
      </c>
      <c r="E33" s="8"/>
    </row>
    <row r="34" s="1" customFormat="1" ht="18" customHeight="1" spans="1:5">
      <c r="A34" s="5" t="str">
        <f>"文俊璇"</f>
        <v>文俊璇</v>
      </c>
      <c r="B34" s="5" t="str">
        <f>"10101015713"</f>
        <v>10101015713</v>
      </c>
      <c r="C34" s="6">
        <v>37</v>
      </c>
      <c r="D34" s="7">
        <v>32</v>
      </c>
      <c r="E34" s="8"/>
    </row>
    <row r="35" s="1" customFormat="1" ht="18" customHeight="1" spans="1:5">
      <c r="A35" s="5" t="str">
        <f>"陈亚林"</f>
        <v>陈亚林</v>
      </c>
      <c r="B35" s="5" t="str">
        <f>"10101015805"</f>
        <v>10101015805</v>
      </c>
      <c r="C35" s="6">
        <v>37</v>
      </c>
      <c r="D35" s="7">
        <v>33</v>
      </c>
      <c r="E35" s="8"/>
    </row>
    <row r="36" s="1" customFormat="1" ht="18" customHeight="1" spans="1:5">
      <c r="A36" s="5" t="str">
        <f>"张树凤"</f>
        <v>张树凤</v>
      </c>
      <c r="B36" s="5" t="str">
        <f>"10101015608"</f>
        <v>10101015608</v>
      </c>
      <c r="C36" s="6">
        <v>36</v>
      </c>
      <c r="D36" s="7">
        <v>34</v>
      </c>
      <c r="E36" s="8"/>
    </row>
    <row r="37" s="1" customFormat="1" ht="18" customHeight="1" spans="1:5">
      <c r="A37" s="5" t="str">
        <f>"陈雪冰"</f>
        <v>陈雪冰</v>
      </c>
      <c r="B37" s="5" t="str">
        <f>"10101015612"</f>
        <v>10101015612</v>
      </c>
      <c r="C37" s="6">
        <v>36</v>
      </c>
      <c r="D37" s="7">
        <v>35</v>
      </c>
      <c r="E37" s="8"/>
    </row>
    <row r="38" s="1" customFormat="1" ht="18" customHeight="1" spans="1:5">
      <c r="A38" s="5" t="str">
        <f>"吉王玉"</f>
        <v>吉王玉</v>
      </c>
      <c r="B38" s="5" t="str">
        <f>"10101015718"</f>
        <v>10101015718</v>
      </c>
      <c r="C38" s="6">
        <v>36</v>
      </c>
      <c r="D38" s="7">
        <v>36</v>
      </c>
      <c r="E38" s="8"/>
    </row>
    <row r="39" s="1" customFormat="1" ht="18" customHeight="1" spans="1:5">
      <c r="A39" s="5" t="str">
        <f>"孔祥苗"</f>
        <v>孔祥苗</v>
      </c>
      <c r="B39" s="5" t="str">
        <f>"10101015729"</f>
        <v>10101015729</v>
      </c>
      <c r="C39" s="6">
        <v>36</v>
      </c>
      <c r="D39" s="7">
        <v>37</v>
      </c>
      <c r="E39" s="8"/>
    </row>
    <row r="40" s="1" customFormat="1" ht="18" customHeight="1" spans="1:5">
      <c r="A40" s="5" t="str">
        <f>"卢岳婷"</f>
        <v>卢岳婷</v>
      </c>
      <c r="B40" s="5" t="str">
        <f>"10101015801"</f>
        <v>10101015801</v>
      </c>
      <c r="C40" s="6">
        <v>36</v>
      </c>
      <c r="D40" s="7">
        <v>38</v>
      </c>
      <c r="E40" s="8"/>
    </row>
    <row r="41" s="1" customFormat="1" ht="18" customHeight="1" spans="1:5">
      <c r="A41" s="5" t="str">
        <f>"杜秀斋"</f>
        <v>杜秀斋</v>
      </c>
      <c r="B41" s="5" t="str">
        <f>"10101015814"</f>
        <v>10101015814</v>
      </c>
      <c r="C41" s="6">
        <v>36</v>
      </c>
      <c r="D41" s="7">
        <v>39</v>
      </c>
      <c r="E41" s="8"/>
    </row>
    <row r="42" s="1" customFormat="1" ht="18" customHeight="1" spans="1:5">
      <c r="A42" s="5" t="str">
        <f>"苏琼霜"</f>
        <v>苏琼霜</v>
      </c>
      <c r="B42" s="5" t="str">
        <f>"10101015817"</f>
        <v>10101015817</v>
      </c>
      <c r="C42" s="6">
        <v>36</v>
      </c>
      <c r="D42" s="7">
        <v>40</v>
      </c>
      <c r="E42" s="8"/>
    </row>
    <row r="43" s="1" customFormat="1" ht="18" customHeight="1" spans="1:5">
      <c r="A43" s="5" t="str">
        <f>"何因翁"</f>
        <v>何因翁</v>
      </c>
      <c r="B43" s="5" t="str">
        <f>"10101015702"</f>
        <v>10101015702</v>
      </c>
      <c r="C43" s="6">
        <v>35</v>
      </c>
      <c r="D43" s="7">
        <v>41</v>
      </c>
      <c r="E43" s="8"/>
    </row>
    <row r="44" s="1" customFormat="1" ht="18" customHeight="1" spans="1:5">
      <c r="A44" s="5" t="str">
        <f>"符家娜"</f>
        <v>符家娜</v>
      </c>
      <c r="B44" s="5" t="str">
        <f>"10101015821"</f>
        <v>10101015821</v>
      </c>
      <c r="C44" s="6">
        <v>35</v>
      </c>
      <c r="D44" s="7">
        <v>42</v>
      </c>
      <c r="E44" s="8"/>
    </row>
    <row r="45" s="1" customFormat="1" ht="18" customHeight="1" spans="1:5">
      <c r="A45" s="5" t="str">
        <f>"龙仙惠"</f>
        <v>龙仙惠</v>
      </c>
      <c r="B45" s="5" t="str">
        <f>"10101015826"</f>
        <v>10101015826</v>
      </c>
      <c r="C45" s="6">
        <v>35</v>
      </c>
      <c r="D45" s="7">
        <v>43</v>
      </c>
      <c r="E45" s="8"/>
    </row>
    <row r="46" s="1" customFormat="1" ht="18" customHeight="1" spans="1:5">
      <c r="A46" s="5" t="str">
        <f>"麦赋诗"</f>
        <v>麦赋诗</v>
      </c>
      <c r="B46" s="5" t="str">
        <f>"10101015605"</f>
        <v>10101015605</v>
      </c>
      <c r="C46" s="6">
        <v>34</v>
      </c>
      <c r="D46" s="7">
        <v>44</v>
      </c>
      <c r="E46" s="8"/>
    </row>
    <row r="47" s="1" customFormat="1" ht="18" customHeight="1" spans="1:5">
      <c r="A47" s="5" t="str">
        <f>"吴景艳"</f>
        <v>吴景艳</v>
      </c>
      <c r="B47" s="5" t="str">
        <f>"10101015725"</f>
        <v>10101015725</v>
      </c>
      <c r="C47" s="6">
        <v>34</v>
      </c>
      <c r="D47" s="7">
        <v>45</v>
      </c>
      <c r="E47" s="8"/>
    </row>
    <row r="48" s="1" customFormat="1" ht="18" customHeight="1" spans="1:5">
      <c r="A48" s="5" t="str">
        <f>"文振银"</f>
        <v>文振银</v>
      </c>
      <c r="B48" s="5" t="str">
        <f>"10101015726"</f>
        <v>10101015726</v>
      </c>
      <c r="C48" s="6">
        <v>34</v>
      </c>
      <c r="D48" s="7">
        <v>46</v>
      </c>
      <c r="E48" s="8"/>
    </row>
    <row r="49" s="1" customFormat="1" ht="18" customHeight="1" spans="1:5">
      <c r="A49" s="5" t="str">
        <f>"符克婷"</f>
        <v>符克婷</v>
      </c>
      <c r="B49" s="5" t="str">
        <f>"10101015804"</f>
        <v>10101015804</v>
      </c>
      <c r="C49" s="6">
        <v>34</v>
      </c>
      <c r="D49" s="7">
        <v>47</v>
      </c>
      <c r="E49" s="8"/>
    </row>
    <row r="50" s="1" customFormat="1" ht="18" customHeight="1" spans="1:5">
      <c r="A50" s="5" t="str">
        <f>"李娜"</f>
        <v>李娜</v>
      </c>
      <c r="B50" s="5" t="str">
        <f>"10101015806"</f>
        <v>10101015806</v>
      </c>
      <c r="C50" s="6">
        <v>34</v>
      </c>
      <c r="D50" s="7">
        <v>48</v>
      </c>
      <c r="E50" s="8"/>
    </row>
    <row r="51" s="1" customFormat="1" ht="18" customHeight="1" spans="1:5">
      <c r="A51" s="5" t="str">
        <f>"王秀扬"</f>
        <v>王秀扬</v>
      </c>
      <c r="B51" s="5" t="str">
        <f>"10101015811"</f>
        <v>10101015811</v>
      </c>
      <c r="C51" s="6">
        <v>34</v>
      </c>
      <c r="D51" s="7">
        <v>49</v>
      </c>
      <c r="E51" s="8"/>
    </row>
    <row r="52" s="1" customFormat="1" ht="18" customHeight="1" spans="1:5">
      <c r="A52" s="5" t="str">
        <f>"赵兰强"</f>
        <v>赵兰强</v>
      </c>
      <c r="B52" s="5" t="str">
        <f>"10101015813"</f>
        <v>10101015813</v>
      </c>
      <c r="C52" s="6">
        <v>34</v>
      </c>
      <c r="D52" s="7">
        <v>50</v>
      </c>
      <c r="E52" s="8"/>
    </row>
    <row r="53" s="1" customFormat="1" ht="18" customHeight="1" spans="1:5">
      <c r="A53" s="5" t="str">
        <f>"赵志丽"</f>
        <v>赵志丽</v>
      </c>
      <c r="B53" s="5" t="str">
        <f>"10101015825"</f>
        <v>10101015825</v>
      </c>
      <c r="C53" s="6">
        <v>34</v>
      </c>
      <c r="D53" s="7">
        <v>51</v>
      </c>
      <c r="E53" s="8"/>
    </row>
    <row r="54" s="1" customFormat="1" ht="18" customHeight="1" spans="1:5">
      <c r="A54" s="5" t="str">
        <f>"符美凤"</f>
        <v>符美凤</v>
      </c>
      <c r="B54" s="5" t="str">
        <f>"10101015925"</f>
        <v>10101015925</v>
      </c>
      <c r="C54" s="6">
        <v>34</v>
      </c>
      <c r="D54" s="7">
        <v>52</v>
      </c>
      <c r="E54" s="8"/>
    </row>
    <row r="55" s="1" customFormat="1" ht="18" customHeight="1" spans="1:5">
      <c r="A55" s="5" t="str">
        <f>"杨丽"</f>
        <v>杨丽</v>
      </c>
      <c r="B55" s="5" t="str">
        <f>"10101015929"</f>
        <v>10101015929</v>
      </c>
      <c r="C55" s="6">
        <v>34</v>
      </c>
      <c r="D55" s="7">
        <v>53</v>
      </c>
      <c r="E55" s="8"/>
    </row>
    <row r="56" s="1" customFormat="1" ht="18" customHeight="1" spans="1:5">
      <c r="A56" s="5" t="str">
        <f>"符容平"</f>
        <v>符容平</v>
      </c>
      <c r="B56" s="5" t="str">
        <f>"10101016001"</f>
        <v>10101016001</v>
      </c>
      <c r="C56" s="6">
        <v>34</v>
      </c>
      <c r="D56" s="7">
        <v>54</v>
      </c>
      <c r="E56" s="8"/>
    </row>
    <row r="57" s="1" customFormat="1" ht="18" customHeight="1" spans="1:5">
      <c r="A57" s="5" t="str">
        <f>"刘梅"</f>
        <v>刘梅</v>
      </c>
      <c r="B57" s="5" t="str">
        <f>"10101016011"</f>
        <v>10101016011</v>
      </c>
      <c r="C57" s="6">
        <v>34</v>
      </c>
      <c r="D57" s="7">
        <v>55</v>
      </c>
      <c r="E57" s="8"/>
    </row>
    <row r="58" s="1" customFormat="1" ht="18" customHeight="1" spans="1:5">
      <c r="A58" s="5" t="str">
        <f>"唐余琴"</f>
        <v>唐余琴</v>
      </c>
      <c r="B58" s="5" t="str">
        <f>"10101016015"</f>
        <v>10101016015</v>
      </c>
      <c r="C58" s="6">
        <v>34</v>
      </c>
      <c r="D58" s="7">
        <v>56</v>
      </c>
      <c r="E58" s="8"/>
    </row>
    <row r="59" s="1" customFormat="1" ht="18" customHeight="1" spans="1:5">
      <c r="A59" s="5" t="str">
        <f>"何淑珍"</f>
        <v>何淑珍</v>
      </c>
      <c r="B59" s="5" t="str">
        <f>"10101016016"</f>
        <v>10101016016</v>
      </c>
      <c r="C59" s="9">
        <v>34</v>
      </c>
      <c r="D59" s="7">
        <v>57</v>
      </c>
      <c r="E59" s="8"/>
    </row>
    <row r="60" s="1" customFormat="1" ht="18" customHeight="1" spans="1:5">
      <c r="A60" s="5" t="str">
        <f>"郭禄春"</f>
        <v>郭禄春</v>
      </c>
      <c r="B60" s="5" t="str">
        <f>"10101016107"</f>
        <v>10101016107</v>
      </c>
      <c r="C60" s="6">
        <v>34</v>
      </c>
      <c r="D60" s="7">
        <v>58</v>
      </c>
      <c r="E60" s="8"/>
    </row>
    <row r="61" s="1" customFormat="1" ht="18" customHeight="1" spans="1:5">
      <c r="A61" s="5" t="str">
        <f>"韩慧怡"</f>
        <v>韩慧怡</v>
      </c>
      <c r="B61" s="5" t="str">
        <f>"10101015803"</f>
        <v>10101015803</v>
      </c>
      <c r="C61" s="6">
        <v>33</v>
      </c>
      <c r="D61" s="7">
        <v>59</v>
      </c>
      <c r="E61" s="8"/>
    </row>
    <row r="62" s="1" customFormat="1" ht="18" customHeight="1" spans="1:5">
      <c r="A62" s="5" t="str">
        <f>"符洁静"</f>
        <v>符洁静</v>
      </c>
      <c r="B62" s="5" t="str">
        <f>"10101015915"</f>
        <v>10101015915</v>
      </c>
      <c r="C62" s="6">
        <v>33</v>
      </c>
      <c r="D62" s="7">
        <v>60</v>
      </c>
      <c r="E62" s="8"/>
    </row>
    <row r="63" s="1" customFormat="1" ht="18" customHeight="1" spans="1:5">
      <c r="A63" s="5" t="str">
        <f>"邓丽琴"</f>
        <v>邓丽琴</v>
      </c>
      <c r="B63" s="5" t="str">
        <f>"10101016012"</f>
        <v>10101016012</v>
      </c>
      <c r="C63" s="6">
        <v>33</v>
      </c>
      <c r="D63" s="7">
        <v>61</v>
      </c>
      <c r="E63" s="8"/>
    </row>
    <row r="64" s="1" customFormat="1" ht="18" customHeight="1" spans="1:5">
      <c r="A64" s="5" t="str">
        <f>"符惠智"</f>
        <v>符惠智</v>
      </c>
      <c r="B64" s="5" t="str">
        <f>"10101016017"</f>
        <v>10101016017</v>
      </c>
      <c r="C64" s="6">
        <v>33</v>
      </c>
      <c r="D64" s="7">
        <v>62</v>
      </c>
      <c r="E64" s="8"/>
    </row>
    <row r="65" s="1" customFormat="1" ht="18" customHeight="1" spans="1:5">
      <c r="A65" s="5" t="str">
        <f>"符李薇"</f>
        <v>符李薇</v>
      </c>
      <c r="B65" s="5" t="str">
        <f>"10101016023"</f>
        <v>10101016023</v>
      </c>
      <c r="C65" s="6">
        <v>33</v>
      </c>
      <c r="D65" s="7">
        <v>63</v>
      </c>
      <c r="E65" s="8"/>
    </row>
    <row r="66" s="1" customFormat="1" ht="18" customHeight="1" spans="1:5">
      <c r="A66" s="5" t="str">
        <f>"符玉方"</f>
        <v>符玉方</v>
      </c>
      <c r="B66" s="5" t="str">
        <f>"10101015712"</f>
        <v>10101015712</v>
      </c>
      <c r="C66" s="6">
        <v>32</v>
      </c>
      <c r="D66" s="7">
        <v>64</v>
      </c>
      <c r="E66" s="8"/>
    </row>
    <row r="67" s="1" customFormat="1" ht="18" customHeight="1" spans="1:5">
      <c r="A67" s="5" t="str">
        <f>"陈金苗"</f>
        <v>陈金苗</v>
      </c>
      <c r="B67" s="5" t="str">
        <f>"10101015715"</f>
        <v>10101015715</v>
      </c>
      <c r="C67" s="6">
        <v>32</v>
      </c>
      <c r="D67" s="7">
        <v>65</v>
      </c>
      <c r="E67" s="8"/>
    </row>
    <row r="68" s="1" customFormat="1" ht="18" customHeight="1" spans="1:5">
      <c r="A68" s="5" t="str">
        <f>"苏莉莉"</f>
        <v>苏莉莉</v>
      </c>
      <c r="B68" s="5" t="str">
        <f>"10101015828"</f>
        <v>10101015828</v>
      </c>
      <c r="C68" s="6">
        <v>32</v>
      </c>
      <c r="D68" s="7">
        <v>66</v>
      </c>
      <c r="E68" s="8"/>
    </row>
    <row r="69" s="1" customFormat="1" ht="18" customHeight="1" spans="1:5">
      <c r="A69" s="5" t="str">
        <f>"高丽珍"</f>
        <v>高丽珍</v>
      </c>
      <c r="B69" s="5" t="str">
        <f>"10101015829"</f>
        <v>10101015829</v>
      </c>
      <c r="C69" s="9">
        <v>32</v>
      </c>
      <c r="D69" s="7">
        <v>67</v>
      </c>
      <c r="E69" s="8"/>
    </row>
    <row r="70" s="1" customFormat="1" ht="18" customHeight="1" spans="1:5">
      <c r="A70" s="5" t="str">
        <f>"张翰珍"</f>
        <v>张翰珍</v>
      </c>
      <c r="B70" s="5" t="str">
        <f>"10101015909"</f>
        <v>10101015909</v>
      </c>
      <c r="C70" s="6">
        <v>32</v>
      </c>
      <c r="D70" s="7">
        <v>68</v>
      </c>
      <c r="E70" s="8"/>
    </row>
    <row r="71" s="1" customFormat="1" ht="18" customHeight="1" spans="1:5">
      <c r="A71" s="5" t="str">
        <f>"秦晓曼"</f>
        <v>秦晓曼</v>
      </c>
      <c r="B71" s="5" t="str">
        <f>"10101015921"</f>
        <v>10101015921</v>
      </c>
      <c r="C71" s="6">
        <v>32</v>
      </c>
      <c r="D71" s="7">
        <v>69</v>
      </c>
      <c r="E71" s="8"/>
    </row>
    <row r="72" s="1" customFormat="1" ht="18" customHeight="1" spans="1:5">
      <c r="A72" s="5" t="str">
        <f>"文丽"</f>
        <v>文丽</v>
      </c>
      <c r="B72" s="5" t="str">
        <f>"10101016013"</f>
        <v>10101016013</v>
      </c>
      <c r="C72" s="6">
        <v>32</v>
      </c>
      <c r="D72" s="7">
        <v>70</v>
      </c>
      <c r="E72" s="8"/>
    </row>
    <row r="73" s="1" customFormat="1" ht="18" customHeight="1" spans="1:5">
      <c r="A73" s="5" t="str">
        <f>"曾照磊"</f>
        <v>曾照磊</v>
      </c>
      <c r="B73" s="5" t="str">
        <f>"10101016019"</f>
        <v>10101016019</v>
      </c>
      <c r="C73" s="6">
        <v>32</v>
      </c>
      <c r="D73" s="7">
        <v>71</v>
      </c>
      <c r="E73" s="8"/>
    </row>
    <row r="74" s="1" customFormat="1" ht="18" customHeight="1" spans="1:5">
      <c r="A74" s="5" t="str">
        <f>"王锡花"</f>
        <v>王锡花</v>
      </c>
      <c r="B74" s="5" t="str">
        <f>"10101015823"</f>
        <v>10101015823</v>
      </c>
      <c r="C74" s="6">
        <v>31</v>
      </c>
      <c r="D74" s="7">
        <v>72</v>
      </c>
      <c r="E74" s="8"/>
    </row>
    <row r="75" s="1" customFormat="1" ht="18" customHeight="1" spans="1:5">
      <c r="A75" s="5" t="str">
        <f>"符倩茹"</f>
        <v>符倩茹</v>
      </c>
      <c r="B75" s="5" t="str">
        <f>"10101015824"</f>
        <v>10101015824</v>
      </c>
      <c r="C75" s="6">
        <v>31</v>
      </c>
      <c r="D75" s="7">
        <v>73</v>
      </c>
      <c r="E75" s="8"/>
    </row>
    <row r="76" s="1" customFormat="1" ht="18" customHeight="1" spans="1:5">
      <c r="A76" s="5" t="str">
        <f>"曾成虹"</f>
        <v>曾成虹</v>
      </c>
      <c r="B76" s="5" t="str">
        <f>"10101015901"</f>
        <v>10101015901</v>
      </c>
      <c r="C76" s="6">
        <v>31</v>
      </c>
      <c r="D76" s="7">
        <v>74</v>
      </c>
      <c r="E76" s="8"/>
    </row>
    <row r="77" s="1" customFormat="1" ht="18" customHeight="1" spans="1:5">
      <c r="A77" s="5" t="str">
        <f>"吉芳婷"</f>
        <v>吉芳婷</v>
      </c>
      <c r="B77" s="5" t="str">
        <f>"10101016005"</f>
        <v>10101016005</v>
      </c>
      <c r="C77" s="6">
        <v>31</v>
      </c>
      <c r="D77" s="7">
        <v>75</v>
      </c>
      <c r="E77" s="8"/>
    </row>
    <row r="78" s="1" customFormat="1" ht="18" customHeight="1" spans="1:5">
      <c r="A78" s="5" t="str">
        <f>"刘嘉美"</f>
        <v>刘嘉美</v>
      </c>
      <c r="B78" s="5" t="str">
        <f>"10101016027"</f>
        <v>10101016027</v>
      </c>
      <c r="C78" s="6">
        <v>31</v>
      </c>
      <c r="D78" s="7">
        <v>76</v>
      </c>
      <c r="E78" s="8"/>
    </row>
    <row r="79" s="1" customFormat="1" ht="18" customHeight="1" spans="1:5">
      <c r="A79" s="5" t="str">
        <f>"符梅珍"</f>
        <v>符梅珍</v>
      </c>
      <c r="B79" s="5" t="str">
        <f>"10101016104"</f>
        <v>10101016104</v>
      </c>
      <c r="C79" s="6">
        <v>31</v>
      </c>
      <c r="D79" s="7">
        <v>77</v>
      </c>
      <c r="E79" s="8"/>
    </row>
    <row r="80" s="1" customFormat="1" ht="18" customHeight="1" spans="1:5">
      <c r="A80" s="5" t="str">
        <f>"洪亚静"</f>
        <v>洪亚静</v>
      </c>
      <c r="B80" s="5" t="str">
        <f>"10101015614"</f>
        <v>10101015614</v>
      </c>
      <c r="C80" s="6">
        <v>30</v>
      </c>
      <c r="D80" s="7">
        <v>78</v>
      </c>
      <c r="E80" s="8"/>
    </row>
    <row r="81" s="1" customFormat="1" ht="18" customHeight="1" spans="1:5">
      <c r="A81" s="5" t="str">
        <f>"高丽雪"</f>
        <v>高丽雪</v>
      </c>
      <c r="B81" s="5" t="str">
        <f>"10101015714"</f>
        <v>10101015714</v>
      </c>
      <c r="C81" s="6">
        <v>30</v>
      </c>
      <c r="D81" s="7">
        <v>79</v>
      </c>
      <c r="E81" s="8"/>
    </row>
    <row r="82" s="1" customFormat="1" ht="18" customHeight="1" spans="1:5">
      <c r="A82" s="5" t="str">
        <f>"符孙晓"</f>
        <v>符孙晓</v>
      </c>
      <c r="B82" s="5" t="str">
        <f>"10101015816"</f>
        <v>10101015816</v>
      </c>
      <c r="C82" s="6">
        <v>30</v>
      </c>
      <c r="D82" s="7">
        <v>80</v>
      </c>
      <c r="E82" s="8"/>
    </row>
    <row r="83" s="1" customFormat="1" ht="18" customHeight="1" spans="1:5">
      <c r="A83" s="5" t="str">
        <f>"张尚苏"</f>
        <v>张尚苏</v>
      </c>
      <c r="B83" s="5" t="str">
        <f>"10101015830"</f>
        <v>10101015830</v>
      </c>
      <c r="C83" s="6">
        <v>30</v>
      </c>
      <c r="D83" s="7">
        <v>81</v>
      </c>
      <c r="E83" s="8"/>
    </row>
    <row r="84" s="1" customFormat="1" ht="18" customHeight="1" spans="1:5">
      <c r="A84" s="5" t="str">
        <f>"苏安春"</f>
        <v>苏安春</v>
      </c>
      <c r="B84" s="5" t="str">
        <f>"10101015905"</f>
        <v>10101015905</v>
      </c>
      <c r="C84" s="6">
        <v>30</v>
      </c>
      <c r="D84" s="7">
        <v>82</v>
      </c>
      <c r="E84" s="8"/>
    </row>
    <row r="85" s="1" customFormat="1" ht="18" customHeight="1" spans="1:5">
      <c r="A85" s="5" t="str">
        <f>"符彩艳"</f>
        <v>符彩艳</v>
      </c>
      <c r="B85" s="5" t="str">
        <f>"10101016008"</f>
        <v>10101016008</v>
      </c>
      <c r="C85" s="6">
        <v>30</v>
      </c>
      <c r="D85" s="7">
        <v>83</v>
      </c>
      <c r="E85" s="8"/>
    </row>
    <row r="86" s="1" customFormat="1" ht="18" customHeight="1" spans="1:5">
      <c r="A86" s="5" t="str">
        <f>"张霞"</f>
        <v>张霞</v>
      </c>
      <c r="B86" s="5" t="str">
        <f>"10101016018"</f>
        <v>10101016018</v>
      </c>
      <c r="C86" s="6">
        <v>30</v>
      </c>
      <c r="D86" s="7">
        <v>84</v>
      </c>
      <c r="E86" s="8"/>
    </row>
    <row r="87" s="1" customFormat="1" ht="18" customHeight="1" spans="1:5">
      <c r="A87" s="5" t="str">
        <f>"叶学玲"</f>
        <v>叶学玲</v>
      </c>
      <c r="B87" s="5" t="str">
        <f>"10101016022"</f>
        <v>10101016022</v>
      </c>
      <c r="C87" s="6">
        <v>30</v>
      </c>
      <c r="D87" s="7">
        <v>85</v>
      </c>
      <c r="E87" s="8"/>
    </row>
    <row r="88" s="1" customFormat="1" ht="18" customHeight="1" spans="1:5">
      <c r="A88" s="5" t="str">
        <f>"翁海妹"</f>
        <v>翁海妹</v>
      </c>
      <c r="B88" s="5" t="str">
        <f>"10101016029"</f>
        <v>10101016029</v>
      </c>
      <c r="C88" s="6">
        <v>30</v>
      </c>
      <c r="D88" s="7">
        <v>86</v>
      </c>
      <c r="E88" s="8"/>
    </row>
    <row r="89" s="1" customFormat="1" ht="18" customHeight="1" spans="1:5">
      <c r="A89" s="5" t="str">
        <f>"关冰冰"</f>
        <v>关冰冰</v>
      </c>
      <c r="B89" s="5" t="str">
        <f>"10101016108"</f>
        <v>10101016108</v>
      </c>
      <c r="C89" s="6">
        <v>30</v>
      </c>
      <c r="D89" s="7">
        <v>87</v>
      </c>
      <c r="E89" s="8"/>
    </row>
    <row r="90" s="1" customFormat="1" ht="18" customHeight="1" spans="1:5">
      <c r="A90" s="5" t="str">
        <f>"杨慧"</f>
        <v>杨慧</v>
      </c>
      <c r="B90" s="5" t="str">
        <f>"10101016112"</f>
        <v>10101016112</v>
      </c>
      <c r="C90" s="6">
        <v>30</v>
      </c>
      <c r="D90" s="7">
        <v>88</v>
      </c>
      <c r="E90" s="8"/>
    </row>
    <row r="91" s="1" customFormat="1" ht="18" customHeight="1" spans="1:5">
      <c r="A91" s="5" t="str">
        <f>"符召柳"</f>
        <v>符召柳</v>
      </c>
      <c r="B91" s="5" t="str">
        <f>"10101015603"</f>
        <v>10101015603</v>
      </c>
      <c r="C91" s="6">
        <v>29</v>
      </c>
      <c r="D91" s="7">
        <v>89</v>
      </c>
      <c r="E91" s="8"/>
    </row>
    <row r="92" s="1" customFormat="1" ht="18" customHeight="1" spans="1:5">
      <c r="A92" s="5" t="str">
        <f>"钟四燕"</f>
        <v>钟四燕</v>
      </c>
      <c r="B92" s="5" t="str">
        <f>"10101015728"</f>
        <v>10101015728</v>
      </c>
      <c r="C92" s="6">
        <v>29</v>
      </c>
      <c r="D92" s="7">
        <v>90</v>
      </c>
      <c r="E92" s="8"/>
    </row>
    <row r="93" s="1" customFormat="1" ht="18" customHeight="1" spans="1:5">
      <c r="A93" s="5" t="str">
        <f>"符琳"</f>
        <v>符琳</v>
      </c>
      <c r="B93" s="5" t="str">
        <f>"10101015902"</f>
        <v>10101015902</v>
      </c>
      <c r="C93" s="6">
        <v>29</v>
      </c>
      <c r="D93" s="7">
        <v>91</v>
      </c>
      <c r="E93" s="8"/>
    </row>
    <row r="94" s="1" customFormat="1" ht="18" customHeight="1" spans="1:5">
      <c r="A94" s="5" t="str">
        <f>"刘金妹"</f>
        <v>刘金妹</v>
      </c>
      <c r="B94" s="5" t="str">
        <f>"10101015906"</f>
        <v>10101015906</v>
      </c>
      <c r="C94" s="6">
        <v>29</v>
      </c>
      <c r="D94" s="7">
        <v>92</v>
      </c>
      <c r="E94" s="8"/>
    </row>
    <row r="95" s="1" customFormat="1" ht="18" customHeight="1" spans="1:5">
      <c r="A95" s="5" t="str">
        <f>"吉英丽"</f>
        <v>吉英丽</v>
      </c>
      <c r="B95" s="5" t="str">
        <f>"10101015908"</f>
        <v>10101015908</v>
      </c>
      <c r="C95" s="6">
        <v>29</v>
      </c>
      <c r="D95" s="7">
        <v>93</v>
      </c>
      <c r="E95" s="8"/>
    </row>
    <row r="96" s="1" customFormat="1" ht="18" customHeight="1" spans="1:5">
      <c r="A96" s="5" t="str">
        <f>"黄雅婷"</f>
        <v>黄雅婷</v>
      </c>
      <c r="B96" s="5" t="str">
        <f>"10101015911"</f>
        <v>10101015911</v>
      </c>
      <c r="C96" s="6">
        <v>29</v>
      </c>
      <c r="D96" s="7">
        <v>94</v>
      </c>
      <c r="E96" s="8"/>
    </row>
    <row r="97" s="1" customFormat="1" ht="18" customHeight="1" spans="1:5">
      <c r="A97" s="5" t="str">
        <f>"张环"</f>
        <v>张环</v>
      </c>
      <c r="B97" s="5" t="str">
        <f>"10101015922"</f>
        <v>10101015922</v>
      </c>
      <c r="C97" s="6">
        <v>29</v>
      </c>
      <c r="D97" s="7">
        <v>95</v>
      </c>
      <c r="E97" s="8"/>
    </row>
    <row r="98" s="1" customFormat="1" ht="18" customHeight="1" spans="1:5">
      <c r="A98" s="5" t="str">
        <f>"胡少妹"</f>
        <v>胡少妹</v>
      </c>
      <c r="B98" s="5" t="str">
        <f>"10101015923"</f>
        <v>10101015923</v>
      </c>
      <c r="C98" s="6">
        <v>29</v>
      </c>
      <c r="D98" s="7">
        <v>96</v>
      </c>
      <c r="E98" s="8"/>
    </row>
    <row r="99" s="1" customFormat="1" ht="18" customHeight="1" spans="1:5">
      <c r="A99" s="5" t="str">
        <f>"陈香娜"</f>
        <v>陈香娜</v>
      </c>
      <c r="B99" s="5" t="str">
        <f>"10101015924"</f>
        <v>10101015924</v>
      </c>
      <c r="C99" s="6">
        <v>29</v>
      </c>
      <c r="D99" s="7">
        <v>97</v>
      </c>
      <c r="E99" s="8"/>
    </row>
    <row r="100" s="1" customFormat="1" ht="18" customHeight="1" spans="1:5">
      <c r="A100" s="5" t="str">
        <f>"卞在晶"</f>
        <v>卞在晶</v>
      </c>
      <c r="B100" s="5" t="str">
        <f>"10101015926"</f>
        <v>10101015926</v>
      </c>
      <c r="C100" s="6">
        <v>29</v>
      </c>
      <c r="D100" s="7">
        <v>98</v>
      </c>
      <c r="E100" s="8"/>
    </row>
    <row r="101" s="1" customFormat="1" ht="18" customHeight="1" spans="1:5">
      <c r="A101" s="5" t="str">
        <f>"倪亚丽"</f>
        <v>倪亚丽</v>
      </c>
      <c r="B101" s="5" t="str">
        <f>"10101016010"</f>
        <v>10101016010</v>
      </c>
      <c r="C101" s="6">
        <v>29</v>
      </c>
      <c r="D101" s="7">
        <v>99</v>
      </c>
      <c r="E101" s="8"/>
    </row>
    <row r="102" s="1" customFormat="1" ht="18" customHeight="1" spans="1:5">
      <c r="A102" s="5" t="str">
        <f>"潘英"</f>
        <v>潘英</v>
      </c>
      <c r="B102" s="5" t="str">
        <f>"10101016024"</f>
        <v>10101016024</v>
      </c>
      <c r="C102" s="6">
        <v>29</v>
      </c>
      <c r="D102" s="7">
        <v>100</v>
      </c>
      <c r="E102" s="8"/>
    </row>
    <row r="103" s="1" customFormat="1" ht="18" customHeight="1" spans="1:5">
      <c r="A103" s="5" t="str">
        <f>"张燕菁"</f>
        <v>张燕菁</v>
      </c>
      <c r="B103" s="5" t="str">
        <f>"10101015606"</f>
        <v>10101015606</v>
      </c>
      <c r="C103" s="6">
        <v>28</v>
      </c>
      <c r="D103" s="7">
        <v>101</v>
      </c>
      <c r="E103" s="8"/>
    </row>
    <row r="104" s="1" customFormat="1" ht="18" customHeight="1" spans="1:5">
      <c r="A104" s="5" t="str">
        <f>"钟圣欣"</f>
        <v>钟圣欣</v>
      </c>
      <c r="B104" s="5" t="str">
        <f>"10101015610"</f>
        <v>10101015610</v>
      </c>
      <c r="C104" s="6">
        <v>28</v>
      </c>
      <c r="D104" s="7">
        <v>102</v>
      </c>
      <c r="E104" s="8"/>
    </row>
    <row r="105" s="1" customFormat="1" ht="18" customHeight="1" spans="1:5">
      <c r="A105" s="5" t="str">
        <f>"任喜群"</f>
        <v>任喜群</v>
      </c>
      <c r="B105" s="5" t="str">
        <f>"10101015617"</f>
        <v>10101015617</v>
      </c>
      <c r="C105" s="6">
        <v>28</v>
      </c>
      <c r="D105" s="7">
        <v>103</v>
      </c>
      <c r="E105" s="8"/>
    </row>
    <row r="106" s="1" customFormat="1" ht="18" customHeight="1" spans="1:5">
      <c r="A106" s="5" t="str">
        <f>"符海燕"</f>
        <v>符海燕</v>
      </c>
      <c r="B106" s="5" t="str">
        <f>"10101015628"</f>
        <v>10101015628</v>
      </c>
      <c r="C106" s="6">
        <v>28</v>
      </c>
      <c r="D106" s="7">
        <v>104</v>
      </c>
      <c r="E106" s="8"/>
    </row>
    <row r="107" s="1" customFormat="1" ht="18" customHeight="1" spans="1:5">
      <c r="A107" s="5" t="str">
        <f>"张泽惠"</f>
        <v>张泽惠</v>
      </c>
      <c r="B107" s="5" t="str">
        <f>"10101015604"</f>
        <v>10101015604</v>
      </c>
      <c r="C107" s="6">
        <v>27</v>
      </c>
      <c r="D107" s="7">
        <v>105</v>
      </c>
      <c r="E107" s="8"/>
    </row>
    <row r="108" s="1" customFormat="1" ht="18" customHeight="1" spans="1:5">
      <c r="A108" s="5" t="str">
        <f>"符亚平"</f>
        <v>符亚平</v>
      </c>
      <c r="B108" s="5" t="str">
        <f>"10101015619"</f>
        <v>10101015619</v>
      </c>
      <c r="C108" s="6">
        <v>27</v>
      </c>
      <c r="D108" s="7">
        <v>106</v>
      </c>
      <c r="E108" s="8" t="s">
        <v>26</v>
      </c>
    </row>
    <row r="109" s="1" customFormat="1" ht="18" customHeight="1" spans="1:5">
      <c r="A109" s="5" t="str">
        <f>"符帅朋"</f>
        <v>符帅朋</v>
      </c>
      <c r="B109" s="5" t="str">
        <f>"10101015723"</f>
        <v>10101015723</v>
      </c>
      <c r="C109" s="6">
        <v>27</v>
      </c>
      <c r="D109" s="7">
        <v>107</v>
      </c>
      <c r="E109" s="8"/>
    </row>
    <row r="110" s="1" customFormat="1" ht="18" customHeight="1" spans="1:5">
      <c r="A110" s="5" t="str">
        <f>"张汉娜"</f>
        <v>张汉娜</v>
      </c>
      <c r="B110" s="5" t="str">
        <f>"10101015819"</f>
        <v>10101015819</v>
      </c>
      <c r="C110" s="6">
        <v>27</v>
      </c>
      <c r="D110" s="7">
        <v>108</v>
      </c>
      <c r="E110" s="8"/>
    </row>
    <row r="111" s="1" customFormat="1" ht="18" customHeight="1" spans="1:5">
      <c r="A111" s="5" t="str">
        <f>"文婷"</f>
        <v>文婷</v>
      </c>
      <c r="B111" s="5" t="str">
        <f>"10101016007"</f>
        <v>10101016007</v>
      </c>
      <c r="C111" s="6">
        <v>27</v>
      </c>
      <c r="D111" s="7">
        <v>109</v>
      </c>
      <c r="E111" s="8"/>
    </row>
    <row r="112" s="1" customFormat="1" ht="18" customHeight="1" spans="1:5">
      <c r="A112" s="5" t="str">
        <f>"符慧玲"</f>
        <v>符慧玲</v>
      </c>
      <c r="B112" s="5" t="str">
        <f>"10101016111"</f>
        <v>10101016111</v>
      </c>
      <c r="C112" s="6">
        <v>27</v>
      </c>
      <c r="D112" s="7">
        <v>110</v>
      </c>
      <c r="E112" s="8"/>
    </row>
    <row r="113" s="1" customFormat="1" ht="18" customHeight="1" spans="1:5">
      <c r="A113" s="5" t="str">
        <f>"吴多英"</f>
        <v>吴多英</v>
      </c>
      <c r="B113" s="5" t="str">
        <f>"10101015602"</f>
        <v>10101015602</v>
      </c>
      <c r="C113" s="6">
        <v>26</v>
      </c>
      <c r="D113" s="7">
        <v>111</v>
      </c>
      <c r="E113" s="8"/>
    </row>
    <row r="114" s="1" customFormat="1" ht="18" customHeight="1" spans="1:5">
      <c r="A114" s="5" t="str">
        <f>"文苏畅"</f>
        <v>文苏畅</v>
      </c>
      <c r="B114" s="5" t="str">
        <f>"10101015613"</f>
        <v>10101015613</v>
      </c>
      <c r="C114" s="6">
        <v>26</v>
      </c>
      <c r="D114" s="7">
        <v>112</v>
      </c>
      <c r="E114" s="8"/>
    </row>
    <row r="115" s="1" customFormat="1" ht="18" customHeight="1" spans="1:5">
      <c r="A115" s="5" t="str">
        <f>"倪德灵"</f>
        <v>倪德灵</v>
      </c>
      <c r="B115" s="5" t="str">
        <f>"10101015623"</f>
        <v>10101015623</v>
      </c>
      <c r="C115" s="6">
        <v>26</v>
      </c>
      <c r="D115" s="7">
        <v>113</v>
      </c>
      <c r="E115" s="8"/>
    </row>
    <row r="116" s="1" customFormat="1" ht="18" customHeight="1" spans="1:5">
      <c r="A116" s="5" t="str">
        <f>"符亚上"</f>
        <v>符亚上</v>
      </c>
      <c r="B116" s="5" t="str">
        <f>"10101015705"</f>
        <v>10101015705</v>
      </c>
      <c r="C116" s="6">
        <v>26</v>
      </c>
      <c r="D116" s="7">
        <v>114</v>
      </c>
      <c r="E116" s="8"/>
    </row>
    <row r="117" s="1" customFormat="1" ht="18" customHeight="1" spans="1:5">
      <c r="A117" s="5" t="str">
        <f>"苏艳妮"</f>
        <v>苏艳妮</v>
      </c>
      <c r="B117" s="5" t="str">
        <f>"10101015810"</f>
        <v>10101015810</v>
      </c>
      <c r="C117" s="6">
        <v>26</v>
      </c>
      <c r="D117" s="7">
        <v>115</v>
      </c>
      <c r="E117" s="8"/>
    </row>
    <row r="118" s="1" customFormat="1" ht="18" customHeight="1" spans="1:5">
      <c r="A118" s="5" t="str">
        <f>"王丽莎"</f>
        <v>王丽莎</v>
      </c>
      <c r="B118" s="5" t="str">
        <f>"10101016106"</f>
        <v>10101016106</v>
      </c>
      <c r="C118" s="6">
        <v>26</v>
      </c>
      <c r="D118" s="7">
        <v>116</v>
      </c>
      <c r="E118" s="8"/>
    </row>
    <row r="119" s="1" customFormat="1" ht="18" customHeight="1" spans="1:5">
      <c r="A119" s="5" t="str">
        <f>"马秀梅"</f>
        <v>马秀梅</v>
      </c>
      <c r="B119" s="5" t="str">
        <f>"10101015717"</f>
        <v>10101015717</v>
      </c>
      <c r="C119" s="6">
        <v>25</v>
      </c>
      <c r="D119" s="7">
        <v>117</v>
      </c>
      <c r="E119" s="8"/>
    </row>
    <row r="120" s="1" customFormat="1" ht="18" customHeight="1" spans="1:5">
      <c r="A120" s="5" t="str">
        <f>"赵坤哨"</f>
        <v>赵坤哨</v>
      </c>
      <c r="B120" s="5" t="str">
        <f>"10101015724"</f>
        <v>10101015724</v>
      </c>
      <c r="C120" s="6">
        <v>25</v>
      </c>
      <c r="D120" s="7">
        <v>118</v>
      </c>
      <c r="E120" s="8"/>
    </row>
    <row r="121" s="1" customFormat="1" ht="18" customHeight="1" spans="1:5">
      <c r="A121" s="5" t="str">
        <f>"陈锦云"</f>
        <v>陈锦云</v>
      </c>
      <c r="B121" s="5" t="str">
        <f>"10101015812"</f>
        <v>10101015812</v>
      </c>
      <c r="C121" s="6">
        <v>25</v>
      </c>
      <c r="D121" s="7">
        <v>119</v>
      </c>
      <c r="E121" s="8"/>
    </row>
    <row r="122" s="1" customFormat="1" ht="18" customHeight="1" spans="1:5">
      <c r="A122" s="5" t="str">
        <f>"何黎青"</f>
        <v>何黎青</v>
      </c>
      <c r="B122" s="5" t="str">
        <f>"10101016110"</f>
        <v>10101016110</v>
      </c>
      <c r="C122" s="6">
        <v>25</v>
      </c>
      <c r="D122" s="7">
        <v>120</v>
      </c>
      <c r="E122" s="8"/>
    </row>
    <row r="123" s="1" customFormat="1" ht="18" customHeight="1" spans="1:5">
      <c r="A123" s="5" t="str">
        <f>"符会尾"</f>
        <v>符会尾</v>
      </c>
      <c r="B123" s="5" t="str">
        <f>"10101015720"</f>
        <v>10101015720</v>
      </c>
      <c r="C123" s="6">
        <v>24</v>
      </c>
      <c r="D123" s="7">
        <v>121</v>
      </c>
      <c r="E123" s="8"/>
    </row>
    <row r="124" s="1" customFormat="1" ht="18" customHeight="1" spans="1:5">
      <c r="A124" s="5" t="str">
        <f>"吴玉婷"</f>
        <v>吴玉婷</v>
      </c>
      <c r="B124" s="5" t="str">
        <f>"10101015820"</f>
        <v>10101015820</v>
      </c>
      <c r="C124" s="6">
        <v>24</v>
      </c>
      <c r="D124" s="7">
        <v>122</v>
      </c>
      <c r="E124" s="8"/>
    </row>
    <row r="125" s="1" customFormat="1" ht="18" customHeight="1" spans="1:5">
      <c r="A125" s="5" t="str">
        <f>"赵坤彦"</f>
        <v>赵坤彦</v>
      </c>
      <c r="B125" s="5" t="str">
        <f>"10101015719"</f>
        <v>10101015719</v>
      </c>
      <c r="C125" s="6">
        <v>23</v>
      </c>
      <c r="D125" s="7">
        <v>123</v>
      </c>
      <c r="E125" s="8"/>
    </row>
    <row r="126" s="1" customFormat="1" ht="18" customHeight="1" spans="1:5">
      <c r="A126" s="5" t="str">
        <f>"符盟婷"</f>
        <v>符盟婷</v>
      </c>
      <c r="B126" s="5" t="str">
        <f>"10101016101"</f>
        <v>10101016101</v>
      </c>
      <c r="C126" s="6">
        <v>23</v>
      </c>
      <c r="D126" s="7">
        <v>124</v>
      </c>
      <c r="E126" s="8"/>
    </row>
    <row r="127" s="1" customFormat="1" ht="18" customHeight="1" spans="1:5">
      <c r="A127" s="5" t="str">
        <f>"文留"</f>
        <v>文留</v>
      </c>
      <c r="B127" s="5" t="str">
        <f>"10101015607"</f>
        <v>10101015607</v>
      </c>
      <c r="C127" s="6">
        <v>22</v>
      </c>
      <c r="D127" s="7">
        <v>125</v>
      </c>
      <c r="E127" s="8"/>
    </row>
    <row r="128" s="1" customFormat="1" ht="18" customHeight="1" spans="1:5">
      <c r="A128" s="5" t="str">
        <f>"杨金好"</f>
        <v>杨金好</v>
      </c>
      <c r="B128" s="5" t="str">
        <f>"10101016028"</f>
        <v>10101016028</v>
      </c>
      <c r="C128" s="6">
        <v>22</v>
      </c>
      <c r="D128" s="7">
        <v>126</v>
      </c>
      <c r="E128" s="8"/>
    </row>
    <row r="129" s="1" customFormat="1" ht="18" customHeight="1" spans="1:5">
      <c r="A129" s="5" t="str">
        <f>"赵伟"</f>
        <v>赵伟</v>
      </c>
      <c r="B129" s="5" t="str">
        <f>"10101015622"</f>
        <v>10101015622</v>
      </c>
      <c r="C129" s="6">
        <v>21</v>
      </c>
      <c r="D129" s="7">
        <v>127</v>
      </c>
      <c r="E129" s="8"/>
    </row>
    <row r="130" s="1" customFormat="1" ht="18" customHeight="1" spans="1:5">
      <c r="A130" s="5" t="str">
        <f>"文凤妹"</f>
        <v>文凤妹</v>
      </c>
      <c r="B130" s="5" t="str">
        <f>"10101015818"</f>
        <v>10101015818</v>
      </c>
      <c r="C130" s="6">
        <v>21</v>
      </c>
      <c r="D130" s="7">
        <v>128</v>
      </c>
      <c r="E130" s="8"/>
    </row>
    <row r="131" s="1" customFormat="1" ht="18" customHeight="1" spans="1:5">
      <c r="A131" s="5" t="str">
        <f>"王少玲"</f>
        <v>王少玲</v>
      </c>
      <c r="B131" s="5" t="str">
        <f>"10101015907"</f>
        <v>10101015907</v>
      </c>
      <c r="C131" s="6">
        <v>21</v>
      </c>
      <c r="D131" s="7">
        <v>129</v>
      </c>
      <c r="E131" s="8"/>
    </row>
    <row r="132" s="1" customFormat="1" ht="18" customHeight="1" spans="1:5">
      <c r="A132" s="5" t="str">
        <f>"陈朱艳"</f>
        <v>陈朱艳</v>
      </c>
      <c r="B132" s="5" t="str">
        <f>"10101015601"</f>
        <v>10101015601</v>
      </c>
      <c r="C132" s="6" t="s">
        <v>8</v>
      </c>
      <c r="D132" s="7" t="s">
        <v>9</v>
      </c>
      <c r="E132" s="8"/>
    </row>
    <row r="133" s="1" customFormat="1" ht="18" customHeight="1" spans="1:5">
      <c r="A133" s="5" t="str">
        <f>"吴建丽"</f>
        <v>吴建丽</v>
      </c>
      <c r="B133" s="5" t="str">
        <f>"10101015609"</f>
        <v>10101015609</v>
      </c>
      <c r="C133" s="6" t="s">
        <v>8</v>
      </c>
      <c r="D133" s="7" t="s">
        <v>9</v>
      </c>
      <c r="E133" s="8"/>
    </row>
    <row r="134" s="1" customFormat="1" ht="18" customHeight="1" spans="1:5">
      <c r="A134" s="5" t="str">
        <f>"陈妙"</f>
        <v>陈妙</v>
      </c>
      <c r="B134" s="5" t="str">
        <f>"10101015615"</f>
        <v>10101015615</v>
      </c>
      <c r="C134" s="6" t="s">
        <v>8</v>
      </c>
      <c r="D134" s="7" t="s">
        <v>9</v>
      </c>
      <c r="E134" s="8"/>
    </row>
    <row r="135" s="1" customFormat="1" ht="18" customHeight="1" spans="1:5">
      <c r="A135" s="5" t="str">
        <f>"文芊芊"</f>
        <v>文芊芊</v>
      </c>
      <c r="B135" s="5" t="str">
        <f>"10101015618"</f>
        <v>10101015618</v>
      </c>
      <c r="C135" s="6" t="s">
        <v>8</v>
      </c>
      <c r="D135" s="7" t="s">
        <v>9</v>
      </c>
      <c r="E135" s="8"/>
    </row>
    <row r="136" s="1" customFormat="1" ht="18" customHeight="1" spans="1:5">
      <c r="A136" s="5" t="str">
        <f>"周海菊"</f>
        <v>周海菊</v>
      </c>
      <c r="B136" s="5" t="str">
        <f>"10101015621"</f>
        <v>10101015621</v>
      </c>
      <c r="C136" s="6" t="s">
        <v>8</v>
      </c>
      <c r="D136" s="7" t="s">
        <v>9</v>
      </c>
      <c r="E136" s="8"/>
    </row>
    <row r="137" s="1" customFormat="1" ht="18" customHeight="1" spans="1:5">
      <c r="A137" s="5" t="str">
        <f>"苏庭珍"</f>
        <v>苏庭珍</v>
      </c>
      <c r="B137" s="5" t="str">
        <f>"10101015625"</f>
        <v>10101015625</v>
      </c>
      <c r="C137" s="6" t="s">
        <v>8</v>
      </c>
      <c r="D137" s="7" t="s">
        <v>9</v>
      </c>
      <c r="E137" s="8"/>
    </row>
    <row r="138" s="1" customFormat="1" ht="18" customHeight="1" spans="1:5">
      <c r="A138" s="5" t="str">
        <f>"林亚燕"</f>
        <v>林亚燕</v>
      </c>
      <c r="B138" s="5" t="str">
        <f>"10101015626"</f>
        <v>10101015626</v>
      </c>
      <c r="C138" s="6" t="s">
        <v>8</v>
      </c>
      <c r="D138" s="7" t="s">
        <v>9</v>
      </c>
      <c r="E138" s="8"/>
    </row>
    <row r="139" s="1" customFormat="1" ht="18" customHeight="1" spans="1:5">
      <c r="A139" s="5" t="str">
        <f>"赵开馨"</f>
        <v>赵开馨</v>
      </c>
      <c r="B139" s="5" t="str">
        <f>"10101015629"</f>
        <v>10101015629</v>
      </c>
      <c r="C139" s="6" t="s">
        <v>8</v>
      </c>
      <c r="D139" s="7" t="s">
        <v>9</v>
      </c>
      <c r="E139" s="8"/>
    </row>
    <row r="140" s="1" customFormat="1" ht="18" customHeight="1" spans="1:5">
      <c r="A140" s="5" t="str">
        <f>"陈名将"</f>
        <v>陈名将</v>
      </c>
      <c r="B140" s="5" t="str">
        <f>"10101015703"</f>
        <v>10101015703</v>
      </c>
      <c r="C140" s="6" t="s">
        <v>8</v>
      </c>
      <c r="D140" s="7" t="s">
        <v>9</v>
      </c>
      <c r="E140" s="8"/>
    </row>
    <row r="141" s="1" customFormat="1" ht="18" customHeight="1" spans="1:5">
      <c r="A141" s="5" t="str">
        <f>"符国燕"</f>
        <v>符国燕</v>
      </c>
      <c r="B141" s="5" t="str">
        <f>"10101015710"</f>
        <v>10101015710</v>
      </c>
      <c r="C141" s="6" t="s">
        <v>8</v>
      </c>
      <c r="D141" s="7" t="s">
        <v>9</v>
      </c>
      <c r="E141" s="8"/>
    </row>
    <row r="142" s="1" customFormat="1" ht="18" customHeight="1" spans="1:5">
      <c r="A142" s="5" t="str">
        <f>"陈泰琴"</f>
        <v>陈泰琴</v>
      </c>
      <c r="B142" s="5" t="str">
        <f>"10101015802"</f>
        <v>10101015802</v>
      </c>
      <c r="C142" s="6" t="s">
        <v>8</v>
      </c>
      <c r="D142" s="7" t="s">
        <v>9</v>
      </c>
      <c r="E142" s="8"/>
    </row>
    <row r="143" s="1" customFormat="1" ht="18" customHeight="1" spans="1:5">
      <c r="A143" s="5" t="str">
        <f>"王则丹"</f>
        <v>王则丹</v>
      </c>
      <c r="B143" s="5" t="str">
        <f>"10101015807"</f>
        <v>10101015807</v>
      </c>
      <c r="C143" s="6" t="s">
        <v>8</v>
      </c>
      <c r="D143" s="7" t="s">
        <v>9</v>
      </c>
      <c r="E143" s="8"/>
    </row>
    <row r="144" s="1" customFormat="1" ht="18" customHeight="1" spans="1:5">
      <c r="A144" s="5" t="str">
        <f>"谭荣"</f>
        <v>谭荣</v>
      </c>
      <c r="B144" s="5" t="str">
        <f>"10101015809"</f>
        <v>10101015809</v>
      </c>
      <c r="C144" s="6" t="s">
        <v>8</v>
      </c>
      <c r="D144" s="7" t="s">
        <v>9</v>
      </c>
      <c r="E144" s="8"/>
    </row>
    <row r="145" s="1" customFormat="1" ht="18" customHeight="1" spans="1:5">
      <c r="A145" s="5" t="str">
        <f>"陈子美"</f>
        <v>陈子美</v>
      </c>
      <c r="B145" s="5" t="str">
        <f>"10101015903"</f>
        <v>10101015903</v>
      </c>
      <c r="C145" s="6" t="s">
        <v>8</v>
      </c>
      <c r="D145" s="7" t="s">
        <v>9</v>
      </c>
      <c r="E145" s="8"/>
    </row>
    <row r="146" s="1" customFormat="1" ht="18" customHeight="1" spans="1:5">
      <c r="A146" s="5" t="str">
        <f>"符丰慧"</f>
        <v>符丰慧</v>
      </c>
      <c r="B146" s="5" t="str">
        <f>"10101015904"</f>
        <v>10101015904</v>
      </c>
      <c r="C146" s="6" t="s">
        <v>8</v>
      </c>
      <c r="D146" s="7" t="s">
        <v>9</v>
      </c>
      <c r="E146" s="8"/>
    </row>
    <row r="147" s="1" customFormat="1" ht="18" customHeight="1" spans="1:5">
      <c r="A147" s="5" t="str">
        <f>"蒋春梅"</f>
        <v>蒋春梅</v>
      </c>
      <c r="B147" s="5" t="str">
        <f>"10101015912"</f>
        <v>10101015912</v>
      </c>
      <c r="C147" s="6" t="s">
        <v>8</v>
      </c>
      <c r="D147" s="7" t="s">
        <v>9</v>
      </c>
      <c r="E147" s="8"/>
    </row>
    <row r="148" s="1" customFormat="1" ht="18" customHeight="1" spans="1:5">
      <c r="A148" s="5" t="str">
        <f>"唐婧雪"</f>
        <v>唐婧雪</v>
      </c>
      <c r="B148" s="5" t="str">
        <f>"10101015913"</f>
        <v>10101015913</v>
      </c>
      <c r="C148" s="6" t="s">
        <v>8</v>
      </c>
      <c r="D148" s="7" t="s">
        <v>9</v>
      </c>
      <c r="E148" s="8"/>
    </row>
    <row r="149" s="1" customFormat="1" ht="18" customHeight="1" spans="1:5">
      <c r="A149" s="5" t="str">
        <f>"蒙英焕"</f>
        <v>蒙英焕</v>
      </c>
      <c r="B149" s="5" t="str">
        <f>"10101015914"</f>
        <v>10101015914</v>
      </c>
      <c r="C149" s="6" t="s">
        <v>8</v>
      </c>
      <c r="D149" s="7" t="s">
        <v>9</v>
      </c>
      <c r="E149" s="8"/>
    </row>
    <row r="150" s="1" customFormat="1" ht="18" customHeight="1" spans="1:5">
      <c r="A150" s="5" t="str">
        <f>"王秀晶"</f>
        <v>王秀晶</v>
      </c>
      <c r="B150" s="5" t="str">
        <f>"10101015917"</f>
        <v>10101015917</v>
      </c>
      <c r="C150" s="6" t="s">
        <v>8</v>
      </c>
      <c r="D150" s="7" t="s">
        <v>9</v>
      </c>
      <c r="E150" s="8"/>
    </row>
    <row r="151" s="1" customFormat="1" ht="18" customHeight="1" spans="1:5">
      <c r="A151" s="5" t="str">
        <f>"符家婷"</f>
        <v>符家婷</v>
      </c>
      <c r="B151" s="5" t="str">
        <f>"10101015918"</f>
        <v>10101015918</v>
      </c>
      <c r="C151" s="6" t="s">
        <v>8</v>
      </c>
      <c r="D151" s="7" t="s">
        <v>9</v>
      </c>
      <c r="E151" s="8"/>
    </row>
    <row r="152" s="1" customFormat="1" ht="18" customHeight="1" spans="1:5">
      <c r="A152" s="5" t="str">
        <f>"邓扬玲"</f>
        <v>邓扬玲</v>
      </c>
      <c r="B152" s="5" t="str">
        <f>"10101015920"</f>
        <v>10101015920</v>
      </c>
      <c r="C152" s="6" t="s">
        <v>8</v>
      </c>
      <c r="D152" s="7" t="s">
        <v>9</v>
      </c>
      <c r="E152" s="8"/>
    </row>
    <row r="153" s="1" customFormat="1" ht="18" customHeight="1" spans="1:5">
      <c r="A153" s="5" t="str">
        <f>"文吉伟"</f>
        <v>文吉伟</v>
      </c>
      <c r="B153" s="5" t="str">
        <f>"10101015927"</f>
        <v>10101015927</v>
      </c>
      <c r="C153" s="6" t="s">
        <v>8</v>
      </c>
      <c r="D153" s="7" t="s">
        <v>9</v>
      </c>
      <c r="E153" s="8"/>
    </row>
    <row r="154" s="1" customFormat="1" ht="18" customHeight="1" spans="1:5">
      <c r="A154" s="5" t="str">
        <f>"符三妹"</f>
        <v>符三妹</v>
      </c>
      <c r="B154" s="5" t="str">
        <f>"10101015928"</f>
        <v>10101015928</v>
      </c>
      <c r="C154" s="6" t="s">
        <v>8</v>
      </c>
      <c r="D154" s="7" t="s">
        <v>9</v>
      </c>
      <c r="E154" s="8"/>
    </row>
    <row r="155" s="1" customFormat="1" ht="18" customHeight="1" spans="1:5">
      <c r="A155" s="5" t="str">
        <f>"文吉欣"</f>
        <v>文吉欣</v>
      </c>
      <c r="B155" s="5" t="str">
        <f>"10101015930"</f>
        <v>10101015930</v>
      </c>
      <c r="C155" s="6" t="s">
        <v>8</v>
      </c>
      <c r="D155" s="7" t="s">
        <v>9</v>
      </c>
      <c r="E155" s="8"/>
    </row>
    <row r="156" s="1" customFormat="1" ht="18" customHeight="1" spans="1:5">
      <c r="A156" s="5" t="str">
        <f>"符亚平"</f>
        <v>符亚平</v>
      </c>
      <c r="B156" s="5" t="str">
        <f>"10101016002"</f>
        <v>10101016002</v>
      </c>
      <c r="C156" s="6" t="s">
        <v>8</v>
      </c>
      <c r="D156" s="7" t="s">
        <v>9</v>
      </c>
      <c r="E156" s="8" t="s">
        <v>31</v>
      </c>
    </row>
    <row r="157" s="1" customFormat="1" ht="18" customHeight="1" spans="1:5">
      <c r="A157" s="5" t="str">
        <f>"文金潇"</f>
        <v>文金潇</v>
      </c>
      <c r="B157" s="5" t="str">
        <f>"10101016003"</f>
        <v>10101016003</v>
      </c>
      <c r="C157" s="6" t="s">
        <v>8</v>
      </c>
      <c r="D157" s="7" t="s">
        <v>9</v>
      </c>
      <c r="E157" s="8"/>
    </row>
    <row r="158" s="1" customFormat="1" ht="18" customHeight="1" spans="1:5">
      <c r="A158" s="5" t="str">
        <f>"高海秀"</f>
        <v>高海秀</v>
      </c>
      <c r="B158" s="5" t="str">
        <f>"10101016006"</f>
        <v>10101016006</v>
      </c>
      <c r="C158" s="6" t="s">
        <v>8</v>
      </c>
      <c r="D158" s="7" t="s">
        <v>9</v>
      </c>
      <c r="E158" s="8"/>
    </row>
    <row r="159" s="1" customFormat="1" ht="18" customHeight="1" spans="1:5">
      <c r="A159" s="5" t="str">
        <f>"胡李样"</f>
        <v>胡李样</v>
      </c>
      <c r="B159" s="5" t="str">
        <f>"10101016009"</f>
        <v>10101016009</v>
      </c>
      <c r="C159" s="6" t="s">
        <v>8</v>
      </c>
      <c r="D159" s="7" t="s">
        <v>9</v>
      </c>
      <c r="E159" s="8"/>
    </row>
    <row r="160" s="1" customFormat="1" ht="18" customHeight="1" spans="1:5">
      <c r="A160" s="5" t="str">
        <f>"陈永飞"</f>
        <v>陈永飞</v>
      </c>
      <c r="B160" s="5" t="str">
        <f>"10101016014"</f>
        <v>10101016014</v>
      </c>
      <c r="C160" s="6" t="s">
        <v>8</v>
      </c>
      <c r="D160" s="7" t="s">
        <v>9</v>
      </c>
      <c r="E160" s="8"/>
    </row>
    <row r="161" s="1" customFormat="1" ht="18" customHeight="1" spans="1:5">
      <c r="A161" s="5" t="str">
        <f>"林道浪"</f>
        <v>林道浪</v>
      </c>
      <c r="B161" s="5" t="str">
        <f>"10101016021"</f>
        <v>10101016021</v>
      </c>
      <c r="C161" s="6" t="s">
        <v>8</v>
      </c>
      <c r="D161" s="7" t="s">
        <v>9</v>
      </c>
      <c r="E161" s="8"/>
    </row>
    <row r="162" s="1" customFormat="1" ht="18" customHeight="1" spans="1:5">
      <c r="A162" s="5" t="str">
        <f>"赵明婷"</f>
        <v>赵明婷</v>
      </c>
      <c r="B162" s="5" t="str">
        <f>"10101016026"</f>
        <v>10101016026</v>
      </c>
      <c r="C162" s="6" t="s">
        <v>8</v>
      </c>
      <c r="D162" s="7" t="s">
        <v>9</v>
      </c>
      <c r="E162" s="8"/>
    </row>
    <row r="163" s="1" customFormat="1" ht="18" customHeight="1" spans="1:5">
      <c r="A163" s="5" t="str">
        <f>"陈之娜"</f>
        <v>陈之娜</v>
      </c>
      <c r="B163" s="5" t="str">
        <f>"10101016030"</f>
        <v>10101016030</v>
      </c>
      <c r="C163" s="6" t="s">
        <v>8</v>
      </c>
      <c r="D163" s="7" t="s">
        <v>9</v>
      </c>
      <c r="E163" s="8"/>
    </row>
    <row r="164" s="1" customFormat="1" ht="18" customHeight="1" spans="1:5">
      <c r="A164" s="5" t="str">
        <f>"符云梅"</f>
        <v>符云梅</v>
      </c>
      <c r="B164" s="5" t="str">
        <f>"10101016102"</f>
        <v>10101016102</v>
      </c>
      <c r="C164" s="6" t="s">
        <v>8</v>
      </c>
      <c r="D164" s="7" t="s">
        <v>9</v>
      </c>
      <c r="E164" s="8"/>
    </row>
  </sheetData>
  <sheetProtection password="C7D5" sheet="1" objects="1"/>
  <protectedRanges>
    <protectedRange sqref="D3:D132 D133:D164" name="岗位排名_1"/>
  </protectedRanges>
  <autoFilter ref="A2:E164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教师岗</vt:lpstr>
      <vt:lpstr>保育员岗</vt:lpstr>
      <vt:lpstr>医务人员岗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2020-08-26T04:07:45Z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