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20人笔试人员信息" sheetId="3" r:id="rId1"/>
  </sheets>
  <definedNames>
    <definedName name="_xlnm._FilterDatabase" localSheetId="0" hidden="1">'320人笔试人员信息'!$B$4:$I$1710</definedName>
    <definedName name="_xlnm.Print_Titles" localSheetId="0">'320人笔试人员信息'!$1:$4</definedName>
  </definedNames>
  <calcPr calcId="144525"/>
</workbook>
</file>

<file path=xl/sharedStrings.xml><?xml version="1.0" encoding="utf-8"?>
<sst xmlns="http://schemas.openxmlformats.org/spreadsheetml/2006/main" count="2133" uniqueCount="47">
  <si>
    <t>2020年宛城区公开招聘320名教师笔试成绩</t>
  </si>
  <si>
    <t>序号</t>
  </si>
  <si>
    <t>准考证号</t>
  </si>
  <si>
    <t>考场号</t>
  </si>
  <si>
    <t>座位号</t>
  </si>
  <si>
    <t>报考岗位</t>
  </si>
  <si>
    <t>姓名</t>
  </si>
  <si>
    <t>性别</t>
  </si>
  <si>
    <t>出生年月</t>
  </si>
  <si>
    <t>笔试成绩</t>
  </si>
  <si>
    <t>备注</t>
  </si>
  <si>
    <t>02_数学</t>
  </si>
  <si>
    <t>缺考</t>
  </si>
  <si>
    <t>03_英语</t>
  </si>
  <si>
    <t>04_政治</t>
  </si>
  <si>
    <t>08_化学</t>
  </si>
  <si>
    <t>09_生物</t>
  </si>
  <si>
    <t>10_体育</t>
  </si>
  <si>
    <t>12_美术</t>
  </si>
  <si>
    <t>21_语文</t>
  </si>
  <si>
    <t>22_数学</t>
  </si>
  <si>
    <t>23_英语</t>
  </si>
  <si>
    <t>24_政治</t>
  </si>
  <si>
    <t>25_历史</t>
  </si>
  <si>
    <t>26_地理</t>
  </si>
  <si>
    <t>27_物理</t>
  </si>
  <si>
    <t>28_化学</t>
  </si>
  <si>
    <t>29_生物</t>
  </si>
  <si>
    <t>30_体育</t>
  </si>
  <si>
    <t>31_音乐</t>
  </si>
  <si>
    <t>32_美术</t>
  </si>
  <si>
    <t>33_信息技术</t>
  </si>
  <si>
    <t>51_语文</t>
  </si>
  <si>
    <t>52_数学</t>
  </si>
  <si>
    <t>53_英语</t>
  </si>
  <si>
    <t>54_政治</t>
  </si>
  <si>
    <t>55_历史</t>
  </si>
  <si>
    <t>56_地理</t>
  </si>
  <si>
    <t>57_物理</t>
  </si>
  <si>
    <t>58_化学</t>
  </si>
  <si>
    <t>59_生物</t>
  </si>
  <si>
    <t>60_信息技术</t>
  </si>
  <si>
    <t>61_语文</t>
  </si>
  <si>
    <t>62_数学</t>
  </si>
  <si>
    <t>63_英语</t>
  </si>
  <si>
    <t>64_信息技术</t>
  </si>
  <si>
    <t>70_幼教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</si>
</sst>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10"/>
  <sheetViews>
    <sheetView tabSelected="1" zoomScale="145" zoomScaleNormal="145" workbookViewId="0">
      <pane ySplit="4" topLeftCell="A5" activePane="bottomLeft" state="frozen"/>
      <selection/>
      <selection pane="bottomLeft" activeCell="A4" sqref="$A4:$XFD4"/>
    </sheetView>
  </sheetViews>
  <sheetFormatPr defaultColWidth="9" defaultRowHeight="13.5"/>
  <cols>
    <col min="1" max="1" width="5.34166666666667" customWidth="1"/>
    <col min="2" max="2" width="12.0666666666667" style="1" customWidth="1"/>
    <col min="3" max="3" width="6.55" customWidth="1"/>
    <col min="4" max="4" width="6.125" customWidth="1"/>
    <col min="5" max="5" width="12.125" customWidth="1"/>
    <col min="6" max="6" width="8" customWidth="1"/>
    <col min="7" max="7" width="5.125" customWidth="1"/>
    <col min="8" max="8" width="11.5" customWidth="1"/>
    <col min="9" max="9" width="11.8916666666667" style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="1" customFormat="1" spans="1:10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>
      <c r="A5" s="4">
        <v>1</v>
      </c>
      <c r="B5" s="4" t="str">
        <f>"20200210101"</f>
        <v>20200210101</v>
      </c>
      <c r="C5" s="4">
        <v>1</v>
      </c>
      <c r="D5" s="4">
        <v>1</v>
      </c>
      <c r="E5" s="4" t="s">
        <v>11</v>
      </c>
      <c r="F5" s="4" t="str">
        <f>"范渤"</f>
        <v>范渤</v>
      </c>
      <c r="G5" s="4" t="str">
        <f t="shared" ref="G5:G12" si="0">"女"</f>
        <v>女</v>
      </c>
      <c r="H5" s="4" t="str">
        <f>"1995-03-09"</f>
        <v>1995-03-09</v>
      </c>
      <c r="I5" s="4" t="s">
        <v>12</v>
      </c>
      <c r="J5" s="5"/>
    </row>
    <row r="6" spans="1:10">
      <c r="A6" s="4">
        <v>2</v>
      </c>
      <c r="B6" s="4" t="str">
        <f>"20200210102"</f>
        <v>20200210102</v>
      </c>
      <c r="C6" s="4">
        <v>1</v>
      </c>
      <c r="D6" s="4">
        <v>2</v>
      </c>
      <c r="E6" s="4" t="s">
        <v>11</v>
      </c>
      <c r="F6" s="4" t="str">
        <f>"王腾腾"</f>
        <v>王腾腾</v>
      </c>
      <c r="G6" s="4" t="str">
        <f t="shared" si="0"/>
        <v>女</v>
      </c>
      <c r="H6" s="4" t="str">
        <f>"1993-08-20"</f>
        <v>1993-08-20</v>
      </c>
      <c r="I6" s="4">
        <v>62.8</v>
      </c>
      <c r="J6" s="5"/>
    </row>
    <row r="7" spans="1:10">
      <c r="A7" s="4">
        <v>3</v>
      </c>
      <c r="B7" s="4" t="str">
        <f>"20200210103"</f>
        <v>20200210103</v>
      </c>
      <c r="C7" s="4">
        <v>1</v>
      </c>
      <c r="D7" s="4">
        <v>3</v>
      </c>
      <c r="E7" s="4" t="s">
        <v>11</v>
      </c>
      <c r="F7" s="4" t="str">
        <f>"姜楠"</f>
        <v>姜楠</v>
      </c>
      <c r="G7" s="4" t="str">
        <f t="shared" si="0"/>
        <v>女</v>
      </c>
      <c r="H7" s="4" t="str">
        <f>"1993-11-11"</f>
        <v>1993-11-11</v>
      </c>
      <c r="I7" s="4">
        <v>52.4</v>
      </c>
      <c r="J7" s="5"/>
    </row>
    <row r="8" spans="1:10">
      <c r="A8" s="4">
        <v>4</v>
      </c>
      <c r="B8" s="4" t="str">
        <f>"20200210104"</f>
        <v>20200210104</v>
      </c>
      <c r="C8" s="4">
        <v>1</v>
      </c>
      <c r="D8" s="4">
        <v>4</v>
      </c>
      <c r="E8" s="4" t="s">
        <v>11</v>
      </c>
      <c r="F8" s="4" t="str">
        <f>"赵甜甜"</f>
        <v>赵甜甜</v>
      </c>
      <c r="G8" s="4" t="str">
        <f t="shared" si="0"/>
        <v>女</v>
      </c>
      <c r="H8" s="4" t="str">
        <f>"1993-02-10"</f>
        <v>1993-02-10</v>
      </c>
      <c r="I8" s="4">
        <v>66.4</v>
      </c>
      <c r="J8" s="5"/>
    </row>
    <row r="9" spans="1:10">
      <c r="A9" s="4">
        <v>5</v>
      </c>
      <c r="B9" s="4" t="str">
        <f>"20200210105"</f>
        <v>20200210105</v>
      </c>
      <c r="C9" s="4">
        <v>1</v>
      </c>
      <c r="D9" s="4">
        <v>5</v>
      </c>
      <c r="E9" s="4" t="s">
        <v>11</v>
      </c>
      <c r="F9" s="4" t="str">
        <f>"李晓珍"</f>
        <v>李晓珍</v>
      </c>
      <c r="G9" s="4" t="str">
        <f t="shared" si="0"/>
        <v>女</v>
      </c>
      <c r="H9" s="4" t="str">
        <f>"1992-10-19"</f>
        <v>1992-10-19</v>
      </c>
      <c r="I9" s="4">
        <v>59.4</v>
      </c>
      <c r="J9" s="5"/>
    </row>
    <row r="10" spans="1:10">
      <c r="A10" s="4">
        <v>6</v>
      </c>
      <c r="B10" s="4" t="str">
        <f>"20200210106"</f>
        <v>20200210106</v>
      </c>
      <c r="C10" s="4">
        <v>1</v>
      </c>
      <c r="D10" s="4">
        <v>6</v>
      </c>
      <c r="E10" s="4" t="s">
        <v>11</v>
      </c>
      <c r="F10" s="4" t="str">
        <f>"张玉"</f>
        <v>张玉</v>
      </c>
      <c r="G10" s="4" t="str">
        <f t="shared" si="0"/>
        <v>女</v>
      </c>
      <c r="H10" s="4" t="str">
        <f>"1989-07-04"</f>
        <v>1989-07-04</v>
      </c>
      <c r="I10" s="4">
        <v>52.7</v>
      </c>
      <c r="J10" s="5"/>
    </row>
    <row r="11" spans="1:10">
      <c r="A11" s="4">
        <v>7</v>
      </c>
      <c r="B11" s="4" t="str">
        <f>"20200210107"</f>
        <v>20200210107</v>
      </c>
      <c r="C11" s="4">
        <v>1</v>
      </c>
      <c r="D11" s="4">
        <v>7</v>
      </c>
      <c r="E11" s="4" t="s">
        <v>11</v>
      </c>
      <c r="F11" s="4" t="str">
        <f>"李玉"</f>
        <v>李玉</v>
      </c>
      <c r="G11" s="4" t="str">
        <f t="shared" si="0"/>
        <v>女</v>
      </c>
      <c r="H11" s="4" t="str">
        <f>"1994-01-14"</f>
        <v>1994-01-14</v>
      </c>
      <c r="I11" s="4" t="s">
        <v>12</v>
      </c>
      <c r="J11" s="5"/>
    </row>
    <row r="12" spans="1:10">
      <c r="A12" s="4">
        <v>8</v>
      </c>
      <c r="B12" s="4" t="str">
        <f>"20200210108"</f>
        <v>20200210108</v>
      </c>
      <c r="C12" s="4">
        <v>1</v>
      </c>
      <c r="D12" s="4">
        <v>8</v>
      </c>
      <c r="E12" s="4" t="s">
        <v>11</v>
      </c>
      <c r="F12" s="4" t="str">
        <f>"刘文静"</f>
        <v>刘文静</v>
      </c>
      <c r="G12" s="4" t="str">
        <f t="shared" si="0"/>
        <v>女</v>
      </c>
      <c r="H12" s="4" t="str">
        <f>"1991-10-13"</f>
        <v>1991-10-13</v>
      </c>
      <c r="I12" s="4">
        <v>78.1</v>
      </c>
      <c r="J12" s="5"/>
    </row>
    <row r="13" spans="1:10">
      <c r="A13" s="4">
        <v>9</v>
      </c>
      <c r="B13" s="4" t="str">
        <f>"20200210109"</f>
        <v>20200210109</v>
      </c>
      <c r="C13" s="4">
        <v>1</v>
      </c>
      <c r="D13" s="4">
        <v>9</v>
      </c>
      <c r="E13" s="4" t="s">
        <v>11</v>
      </c>
      <c r="F13" s="4" t="str">
        <f>"刘玺"</f>
        <v>刘玺</v>
      </c>
      <c r="G13" s="4" t="str">
        <f>"男"</f>
        <v>男</v>
      </c>
      <c r="H13" s="4" t="str">
        <f>"1991-08-20"</f>
        <v>1991-08-20</v>
      </c>
      <c r="I13" s="4">
        <v>65.5</v>
      </c>
      <c r="J13" s="5"/>
    </row>
    <row r="14" spans="1:10">
      <c r="A14" s="4">
        <v>10</v>
      </c>
      <c r="B14" s="4" t="str">
        <f>"20200210110"</f>
        <v>20200210110</v>
      </c>
      <c r="C14" s="4">
        <v>1</v>
      </c>
      <c r="D14" s="4">
        <v>10</v>
      </c>
      <c r="E14" s="4" t="s">
        <v>11</v>
      </c>
      <c r="F14" s="4" t="str">
        <f>"王伟"</f>
        <v>王伟</v>
      </c>
      <c r="G14" s="4" t="str">
        <f t="shared" ref="G14:G20" si="1">"女"</f>
        <v>女</v>
      </c>
      <c r="H14" s="4" t="str">
        <f>"1989-09-20"</f>
        <v>1989-09-20</v>
      </c>
      <c r="I14" s="4">
        <v>62.8</v>
      </c>
      <c r="J14" s="5"/>
    </row>
    <row r="15" spans="1:10">
      <c r="A15" s="4">
        <v>11</v>
      </c>
      <c r="B15" s="4" t="str">
        <f>"20200210111"</f>
        <v>20200210111</v>
      </c>
      <c r="C15" s="4">
        <v>1</v>
      </c>
      <c r="D15" s="4">
        <v>11</v>
      </c>
      <c r="E15" s="4" t="s">
        <v>11</v>
      </c>
      <c r="F15" s="4" t="str">
        <f>"李沛"</f>
        <v>李沛</v>
      </c>
      <c r="G15" s="4" t="str">
        <f t="shared" si="1"/>
        <v>女</v>
      </c>
      <c r="H15" s="4" t="str">
        <f>"1990-06-10"</f>
        <v>1990-06-10</v>
      </c>
      <c r="I15" s="4">
        <v>73.6</v>
      </c>
      <c r="J15" s="5"/>
    </row>
    <row r="16" spans="1:10">
      <c r="A16" s="4">
        <v>12</v>
      </c>
      <c r="B16" s="4" t="str">
        <f>"20200210112"</f>
        <v>20200210112</v>
      </c>
      <c r="C16" s="4">
        <v>1</v>
      </c>
      <c r="D16" s="4">
        <v>12</v>
      </c>
      <c r="E16" s="4" t="s">
        <v>11</v>
      </c>
      <c r="F16" s="4" t="str">
        <f>"苗育菲"</f>
        <v>苗育菲</v>
      </c>
      <c r="G16" s="4" t="str">
        <f t="shared" si="1"/>
        <v>女</v>
      </c>
      <c r="H16" s="4" t="str">
        <f>"1990-11-16"</f>
        <v>1990-11-16</v>
      </c>
      <c r="I16" s="4">
        <v>57.4</v>
      </c>
      <c r="J16" s="5"/>
    </row>
    <row r="17" spans="1:10">
      <c r="A17" s="4">
        <v>13</v>
      </c>
      <c r="B17" s="4" t="str">
        <f>"20200210113"</f>
        <v>20200210113</v>
      </c>
      <c r="C17" s="4">
        <v>1</v>
      </c>
      <c r="D17" s="4">
        <v>13</v>
      </c>
      <c r="E17" s="4" t="s">
        <v>11</v>
      </c>
      <c r="F17" s="4" t="str">
        <f>"李莹"</f>
        <v>李莹</v>
      </c>
      <c r="G17" s="4" t="str">
        <f t="shared" si="1"/>
        <v>女</v>
      </c>
      <c r="H17" s="4" t="str">
        <f>"1992-03-11"</f>
        <v>1992-03-11</v>
      </c>
      <c r="I17" s="4">
        <v>55.4</v>
      </c>
      <c r="J17" s="5"/>
    </row>
    <row r="18" spans="1:10">
      <c r="A18" s="4">
        <v>14</v>
      </c>
      <c r="B18" s="4" t="str">
        <f>"20200210114"</f>
        <v>20200210114</v>
      </c>
      <c r="C18" s="4">
        <v>1</v>
      </c>
      <c r="D18" s="4">
        <v>14</v>
      </c>
      <c r="E18" s="4" t="s">
        <v>11</v>
      </c>
      <c r="F18" s="4" t="str">
        <f>"潘珊珊"</f>
        <v>潘珊珊</v>
      </c>
      <c r="G18" s="4" t="str">
        <f t="shared" si="1"/>
        <v>女</v>
      </c>
      <c r="H18" s="4" t="str">
        <f>"1989-04-12"</f>
        <v>1989-04-12</v>
      </c>
      <c r="I18" s="4">
        <v>61.9</v>
      </c>
      <c r="J18" s="5"/>
    </row>
    <row r="19" spans="1:10">
      <c r="A19" s="4">
        <v>15</v>
      </c>
      <c r="B19" s="4" t="str">
        <f>"20200210115"</f>
        <v>20200210115</v>
      </c>
      <c r="C19" s="4">
        <v>1</v>
      </c>
      <c r="D19" s="4">
        <v>15</v>
      </c>
      <c r="E19" s="4" t="s">
        <v>11</v>
      </c>
      <c r="F19" s="4" t="str">
        <f>"臧红映"</f>
        <v>臧红映</v>
      </c>
      <c r="G19" s="4" t="str">
        <f t="shared" si="1"/>
        <v>女</v>
      </c>
      <c r="H19" s="4" t="str">
        <f>"1988-04-10"</f>
        <v>1988-04-10</v>
      </c>
      <c r="I19" s="4">
        <v>61.5</v>
      </c>
      <c r="J19" s="5"/>
    </row>
    <row r="20" spans="1:10">
      <c r="A20" s="4">
        <v>16</v>
      </c>
      <c r="B20" s="4" t="str">
        <f>"20200210116"</f>
        <v>20200210116</v>
      </c>
      <c r="C20" s="4">
        <v>1</v>
      </c>
      <c r="D20" s="4">
        <v>16</v>
      </c>
      <c r="E20" s="4" t="s">
        <v>11</v>
      </c>
      <c r="F20" s="4" t="str">
        <f>"苏柯"</f>
        <v>苏柯</v>
      </c>
      <c r="G20" s="4" t="str">
        <f t="shared" si="1"/>
        <v>女</v>
      </c>
      <c r="H20" s="4" t="str">
        <f>"1987-02-02"</f>
        <v>1987-02-02</v>
      </c>
      <c r="I20" s="4">
        <v>60.7</v>
      </c>
      <c r="J20" s="5"/>
    </row>
    <row r="21" spans="1:10">
      <c r="A21" s="4">
        <v>17</v>
      </c>
      <c r="B21" s="4" t="str">
        <f>"20200210117"</f>
        <v>20200210117</v>
      </c>
      <c r="C21" s="4">
        <v>1</v>
      </c>
      <c r="D21" s="4">
        <v>17</v>
      </c>
      <c r="E21" s="4" t="s">
        <v>11</v>
      </c>
      <c r="F21" s="4" t="str">
        <f>"肖军均"</f>
        <v>肖军均</v>
      </c>
      <c r="G21" s="4" t="str">
        <f>"男"</f>
        <v>男</v>
      </c>
      <c r="H21" s="4" t="str">
        <f>"1988-10-30"</f>
        <v>1988-10-30</v>
      </c>
      <c r="I21" s="4">
        <v>58.5</v>
      </c>
      <c r="J21" s="5"/>
    </row>
    <row r="22" spans="1:10">
      <c r="A22" s="4">
        <v>18</v>
      </c>
      <c r="B22" s="4" t="str">
        <f>"20200210118"</f>
        <v>20200210118</v>
      </c>
      <c r="C22" s="4">
        <v>1</v>
      </c>
      <c r="D22" s="4">
        <v>18</v>
      </c>
      <c r="E22" s="4" t="s">
        <v>11</v>
      </c>
      <c r="F22" s="4" t="str">
        <f>"朱永鹏"</f>
        <v>朱永鹏</v>
      </c>
      <c r="G22" s="4" t="str">
        <f>"男"</f>
        <v>男</v>
      </c>
      <c r="H22" s="4" t="str">
        <f>"1986-04-04"</f>
        <v>1986-04-04</v>
      </c>
      <c r="I22" s="4">
        <v>72.8</v>
      </c>
      <c r="J22" s="5"/>
    </row>
    <row r="23" spans="1:10">
      <c r="A23" s="4">
        <v>19</v>
      </c>
      <c r="B23" s="4" t="str">
        <f>"20200210119"</f>
        <v>20200210119</v>
      </c>
      <c r="C23" s="4">
        <v>1</v>
      </c>
      <c r="D23" s="4">
        <v>19</v>
      </c>
      <c r="E23" s="4" t="s">
        <v>11</v>
      </c>
      <c r="F23" s="4" t="str">
        <f>"王洋"</f>
        <v>王洋</v>
      </c>
      <c r="G23" s="4" t="str">
        <f>"女"</f>
        <v>女</v>
      </c>
      <c r="H23" s="4" t="str">
        <f>"1991-08-04"</f>
        <v>1991-08-04</v>
      </c>
      <c r="I23" s="4">
        <v>64.2</v>
      </c>
      <c r="J23" s="5"/>
    </row>
    <row r="24" spans="1:10">
      <c r="A24" s="4">
        <v>20</v>
      </c>
      <c r="B24" s="4" t="str">
        <f>"20200210120"</f>
        <v>20200210120</v>
      </c>
      <c r="C24" s="4">
        <v>1</v>
      </c>
      <c r="D24" s="4">
        <v>20</v>
      </c>
      <c r="E24" s="4" t="s">
        <v>11</v>
      </c>
      <c r="F24" s="4" t="str">
        <f>"王万帅"</f>
        <v>王万帅</v>
      </c>
      <c r="G24" s="4" t="str">
        <f>"男"</f>
        <v>男</v>
      </c>
      <c r="H24" s="4" t="str">
        <f>"1986-09-20"</f>
        <v>1986-09-20</v>
      </c>
      <c r="I24" s="4">
        <v>61</v>
      </c>
      <c r="J24" s="5"/>
    </row>
    <row r="25" spans="1:10">
      <c r="A25" s="4">
        <v>21</v>
      </c>
      <c r="B25" s="4" t="str">
        <f>"20200210121"</f>
        <v>20200210121</v>
      </c>
      <c r="C25" s="4">
        <v>1</v>
      </c>
      <c r="D25" s="4">
        <v>21</v>
      </c>
      <c r="E25" s="4" t="s">
        <v>11</v>
      </c>
      <c r="F25" s="4" t="str">
        <f>"孙宇心"</f>
        <v>孙宇心</v>
      </c>
      <c r="G25" s="4" t="str">
        <f t="shared" ref="G25:G34" si="2">"女"</f>
        <v>女</v>
      </c>
      <c r="H25" s="4" t="str">
        <f>"1988-05-27"</f>
        <v>1988-05-27</v>
      </c>
      <c r="I25" s="4">
        <v>65.8</v>
      </c>
      <c r="J25" s="5"/>
    </row>
    <row r="26" spans="1:10">
      <c r="A26" s="4">
        <v>22</v>
      </c>
      <c r="B26" s="4" t="str">
        <f>"20200310122"</f>
        <v>20200310122</v>
      </c>
      <c r="C26" s="4">
        <v>1</v>
      </c>
      <c r="D26" s="4">
        <v>22</v>
      </c>
      <c r="E26" s="4" t="s">
        <v>13</v>
      </c>
      <c r="F26" s="4" t="str">
        <f>"马孟秋"</f>
        <v>马孟秋</v>
      </c>
      <c r="G26" s="4" t="str">
        <f t="shared" si="2"/>
        <v>女</v>
      </c>
      <c r="H26" s="4" t="str">
        <f>"1995-08-24"</f>
        <v>1995-08-24</v>
      </c>
      <c r="I26" s="4">
        <v>65.5</v>
      </c>
      <c r="J26" s="5"/>
    </row>
    <row r="27" spans="1:10">
      <c r="A27" s="4">
        <v>23</v>
      </c>
      <c r="B27" s="4" t="str">
        <f>"20200310123"</f>
        <v>20200310123</v>
      </c>
      <c r="C27" s="4">
        <v>1</v>
      </c>
      <c r="D27" s="4">
        <v>23</v>
      </c>
      <c r="E27" s="4" t="s">
        <v>13</v>
      </c>
      <c r="F27" s="4" t="str">
        <f>"彭仙"</f>
        <v>彭仙</v>
      </c>
      <c r="G27" s="4" t="str">
        <f t="shared" si="2"/>
        <v>女</v>
      </c>
      <c r="H27" s="4" t="str">
        <f>"1989-03-16"</f>
        <v>1989-03-16</v>
      </c>
      <c r="I27" s="4">
        <v>76.1</v>
      </c>
      <c r="J27" s="5"/>
    </row>
    <row r="28" spans="1:10">
      <c r="A28" s="4">
        <v>24</v>
      </c>
      <c r="B28" s="4" t="str">
        <f>"20200310124"</f>
        <v>20200310124</v>
      </c>
      <c r="C28" s="4">
        <v>1</v>
      </c>
      <c r="D28" s="4">
        <v>24</v>
      </c>
      <c r="E28" s="4" t="s">
        <v>13</v>
      </c>
      <c r="F28" s="4" t="str">
        <f>"徐清"</f>
        <v>徐清</v>
      </c>
      <c r="G28" s="4" t="str">
        <f t="shared" si="2"/>
        <v>女</v>
      </c>
      <c r="H28" s="4" t="str">
        <f>"1995-09-11"</f>
        <v>1995-09-11</v>
      </c>
      <c r="I28" s="4">
        <v>64.4</v>
      </c>
      <c r="J28" s="5"/>
    </row>
    <row r="29" spans="1:10">
      <c r="A29" s="4">
        <v>25</v>
      </c>
      <c r="B29" s="4" t="str">
        <f>"20200310125"</f>
        <v>20200310125</v>
      </c>
      <c r="C29" s="4">
        <v>1</v>
      </c>
      <c r="D29" s="4">
        <v>25</v>
      </c>
      <c r="E29" s="4" t="s">
        <v>13</v>
      </c>
      <c r="F29" s="4" t="str">
        <f>"张苗"</f>
        <v>张苗</v>
      </c>
      <c r="G29" s="4" t="str">
        <f t="shared" si="2"/>
        <v>女</v>
      </c>
      <c r="H29" s="4" t="str">
        <f>"1991-06-11"</f>
        <v>1991-06-11</v>
      </c>
      <c r="I29" s="4" t="s">
        <v>12</v>
      </c>
      <c r="J29" s="5"/>
    </row>
    <row r="30" spans="1:10">
      <c r="A30" s="4">
        <v>26</v>
      </c>
      <c r="B30" s="4" t="str">
        <f>"20200310126"</f>
        <v>20200310126</v>
      </c>
      <c r="C30" s="4">
        <v>1</v>
      </c>
      <c r="D30" s="4">
        <v>26</v>
      </c>
      <c r="E30" s="4" t="s">
        <v>13</v>
      </c>
      <c r="F30" s="4" t="str">
        <f>"张雅捷"</f>
        <v>张雅捷</v>
      </c>
      <c r="G30" s="4" t="str">
        <f t="shared" si="2"/>
        <v>女</v>
      </c>
      <c r="H30" s="4" t="str">
        <f>"1995-05-23"</f>
        <v>1995-05-23</v>
      </c>
      <c r="I30" s="4">
        <v>64.1</v>
      </c>
      <c r="J30" s="5"/>
    </row>
    <row r="31" spans="1:10">
      <c r="A31" s="4">
        <v>27</v>
      </c>
      <c r="B31" s="4" t="str">
        <f>"20200310127"</f>
        <v>20200310127</v>
      </c>
      <c r="C31" s="4">
        <v>1</v>
      </c>
      <c r="D31" s="4">
        <v>27</v>
      </c>
      <c r="E31" s="4" t="s">
        <v>13</v>
      </c>
      <c r="F31" s="4" t="str">
        <f>"宋金萨"</f>
        <v>宋金萨</v>
      </c>
      <c r="G31" s="4" t="str">
        <f t="shared" si="2"/>
        <v>女</v>
      </c>
      <c r="H31" s="4" t="str">
        <f>"1985-12-08"</f>
        <v>1985-12-08</v>
      </c>
      <c r="I31" s="4" t="s">
        <v>12</v>
      </c>
      <c r="J31" s="5"/>
    </row>
    <row r="32" spans="1:10">
      <c r="A32" s="4">
        <v>28</v>
      </c>
      <c r="B32" s="4" t="str">
        <f>"20200310128"</f>
        <v>20200310128</v>
      </c>
      <c r="C32" s="4">
        <v>1</v>
      </c>
      <c r="D32" s="4">
        <v>28</v>
      </c>
      <c r="E32" s="4" t="s">
        <v>13</v>
      </c>
      <c r="F32" s="4" t="str">
        <f>"尹晓丹"</f>
        <v>尹晓丹</v>
      </c>
      <c r="G32" s="4" t="str">
        <f t="shared" si="2"/>
        <v>女</v>
      </c>
      <c r="H32" s="4" t="str">
        <f>"1989-01-15"</f>
        <v>1989-01-15</v>
      </c>
      <c r="I32" s="4">
        <v>58.1</v>
      </c>
      <c r="J32" s="5"/>
    </row>
    <row r="33" spans="1:10">
      <c r="A33" s="4">
        <v>29</v>
      </c>
      <c r="B33" s="4" t="str">
        <f>"20200310129"</f>
        <v>20200310129</v>
      </c>
      <c r="C33" s="4">
        <v>1</v>
      </c>
      <c r="D33" s="4">
        <v>29</v>
      </c>
      <c r="E33" s="4" t="s">
        <v>13</v>
      </c>
      <c r="F33" s="4" t="str">
        <f>"赵灵茜"</f>
        <v>赵灵茜</v>
      </c>
      <c r="G33" s="4" t="str">
        <f t="shared" si="2"/>
        <v>女</v>
      </c>
      <c r="H33" s="4" t="str">
        <f>"1993-11-29"</f>
        <v>1993-11-29</v>
      </c>
      <c r="I33" s="4" t="s">
        <v>12</v>
      </c>
      <c r="J33" s="5"/>
    </row>
    <row r="34" spans="1:10">
      <c r="A34" s="4">
        <v>30</v>
      </c>
      <c r="B34" s="4" t="str">
        <f>"20200310130"</f>
        <v>20200310130</v>
      </c>
      <c r="C34" s="4">
        <v>1</v>
      </c>
      <c r="D34" s="4">
        <v>30</v>
      </c>
      <c r="E34" s="4" t="s">
        <v>13</v>
      </c>
      <c r="F34" s="4" t="str">
        <f>"李平"</f>
        <v>李平</v>
      </c>
      <c r="G34" s="4" t="str">
        <f t="shared" si="2"/>
        <v>女</v>
      </c>
      <c r="H34" s="4" t="str">
        <f>"1995-09-06"</f>
        <v>1995-09-06</v>
      </c>
      <c r="I34" s="4">
        <v>77.5</v>
      </c>
      <c r="J34" s="5"/>
    </row>
    <row r="35" spans="1:10">
      <c r="A35" s="4">
        <v>31</v>
      </c>
      <c r="B35" s="4" t="str">
        <f>"20200310201"</f>
        <v>20200310201</v>
      </c>
      <c r="C35" s="4">
        <v>2</v>
      </c>
      <c r="D35" s="4">
        <v>1</v>
      </c>
      <c r="E35" s="4" t="s">
        <v>13</v>
      </c>
      <c r="F35" s="4" t="str">
        <f>"王超"</f>
        <v>王超</v>
      </c>
      <c r="G35" s="4" t="str">
        <f>"男"</f>
        <v>男</v>
      </c>
      <c r="H35" s="4" t="str">
        <f>"1989-09-29"</f>
        <v>1989-09-29</v>
      </c>
      <c r="I35" s="4">
        <v>65.5</v>
      </c>
      <c r="J35" s="5"/>
    </row>
    <row r="36" spans="1:10">
      <c r="A36" s="4">
        <v>32</v>
      </c>
      <c r="B36" s="4" t="str">
        <f>"20200310202"</f>
        <v>20200310202</v>
      </c>
      <c r="C36" s="4">
        <v>2</v>
      </c>
      <c r="D36" s="4">
        <v>2</v>
      </c>
      <c r="E36" s="4" t="s">
        <v>13</v>
      </c>
      <c r="F36" s="4" t="str">
        <f>"石家欣"</f>
        <v>石家欣</v>
      </c>
      <c r="G36" s="4" t="str">
        <f>"女"</f>
        <v>女</v>
      </c>
      <c r="H36" s="4" t="str">
        <f>"1992-08-05"</f>
        <v>1992-08-05</v>
      </c>
      <c r="I36" s="4">
        <v>71.4</v>
      </c>
      <c r="J36" s="5"/>
    </row>
    <row r="37" spans="1:10">
      <c r="A37" s="4">
        <v>33</v>
      </c>
      <c r="B37" s="4" t="str">
        <f>"20200310203"</f>
        <v>20200310203</v>
      </c>
      <c r="C37" s="4">
        <v>2</v>
      </c>
      <c r="D37" s="4">
        <v>3</v>
      </c>
      <c r="E37" s="4" t="s">
        <v>13</v>
      </c>
      <c r="F37" s="4" t="str">
        <f>"牛蔚"</f>
        <v>牛蔚</v>
      </c>
      <c r="G37" s="4" t="str">
        <f>"女"</f>
        <v>女</v>
      </c>
      <c r="H37" s="4" t="str">
        <f>"1997-06-22"</f>
        <v>1997-06-22</v>
      </c>
      <c r="I37" s="4" t="s">
        <v>12</v>
      </c>
      <c r="J37" s="5"/>
    </row>
    <row r="38" spans="1:10">
      <c r="A38" s="4">
        <v>34</v>
      </c>
      <c r="B38" s="4" t="str">
        <f>"20200310204"</f>
        <v>20200310204</v>
      </c>
      <c r="C38" s="4">
        <v>2</v>
      </c>
      <c r="D38" s="4">
        <v>4</v>
      </c>
      <c r="E38" s="4" t="s">
        <v>13</v>
      </c>
      <c r="F38" s="4" t="str">
        <f>"邢明月"</f>
        <v>邢明月</v>
      </c>
      <c r="G38" s="4" t="str">
        <f>"女"</f>
        <v>女</v>
      </c>
      <c r="H38" s="4" t="str">
        <f>"1992-10-09"</f>
        <v>1992-10-09</v>
      </c>
      <c r="I38" s="4">
        <v>60.1</v>
      </c>
      <c r="J38" s="5"/>
    </row>
    <row r="39" spans="1:10">
      <c r="A39" s="4">
        <v>35</v>
      </c>
      <c r="B39" s="4" t="str">
        <f>"20200310205"</f>
        <v>20200310205</v>
      </c>
      <c r="C39" s="4">
        <v>2</v>
      </c>
      <c r="D39" s="4">
        <v>5</v>
      </c>
      <c r="E39" s="4" t="s">
        <v>13</v>
      </c>
      <c r="F39" s="4" t="str">
        <f>"齐艳好"</f>
        <v>齐艳好</v>
      </c>
      <c r="G39" s="4" t="str">
        <f>"女"</f>
        <v>女</v>
      </c>
      <c r="H39" s="4" t="str">
        <f>"1993-12-14"</f>
        <v>1993-12-14</v>
      </c>
      <c r="I39" s="4">
        <v>55</v>
      </c>
      <c r="J39" s="5"/>
    </row>
    <row r="40" spans="1:10">
      <c r="A40" s="4">
        <v>36</v>
      </c>
      <c r="B40" s="4" t="str">
        <f>"20200310206"</f>
        <v>20200310206</v>
      </c>
      <c r="C40" s="4">
        <v>2</v>
      </c>
      <c r="D40" s="4">
        <v>6</v>
      </c>
      <c r="E40" s="4" t="s">
        <v>13</v>
      </c>
      <c r="F40" s="4" t="str">
        <f>"袁晶晶"</f>
        <v>袁晶晶</v>
      </c>
      <c r="G40" s="4" t="str">
        <f>"女"</f>
        <v>女</v>
      </c>
      <c r="H40" s="4" t="str">
        <f>"1990-10-05"</f>
        <v>1990-10-05</v>
      </c>
      <c r="I40" s="4" t="s">
        <v>12</v>
      </c>
      <c r="J40" s="5"/>
    </row>
    <row r="41" spans="1:10">
      <c r="A41" s="4">
        <v>37</v>
      </c>
      <c r="B41" s="4" t="str">
        <f>"20200310207"</f>
        <v>20200310207</v>
      </c>
      <c r="C41" s="4">
        <v>2</v>
      </c>
      <c r="D41" s="4">
        <v>7</v>
      </c>
      <c r="E41" s="4" t="s">
        <v>13</v>
      </c>
      <c r="F41" s="4" t="str">
        <f>"刘千钧"</f>
        <v>刘千钧</v>
      </c>
      <c r="G41" s="4" t="str">
        <f>"男"</f>
        <v>男</v>
      </c>
      <c r="H41" s="4" t="str">
        <f>"1992-03-28"</f>
        <v>1992-03-28</v>
      </c>
      <c r="I41" s="4">
        <v>46.4</v>
      </c>
      <c r="J41" s="5"/>
    </row>
    <row r="42" spans="1:10">
      <c r="A42" s="4">
        <v>38</v>
      </c>
      <c r="B42" s="4" t="str">
        <f>"20200310208"</f>
        <v>20200310208</v>
      </c>
      <c r="C42" s="4">
        <v>2</v>
      </c>
      <c r="D42" s="4">
        <v>8</v>
      </c>
      <c r="E42" s="4" t="s">
        <v>13</v>
      </c>
      <c r="F42" s="4" t="str">
        <f>"郭萌"</f>
        <v>郭萌</v>
      </c>
      <c r="G42" s="4" t="str">
        <f t="shared" ref="G42:G49" si="3">"女"</f>
        <v>女</v>
      </c>
      <c r="H42" s="4" t="str">
        <f>"1996-02-19"</f>
        <v>1996-02-19</v>
      </c>
      <c r="I42" s="4">
        <v>75.5</v>
      </c>
      <c r="J42" s="5"/>
    </row>
    <row r="43" spans="1:10">
      <c r="A43" s="4">
        <v>39</v>
      </c>
      <c r="B43" s="4" t="str">
        <f>"20200310209"</f>
        <v>20200310209</v>
      </c>
      <c r="C43" s="4">
        <v>2</v>
      </c>
      <c r="D43" s="4">
        <v>9</v>
      </c>
      <c r="E43" s="4" t="s">
        <v>13</v>
      </c>
      <c r="F43" s="4" t="str">
        <f>"杨洋"</f>
        <v>杨洋</v>
      </c>
      <c r="G43" s="4" t="str">
        <f t="shared" si="3"/>
        <v>女</v>
      </c>
      <c r="H43" s="4" t="str">
        <f>"1992-05-24"</f>
        <v>1992-05-24</v>
      </c>
      <c r="I43" s="4" t="s">
        <v>12</v>
      </c>
      <c r="J43" s="5"/>
    </row>
    <row r="44" spans="1:10">
      <c r="A44" s="4">
        <v>40</v>
      </c>
      <c r="B44" s="4" t="str">
        <f>"20200310210"</f>
        <v>20200310210</v>
      </c>
      <c r="C44" s="4">
        <v>2</v>
      </c>
      <c r="D44" s="4">
        <v>10</v>
      </c>
      <c r="E44" s="4" t="s">
        <v>13</v>
      </c>
      <c r="F44" s="4" t="str">
        <f>"王文静"</f>
        <v>王文静</v>
      </c>
      <c r="G44" s="4" t="str">
        <f t="shared" si="3"/>
        <v>女</v>
      </c>
      <c r="H44" s="4" t="str">
        <f>"1992-03-12"</f>
        <v>1992-03-12</v>
      </c>
      <c r="I44" s="4" t="s">
        <v>12</v>
      </c>
      <c r="J44" s="5"/>
    </row>
    <row r="45" spans="1:10">
      <c r="A45" s="4">
        <v>41</v>
      </c>
      <c r="B45" s="4" t="str">
        <f>"20200310211"</f>
        <v>20200310211</v>
      </c>
      <c r="C45" s="4">
        <v>2</v>
      </c>
      <c r="D45" s="4">
        <v>11</v>
      </c>
      <c r="E45" s="4" t="s">
        <v>13</v>
      </c>
      <c r="F45" s="4" t="str">
        <f>"崔璨"</f>
        <v>崔璨</v>
      </c>
      <c r="G45" s="4" t="str">
        <f t="shared" si="3"/>
        <v>女</v>
      </c>
      <c r="H45" s="4" t="str">
        <f>"1993-06-15"</f>
        <v>1993-06-15</v>
      </c>
      <c r="I45" s="4">
        <v>60</v>
      </c>
      <c r="J45" s="5"/>
    </row>
    <row r="46" spans="1:10">
      <c r="A46" s="4">
        <v>42</v>
      </c>
      <c r="B46" s="4" t="str">
        <f>"20200310212"</f>
        <v>20200310212</v>
      </c>
      <c r="C46" s="4">
        <v>2</v>
      </c>
      <c r="D46" s="4">
        <v>12</v>
      </c>
      <c r="E46" s="4" t="s">
        <v>13</v>
      </c>
      <c r="F46" s="4" t="str">
        <f>"刘倩"</f>
        <v>刘倩</v>
      </c>
      <c r="G46" s="4" t="str">
        <f t="shared" si="3"/>
        <v>女</v>
      </c>
      <c r="H46" s="4" t="str">
        <f>"1988-12-15"</f>
        <v>1988-12-15</v>
      </c>
      <c r="I46" s="4" t="s">
        <v>12</v>
      </c>
      <c r="J46" s="5"/>
    </row>
    <row r="47" spans="1:10">
      <c r="A47" s="4">
        <v>43</v>
      </c>
      <c r="B47" s="4" t="str">
        <f>"20200310213"</f>
        <v>20200310213</v>
      </c>
      <c r="C47" s="4">
        <v>2</v>
      </c>
      <c r="D47" s="4">
        <v>13</v>
      </c>
      <c r="E47" s="4" t="s">
        <v>13</v>
      </c>
      <c r="F47" s="4" t="str">
        <f>"陈阳璐"</f>
        <v>陈阳璐</v>
      </c>
      <c r="G47" s="4" t="str">
        <f t="shared" si="3"/>
        <v>女</v>
      </c>
      <c r="H47" s="4" t="str">
        <f>"1991-03-07"</f>
        <v>1991-03-07</v>
      </c>
      <c r="I47" s="4">
        <v>71.5</v>
      </c>
      <c r="J47" s="5"/>
    </row>
    <row r="48" spans="1:10">
      <c r="A48" s="4">
        <v>44</v>
      </c>
      <c r="B48" s="4" t="str">
        <f>"20200310214"</f>
        <v>20200310214</v>
      </c>
      <c r="C48" s="4">
        <v>2</v>
      </c>
      <c r="D48" s="4">
        <v>14</v>
      </c>
      <c r="E48" s="4" t="s">
        <v>13</v>
      </c>
      <c r="F48" s="4" t="str">
        <f>"龚倩冰"</f>
        <v>龚倩冰</v>
      </c>
      <c r="G48" s="4" t="str">
        <f t="shared" si="3"/>
        <v>女</v>
      </c>
      <c r="H48" s="4" t="str">
        <f>"1994-01-21"</f>
        <v>1994-01-21</v>
      </c>
      <c r="I48" s="4" t="s">
        <v>12</v>
      </c>
      <c r="J48" s="5"/>
    </row>
    <row r="49" spans="1:10">
      <c r="A49" s="4">
        <v>45</v>
      </c>
      <c r="B49" s="4" t="str">
        <f>"20200310215"</f>
        <v>20200310215</v>
      </c>
      <c r="C49" s="4">
        <v>2</v>
      </c>
      <c r="D49" s="4">
        <v>15</v>
      </c>
      <c r="E49" s="4" t="s">
        <v>13</v>
      </c>
      <c r="F49" s="4" t="str">
        <f>"孙新焕"</f>
        <v>孙新焕</v>
      </c>
      <c r="G49" s="4" t="str">
        <f t="shared" si="3"/>
        <v>女</v>
      </c>
      <c r="H49" s="4" t="str">
        <f>"1992-10-06"</f>
        <v>1992-10-06</v>
      </c>
      <c r="I49" s="4">
        <v>63.8</v>
      </c>
      <c r="J49" s="5"/>
    </row>
    <row r="50" spans="1:10">
      <c r="A50" s="4">
        <v>46</v>
      </c>
      <c r="B50" s="4" t="str">
        <f>"20200410216"</f>
        <v>20200410216</v>
      </c>
      <c r="C50" s="4">
        <v>2</v>
      </c>
      <c r="D50" s="4">
        <v>16</v>
      </c>
      <c r="E50" s="4" t="s">
        <v>14</v>
      </c>
      <c r="F50" s="4" t="str">
        <f>"张玉飞"</f>
        <v>张玉飞</v>
      </c>
      <c r="G50" s="4" t="str">
        <f>"男"</f>
        <v>男</v>
      </c>
      <c r="H50" s="4" t="str">
        <f>"1986-05-27"</f>
        <v>1986-05-27</v>
      </c>
      <c r="I50" s="4" t="s">
        <v>12</v>
      </c>
      <c r="J50" s="5"/>
    </row>
    <row r="51" spans="1:10">
      <c r="A51" s="4">
        <v>47</v>
      </c>
      <c r="B51" s="4" t="str">
        <f>"20200410217"</f>
        <v>20200410217</v>
      </c>
      <c r="C51" s="4">
        <v>2</v>
      </c>
      <c r="D51" s="4">
        <v>17</v>
      </c>
      <c r="E51" s="4" t="s">
        <v>14</v>
      </c>
      <c r="F51" s="4" t="str">
        <f>"禹梦"</f>
        <v>禹梦</v>
      </c>
      <c r="G51" s="4" t="str">
        <f>"女"</f>
        <v>女</v>
      </c>
      <c r="H51" s="4" t="str">
        <f>"1993-07-20"</f>
        <v>1993-07-20</v>
      </c>
      <c r="I51" s="4">
        <v>62.4</v>
      </c>
      <c r="J51" s="5"/>
    </row>
    <row r="52" spans="1:10">
      <c r="A52" s="4">
        <v>48</v>
      </c>
      <c r="B52" s="4" t="str">
        <f>"20200410218"</f>
        <v>20200410218</v>
      </c>
      <c r="C52" s="4">
        <v>2</v>
      </c>
      <c r="D52" s="4">
        <v>18</v>
      </c>
      <c r="E52" s="4" t="s">
        <v>14</v>
      </c>
      <c r="F52" s="4" t="str">
        <f>"韩旭"</f>
        <v>韩旭</v>
      </c>
      <c r="G52" s="4" t="str">
        <f>"男"</f>
        <v>男</v>
      </c>
      <c r="H52" s="4" t="str">
        <f>"1986-03-22"</f>
        <v>1986-03-22</v>
      </c>
      <c r="I52" s="4">
        <v>58.4</v>
      </c>
      <c r="J52" s="5"/>
    </row>
    <row r="53" spans="1:10">
      <c r="A53" s="4">
        <v>49</v>
      </c>
      <c r="B53" s="4" t="str">
        <f>"20200410219"</f>
        <v>20200410219</v>
      </c>
      <c r="C53" s="4">
        <v>2</v>
      </c>
      <c r="D53" s="4">
        <v>19</v>
      </c>
      <c r="E53" s="4" t="s">
        <v>14</v>
      </c>
      <c r="F53" s="4" t="str">
        <f>"朱烨"</f>
        <v>朱烨</v>
      </c>
      <c r="G53" s="4" t="str">
        <f>"女"</f>
        <v>女</v>
      </c>
      <c r="H53" s="4" t="str">
        <f>"1993-10-16"</f>
        <v>1993-10-16</v>
      </c>
      <c r="I53" s="4" t="s">
        <v>12</v>
      </c>
      <c r="J53" s="5"/>
    </row>
    <row r="54" spans="1:10">
      <c r="A54" s="4">
        <v>50</v>
      </c>
      <c r="B54" s="4" t="str">
        <f>"20200410220"</f>
        <v>20200410220</v>
      </c>
      <c r="C54" s="4">
        <v>2</v>
      </c>
      <c r="D54" s="4">
        <v>20</v>
      </c>
      <c r="E54" s="4" t="s">
        <v>14</v>
      </c>
      <c r="F54" s="4" t="str">
        <f>"冯雪"</f>
        <v>冯雪</v>
      </c>
      <c r="G54" s="4" t="str">
        <f>"女"</f>
        <v>女</v>
      </c>
      <c r="H54" s="4" t="str">
        <f>"1993-11-14"</f>
        <v>1993-11-14</v>
      </c>
      <c r="I54" s="4">
        <v>71</v>
      </c>
      <c r="J54" s="5"/>
    </row>
    <row r="55" spans="1:10">
      <c r="A55" s="4">
        <v>51</v>
      </c>
      <c r="B55" s="4" t="str">
        <f>"20200410221"</f>
        <v>20200410221</v>
      </c>
      <c r="C55" s="4">
        <v>2</v>
      </c>
      <c r="D55" s="4">
        <v>21</v>
      </c>
      <c r="E55" s="4" t="s">
        <v>14</v>
      </c>
      <c r="F55" s="4" t="str">
        <f>" 马文"</f>
        <v> 马文</v>
      </c>
      <c r="G55" s="4" t="str">
        <f>"女"</f>
        <v>女</v>
      </c>
      <c r="H55" s="4" t="str">
        <f>"1994-08-04"</f>
        <v>1994-08-04</v>
      </c>
      <c r="I55" s="4">
        <v>76.8</v>
      </c>
      <c r="J55" s="5"/>
    </row>
    <row r="56" spans="1:10">
      <c r="A56" s="4">
        <v>52</v>
      </c>
      <c r="B56" s="4" t="str">
        <f>"20200410222"</f>
        <v>20200410222</v>
      </c>
      <c r="C56" s="4">
        <v>2</v>
      </c>
      <c r="D56" s="4">
        <v>22</v>
      </c>
      <c r="E56" s="4" t="s">
        <v>14</v>
      </c>
      <c r="F56" s="4" t="str">
        <f>"冯筱曼"</f>
        <v>冯筱曼</v>
      </c>
      <c r="G56" s="4" t="str">
        <f>"女"</f>
        <v>女</v>
      </c>
      <c r="H56" s="4" t="str">
        <f>"1992-04-26"</f>
        <v>1992-04-26</v>
      </c>
      <c r="I56" s="4">
        <v>54.4</v>
      </c>
      <c r="J56" s="5"/>
    </row>
    <row r="57" spans="1:10">
      <c r="A57" s="4">
        <v>53</v>
      </c>
      <c r="B57" s="4" t="str">
        <f>"20200410223"</f>
        <v>20200410223</v>
      </c>
      <c r="C57" s="4">
        <v>2</v>
      </c>
      <c r="D57" s="4">
        <v>23</v>
      </c>
      <c r="E57" s="4" t="s">
        <v>14</v>
      </c>
      <c r="F57" s="4" t="str">
        <f>"王小明"</f>
        <v>王小明</v>
      </c>
      <c r="G57" s="4" t="str">
        <f>"男"</f>
        <v>男</v>
      </c>
      <c r="H57" s="4" t="str">
        <f>"1989-12-02"</f>
        <v>1989-12-02</v>
      </c>
      <c r="I57" s="4" t="s">
        <v>12</v>
      </c>
      <c r="J57" s="5"/>
    </row>
    <row r="58" spans="1:10">
      <c r="A58" s="4">
        <v>54</v>
      </c>
      <c r="B58" s="4" t="str">
        <f>"20200410224"</f>
        <v>20200410224</v>
      </c>
      <c r="C58" s="4">
        <v>2</v>
      </c>
      <c r="D58" s="4">
        <v>24</v>
      </c>
      <c r="E58" s="4" t="s">
        <v>14</v>
      </c>
      <c r="F58" s="4" t="str">
        <f>"吕之奇"</f>
        <v>吕之奇</v>
      </c>
      <c r="G58" s="4" t="str">
        <f t="shared" ref="G58:G67" si="4">"女"</f>
        <v>女</v>
      </c>
      <c r="H58" s="4" t="str">
        <f>"1994-12-05"</f>
        <v>1994-12-05</v>
      </c>
      <c r="I58" s="4">
        <v>66.8</v>
      </c>
      <c r="J58" s="5"/>
    </row>
    <row r="59" spans="1:10">
      <c r="A59" s="4">
        <v>55</v>
      </c>
      <c r="B59" s="4" t="str">
        <f>"20200410225"</f>
        <v>20200410225</v>
      </c>
      <c r="C59" s="4">
        <v>2</v>
      </c>
      <c r="D59" s="4">
        <v>25</v>
      </c>
      <c r="E59" s="4" t="s">
        <v>14</v>
      </c>
      <c r="F59" s="4" t="str">
        <f>"范清勉"</f>
        <v>范清勉</v>
      </c>
      <c r="G59" s="4" t="str">
        <f t="shared" si="4"/>
        <v>女</v>
      </c>
      <c r="H59" s="4" t="str">
        <f>"1992-04-18"</f>
        <v>1992-04-18</v>
      </c>
      <c r="I59" s="4">
        <v>68.8</v>
      </c>
      <c r="J59" s="5"/>
    </row>
    <row r="60" spans="1:10">
      <c r="A60" s="4">
        <v>56</v>
      </c>
      <c r="B60" s="4" t="str">
        <f>"20200410226"</f>
        <v>20200410226</v>
      </c>
      <c r="C60" s="4">
        <v>2</v>
      </c>
      <c r="D60" s="4">
        <v>26</v>
      </c>
      <c r="E60" s="4" t="s">
        <v>14</v>
      </c>
      <c r="F60" s="4" t="str">
        <f>"宋荣荣"</f>
        <v>宋荣荣</v>
      </c>
      <c r="G60" s="4" t="str">
        <f t="shared" si="4"/>
        <v>女</v>
      </c>
      <c r="H60" s="4" t="str">
        <f>"1988-10-05"</f>
        <v>1988-10-05</v>
      </c>
      <c r="I60" s="4">
        <v>58.6</v>
      </c>
      <c r="J60" s="5"/>
    </row>
    <row r="61" spans="1:10">
      <c r="A61" s="4">
        <v>57</v>
      </c>
      <c r="B61" s="4" t="str">
        <f>"20200410227"</f>
        <v>20200410227</v>
      </c>
      <c r="C61" s="4">
        <v>2</v>
      </c>
      <c r="D61" s="4">
        <v>27</v>
      </c>
      <c r="E61" s="4" t="s">
        <v>14</v>
      </c>
      <c r="F61" s="4" t="str">
        <f>"赵璐"</f>
        <v>赵璐</v>
      </c>
      <c r="G61" s="4" t="str">
        <f t="shared" si="4"/>
        <v>女</v>
      </c>
      <c r="H61" s="4" t="str">
        <f>"1994-02-03"</f>
        <v>1994-02-03</v>
      </c>
      <c r="I61" s="4" t="s">
        <v>12</v>
      </c>
      <c r="J61" s="5"/>
    </row>
    <row r="62" spans="1:10">
      <c r="A62" s="4">
        <v>58</v>
      </c>
      <c r="B62" s="4" t="str">
        <f>"20200810228"</f>
        <v>20200810228</v>
      </c>
      <c r="C62" s="4">
        <v>2</v>
      </c>
      <c r="D62" s="4">
        <v>28</v>
      </c>
      <c r="E62" s="4" t="s">
        <v>15</v>
      </c>
      <c r="F62" s="4" t="str">
        <f>"陈莹"</f>
        <v>陈莹</v>
      </c>
      <c r="G62" s="4" t="str">
        <f t="shared" si="4"/>
        <v>女</v>
      </c>
      <c r="H62" s="4" t="str">
        <f>"1989-05-12"</f>
        <v>1989-05-12</v>
      </c>
      <c r="I62" s="4">
        <v>70.1</v>
      </c>
      <c r="J62" s="5"/>
    </row>
    <row r="63" spans="1:10">
      <c r="A63" s="4">
        <v>59</v>
      </c>
      <c r="B63" s="4" t="str">
        <f>"20200810229"</f>
        <v>20200810229</v>
      </c>
      <c r="C63" s="4">
        <v>2</v>
      </c>
      <c r="D63" s="4">
        <v>29</v>
      </c>
      <c r="E63" s="4" t="s">
        <v>15</v>
      </c>
      <c r="F63" s="4" t="str">
        <f>"徐卫珍"</f>
        <v>徐卫珍</v>
      </c>
      <c r="G63" s="4" t="str">
        <f t="shared" si="4"/>
        <v>女</v>
      </c>
      <c r="H63" s="4" t="str">
        <f>"1988-06-28"</f>
        <v>1988-06-28</v>
      </c>
      <c r="I63" s="4">
        <v>71.1</v>
      </c>
      <c r="J63" s="5"/>
    </row>
    <row r="64" spans="1:10">
      <c r="A64" s="4">
        <v>60</v>
      </c>
      <c r="B64" s="4" t="str">
        <f>"20200810230"</f>
        <v>20200810230</v>
      </c>
      <c r="C64" s="4">
        <v>2</v>
      </c>
      <c r="D64" s="4">
        <v>30</v>
      </c>
      <c r="E64" s="4" t="s">
        <v>15</v>
      </c>
      <c r="F64" s="4" t="str">
        <f>"张明月"</f>
        <v>张明月</v>
      </c>
      <c r="G64" s="4" t="str">
        <f t="shared" si="4"/>
        <v>女</v>
      </c>
      <c r="H64" s="4" t="str">
        <f>"1994-07-26"</f>
        <v>1994-07-26</v>
      </c>
      <c r="I64" s="4">
        <v>66.2</v>
      </c>
      <c r="J64" s="5"/>
    </row>
    <row r="65" spans="1:10">
      <c r="A65" s="4">
        <v>61</v>
      </c>
      <c r="B65" s="4" t="str">
        <f>"20200810301"</f>
        <v>20200810301</v>
      </c>
      <c r="C65" s="4">
        <v>3</v>
      </c>
      <c r="D65" s="4">
        <v>1</v>
      </c>
      <c r="E65" s="4" t="s">
        <v>15</v>
      </c>
      <c r="F65" s="4" t="str">
        <f>"黄阳"</f>
        <v>黄阳</v>
      </c>
      <c r="G65" s="4" t="str">
        <f t="shared" si="4"/>
        <v>女</v>
      </c>
      <c r="H65" s="4" t="str">
        <f>"1995-06-02"</f>
        <v>1995-06-02</v>
      </c>
      <c r="I65" s="4" t="s">
        <v>12</v>
      </c>
      <c r="J65" s="5"/>
    </row>
    <row r="66" spans="1:10">
      <c r="A66" s="4">
        <v>62</v>
      </c>
      <c r="B66" s="4" t="str">
        <f>"20200810302"</f>
        <v>20200810302</v>
      </c>
      <c r="C66" s="4">
        <v>3</v>
      </c>
      <c r="D66" s="4">
        <v>2</v>
      </c>
      <c r="E66" s="4" t="s">
        <v>15</v>
      </c>
      <c r="F66" s="4" t="str">
        <f>"唐元元"</f>
        <v>唐元元</v>
      </c>
      <c r="G66" s="4" t="str">
        <f t="shared" si="4"/>
        <v>女</v>
      </c>
      <c r="H66" s="4" t="str">
        <f>"1988-01-16"</f>
        <v>1988-01-16</v>
      </c>
      <c r="I66" s="4">
        <v>73.8</v>
      </c>
      <c r="J66" s="5"/>
    </row>
    <row r="67" spans="1:10">
      <c r="A67" s="4">
        <v>63</v>
      </c>
      <c r="B67" s="4" t="str">
        <f>"20200810303"</f>
        <v>20200810303</v>
      </c>
      <c r="C67" s="4">
        <v>3</v>
      </c>
      <c r="D67" s="4">
        <v>3</v>
      </c>
      <c r="E67" s="4" t="s">
        <v>15</v>
      </c>
      <c r="F67" s="4" t="str">
        <f>"康运霞"</f>
        <v>康运霞</v>
      </c>
      <c r="G67" s="4" t="str">
        <f t="shared" si="4"/>
        <v>女</v>
      </c>
      <c r="H67" s="4" t="str">
        <f>"1990-01-22"</f>
        <v>1990-01-22</v>
      </c>
      <c r="I67" s="4" t="s">
        <v>12</v>
      </c>
      <c r="J67" s="5"/>
    </row>
    <row r="68" spans="1:10">
      <c r="A68" s="4">
        <v>64</v>
      </c>
      <c r="B68" s="4" t="str">
        <f>"20200810304"</f>
        <v>20200810304</v>
      </c>
      <c r="C68" s="4">
        <v>3</v>
      </c>
      <c r="D68" s="4">
        <v>4</v>
      </c>
      <c r="E68" s="4" t="s">
        <v>15</v>
      </c>
      <c r="F68" s="4" t="str">
        <f>"马冬清"</f>
        <v>马冬清</v>
      </c>
      <c r="G68" s="4" t="str">
        <f>"男"</f>
        <v>男</v>
      </c>
      <c r="H68" s="4" t="str">
        <f>"1985-10-11"</f>
        <v>1985-10-11</v>
      </c>
      <c r="I68" s="4">
        <v>56.7</v>
      </c>
      <c r="J68" s="5"/>
    </row>
    <row r="69" spans="1:10">
      <c r="A69" s="4">
        <v>65</v>
      </c>
      <c r="B69" s="4" t="str">
        <f>"20200810305"</f>
        <v>20200810305</v>
      </c>
      <c r="C69" s="4">
        <v>3</v>
      </c>
      <c r="D69" s="4">
        <v>5</v>
      </c>
      <c r="E69" s="4" t="s">
        <v>15</v>
      </c>
      <c r="F69" s="4" t="str">
        <f>"岳闪闪"</f>
        <v>岳闪闪</v>
      </c>
      <c r="G69" s="4" t="str">
        <f t="shared" ref="G69:G84" si="5">"女"</f>
        <v>女</v>
      </c>
      <c r="H69" s="4" t="str">
        <f>"1988-09-08"</f>
        <v>1988-09-08</v>
      </c>
      <c r="I69" s="4">
        <v>58.4</v>
      </c>
      <c r="J69" s="5"/>
    </row>
    <row r="70" spans="1:10">
      <c r="A70" s="4">
        <v>66</v>
      </c>
      <c r="B70" s="4" t="str">
        <f>"20200810306"</f>
        <v>20200810306</v>
      </c>
      <c r="C70" s="4">
        <v>3</v>
      </c>
      <c r="D70" s="4">
        <v>6</v>
      </c>
      <c r="E70" s="4" t="s">
        <v>15</v>
      </c>
      <c r="F70" s="4" t="str">
        <f>"陈冬月"</f>
        <v>陈冬月</v>
      </c>
      <c r="G70" s="4" t="str">
        <f t="shared" si="5"/>
        <v>女</v>
      </c>
      <c r="H70" s="4" t="str">
        <f>"1991-11-10"</f>
        <v>1991-11-10</v>
      </c>
      <c r="I70" s="4">
        <v>64.7</v>
      </c>
      <c r="J70" s="5"/>
    </row>
    <row r="71" spans="1:10">
      <c r="A71" s="4">
        <v>67</v>
      </c>
      <c r="B71" s="4" t="str">
        <f>"20200810307"</f>
        <v>20200810307</v>
      </c>
      <c r="C71" s="4">
        <v>3</v>
      </c>
      <c r="D71" s="4">
        <v>7</v>
      </c>
      <c r="E71" s="4" t="s">
        <v>15</v>
      </c>
      <c r="F71" s="4" t="str">
        <f>"吉姝颖"</f>
        <v>吉姝颖</v>
      </c>
      <c r="G71" s="4" t="str">
        <f t="shared" si="5"/>
        <v>女</v>
      </c>
      <c r="H71" s="4" t="str">
        <f>"1994-06-04"</f>
        <v>1994-06-04</v>
      </c>
      <c r="I71" s="4" t="s">
        <v>12</v>
      </c>
      <c r="J71" s="5"/>
    </row>
    <row r="72" spans="1:10">
      <c r="A72" s="4">
        <v>68</v>
      </c>
      <c r="B72" s="4" t="str">
        <f>"20200810308"</f>
        <v>20200810308</v>
      </c>
      <c r="C72" s="4">
        <v>3</v>
      </c>
      <c r="D72" s="4">
        <v>8</v>
      </c>
      <c r="E72" s="4" t="s">
        <v>15</v>
      </c>
      <c r="F72" s="4" t="str">
        <f>"白宏宇"</f>
        <v>白宏宇</v>
      </c>
      <c r="G72" s="4" t="str">
        <f t="shared" si="5"/>
        <v>女</v>
      </c>
      <c r="H72" s="4" t="str">
        <f>"1992-04-10"</f>
        <v>1992-04-10</v>
      </c>
      <c r="I72" s="4">
        <v>51.6</v>
      </c>
      <c r="J72" s="5"/>
    </row>
    <row r="73" spans="1:10">
      <c r="A73" s="4">
        <v>69</v>
      </c>
      <c r="B73" s="4" t="str">
        <f>"20200810309"</f>
        <v>20200810309</v>
      </c>
      <c r="C73" s="4">
        <v>3</v>
      </c>
      <c r="D73" s="4">
        <v>9</v>
      </c>
      <c r="E73" s="4" t="s">
        <v>15</v>
      </c>
      <c r="F73" s="4" t="str">
        <f>"周倩"</f>
        <v>周倩</v>
      </c>
      <c r="G73" s="4" t="str">
        <f t="shared" si="5"/>
        <v>女</v>
      </c>
      <c r="H73" s="4" t="str">
        <f>"1995-04-15"</f>
        <v>1995-04-15</v>
      </c>
      <c r="I73" s="4" t="s">
        <v>12</v>
      </c>
      <c r="J73" s="5"/>
    </row>
    <row r="74" spans="1:10">
      <c r="A74" s="4">
        <v>70</v>
      </c>
      <c r="B74" s="4" t="str">
        <f>"20200810310"</f>
        <v>20200810310</v>
      </c>
      <c r="C74" s="4">
        <v>3</v>
      </c>
      <c r="D74" s="4">
        <v>10</v>
      </c>
      <c r="E74" s="4" t="s">
        <v>15</v>
      </c>
      <c r="F74" s="4" t="str">
        <f>"许丹"</f>
        <v>许丹</v>
      </c>
      <c r="G74" s="4" t="str">
        <f t="shared" si="5"/>
        <v>女</v>
      </c>
      <c r="H74" s="4" t="str">
        <f>"1991-01-13"</f>
        <v>1991-01-13</v>
      </c>
      <c r="I74" s="4">
        <v>77.1</v>
      </c>
      <c r="J74" s="5"/>
    </row>
    <row r="75" spans="1:10">
      <c r="A75" s="4">
        <v>71</v>
      </c>
      <c r="B75" s="4" t="str">
        <f>"20200810311"</f>
        <v>20200810311</v>
      </c>
      <c r="C75" s="4">
        <v>3</v>
      </c>
      <c r="D75" s="4">
        <v>11</v>
      </c>
      <c r="E75" s="4" t="s">
        <v>15</v>
      </c>
      <c r="F75" s="4" t="str">
        <f>"刘会杰"</f>
        <v>刘会杰</v>
      </c>
      <c r="G75" s="4" t="str">
        <f t="shared" si="5"/>
        <v>女</v>
      </c>
      <c r="H75" s="4" t="str">
        <f>"1988-08-20"</f>
        <v>1988-08-20</v>
      </c>
      <c r="I75" s="4">
        <v>73.1</v>
      </c>
      <c r="J75" s="5"/>
    </row>
    <row r="76" spans="1:10">
      <c r="A76" s="4">
        <v>72</v>
      </c>
      <c r="B76" s="4" t="str">
        <f>"20200810312"</f>
        <v>20200810312</v>
      </c>
      <c r="C76" s="4">
        <v>3</v>
      </c>
      <c r="D76" s="4">
        <v>12</v>
      </c>
      <c r="E76" s="4" t="s">
        <v>15</v>
      </c>
      <c r="F76" s="4" t="str">
        <f>"张瑜"</f>
        <v>张瑜</v>
      </c>
      <c r="G76" s="4" t="str">
        <f t="shared" si="5"/>
        <v>女</v>
      </c>
      <c r="H76" s="4" t="str">
        <f>"1990-06-18"</f>
        <v>1990-06-18</v>
      </c>
      <c r="I76" s="4">
        <v>73.5</v>
      </c>
      <c r="J76" s="5"/>
    </row>
    <row r="77" spans="1:10">
      <c r="A77" s="4">
        <v>73</v>
      </c>
      <c r="B77" s="4" t="str">
        <f>"20200810313"</f>
        <v>20200810313</v>
      </c>
      <c r="C77" s="4">
        <v>3</v>
      </c>
      <c r="D77" s="4">
        <v>13</v>
      </c>
      <c r="E77" s="4" t="s">
        <v>15</v>
      </c>
      <c r="F77" s="4" t="str">
        <f>"佘晨阳"</f>
        <v>佘晨阳</v>
      </c>
      <c r="G77" s="4" t="str">
        <f t="shared" si="5"/>
        <v>女</v>
      </c>
      <c r="H77" s="4" t="str">
        <f>"1994-07-01"</f>
        <v>1994-07-01</v>
      </c>
      <c r="I77" s="4" t="s">
        <v>12</v>
      </c>
      <c r="J77" s="5"/>
    </row>
    <row r="78" spans="1:10">
      <c r="A78" s="4">
        <v>74</v>
      </c>
      <c r="B78" s="4" t="str">
        <f>"20200810314"</f>
        <v>20200810314</v>
      </c>
      <c r="C78" s="4">
        <v>3</v>
      </c>
      <c r="D78" s="4">
        <v>14</v>
      </c>
      <c r="E78" s="4" t="s">
        <v>15</v>
      </c>
      <c r="F78" s="4" t="str">
        <f>"陈文娟"</f>
        <v>陈文娟</v>
      </c>
      <c r="G78" s="4" t="str">
        <f t="shared" si="5"/>
        <v>女</v>
      </c>
      <c r="H78" s="4" t="str">
        <f>"1995-06-28"</f>
        <v>1995-06-28</v>
      </c>
      <c r="I78" s="4" t="s">
        <v>12</v>
      </c>
      <c r="J78" s="5"/>
    </row>
    <row r="79" spans="1:10">
      <c r="A79" s="4">
        <v>75</v>
      </c>
      <c r="B79" s="4" t="str">
        <f>"20200910315"</f>
        <v>20200910315</v>
      </c>
      <c r="C79" s="4">
        <v>3</v>
      </c>
      <c r="D79" s="4">
        <v>15</v>
      </c>
      <c r="E79" s="4" t="s">
        <v>16</v>
      </c>
      <c r="F79" s="4" t="str">
        <f>"王玲"</f>
        <v>王玲</v>
      </c>
      <c r="G79" s="4" t="str">
        <f t="shared" si="5"/>
        <v>女</v>
      </c>
      <c r="H79" s="4" t="str">
        <f>"1988-04-23"</f>
        <v>1988-04-23</v>
      </c>
      <c r="I79" s="4">
        <v>62.8</v>
      </c>
      <c r="J79" s="5"/>
    </row>
    <row r="80" spans="1:10">
      <c r="A80" s="4">
        <v>76</v>
      </c>
      <c r="B80" s="4" t="str">
        <f>"20200910316"</f>
        <v>20200910316</v>
      </c>
      <c r="C80" s="4">
        <v>3</v>
      </c>
      <c r="D80" s="4">
        <v>16</v>
      </c>
      <c r="E80" s="4" t="s">
        <v>16</v>
      </c>
      <c r="F80" s="4" t="str">
        <f>"门世争"</f>
        <v>门世争</v>
      </c>
      <c r="G80" s="4" t="str">
        <f t="shared" si="5"/>
        <v>女</v>
      </c>
      <c r="H80" s="4" t="str">
        <f>"1995-11-27"</f>
        <v>1995-11-27</v>
      </c>
      <c r="I80" s="4" t="s">
        <v>12</v>
      </c>
      <c r="J80" s="5"/>
    </row>
    <row r="81" spans="1:10">
      <c r="A81" s="4">
        <v>77</v>
      </c>
      <c r="B81" s="4" t="str">
        <f>"20200910317"</f>
        <v>20200910317</v>
      </c>
      <c r="C81" s="4">
        <v>3</v>
      </c>
      <c r="D81" s="4">
        <v>17</v>
      </c>
      <c r="E81" s="4" t="s">
        <v>16</v>
      </c>
      <c r="F81" s="4" t="str">
        <f>"叶鹏馨"</f>
        <v>叶鹏馨</v>
      </c>
      <c r="G81" s="4" t="str">
        <f t="shared" si="5"/>
        <v>女</v>
      </c>
      <c r="H81" s="4" t="str">
        <f>"1995-11-27"</f>
        <v>1995-11-27</v>
      </c>
      <c r="I81" s="4">
        <v>62.4</v>
      </c>
      <c r="J81" s="5"/>
    </row>
    <row r="82" spans="1:10">
      <c r="A82" s="4">
        <v>78</v>
      </c>
      <c r="B82" s="4" t="str">
        <f>"20200910318"</f>
        <v>20200910318</v>
      </c>
      <c r="C82" s="4">
        <v>3</v>
      </c>
      <c r="D82" s="4">
        <v>18</v>
      </c>
      <c r="E82" s="4" t="s">
        <v>16</v>
      </c>
      <c r="F82" s="4" t="str">
        <f>"张洋"</f>
        <v>张洋</v>
      </c>
      <c r="G82" s="4" t="str">
        <f t="shared" si="5"/>
        <v>女</v>
      </c>
      <c r="H82" s="4" t="str">
        <f>"1992-04-10"</f>
        <v>1992-04-10</v>
      </c>
      <c r="I82" s="4" t="s">
        <v>12</v>
      </c>
      <c r="J82" s="5"/>
    </row>
    <row r="83" spans="1:10">
      <c r="A83" s="4">
        <v>79</v>
      </c>
      <c r="B83" s="4" t="str">
        <f>"20200910319"</f>
        <v>20200910319</v>
      </c>
      <c r="C83" s="4">
        <v>3</v>
      </c>
      <c r="D83" s="4">
        <v>19</v>
      </c>
      <c r="E83" s="4" t="s">
        <v>16</v>
      </c>
      <c r="F83" s="4" t="str">
        <f>"王禄禄"</f>
        <v>王禄禄</v>
      </c>
      <c r="G83" s="4" t="str">
        <f t="shared" si="5"/>
        <v>女</v>
      </c>
      <c r="H83" s="4" t="str">
        <f>"1990-05-06"</f>
        <v>1990-05-06</v>
      </c>
      <c r="I83" s="4" t="s">
        <v>12</v>
      </c>
      <c r="J83" s="5"/>
    </row>
    <row r="84" spans="1:10">
      <c r="A84" s="4">
        <v>80</v>
      </c>
      <c r="B84" s="4" t="str">
        <f>"20200910320"</f>
        <v>20200910320</v>
      </c>
      <c r="C84" s="4">
        <v>3</v>
      </c>
      <c r="D84" s="4">
        <v>20</v>
      </c>
      <c r="E84" s="4" t="s">
        <v>16</v>
      </c>
      <c r="F84" s="4" t="str">
        <f>"郭诗君"</f>
        <v>郭诗君</v>
      </c>
      <c r="G84" s="4" t="str">
        <f t="shared" si="5"/>
        <v>女</v>
      </c>
      <c r="H84" s="4" t="str">
        <f>"1992-01-19"</f>
        <v>1992-01-19</v>
      </c>
      <c r="I84" s="4" t="s">
        <v>12</v>
      </c>
      <c r="J84" s="5"/>
    </row>
    <row r="85" spans="1:10">
      <c r="A85" s="4">
        <v>81</v>
      </c>
      <c r="B85" s="4" t="str">
        <f>"20200910321"</f>
        <v>20200910321</v>
      </c>
      <c r="C85" s="4">
        <v>3</v>
      </c>
      <c r="D85" s="4">
        <v>21</v>
      </c>
      <c r="E85" s="4" t="s">
        <v>16</v>
      </c>
      <c r="F85" s="4" t="str">
        <f>"王鹏飞"</f>
        <v>王鹏飞</v>
      </c>
      <c r="G85" s="4" t="str">
        <f>"男"</f>
        <v>男</v>
      </c>
      <c r="H85" s="4" t="str">
        <f>"1991-12-28"</f>
        <v>1991-12-28</v>
      </c>
      <c r="I85" s="4">
        <v>60</v>
      </c>
      <c r="J85" s="5"/>
    </row>
    <row r="86" spans="1:10">
      <c r="A86" s="4">
        <v>82</v>
      </c>
      <c r="B86" s="4" t="str">
        <f>"20200910322"</f>
        <v>20200910322</v>
      </c>
      <c r="C86" s="4">
        <v>3</v>
      </c>
      <c r="D86" s="4">
        <v>22</v>
      </c>
      <c r="E86" s="4" t="s">
        <v>16</v>
      </c>
      <c r="F86" s="4" t="str">
        <f>"段清清"</f>
        <v>段清清</v>
      </c>
      <c r="G86" s="4" t="str">
        <f>"女"</f>
        <v>女</v>
      </c>
      <c r="H86" s="4" t="str">
        <f>"1990-03-06"</f>
        <v>1990-03-06</v>
      </c>
      <c r="I86" s="4">
        <v>57.6</v>
      </c>
      <c r="J86" s="5"/>
    </row>
    <row r="87" spans="1:10">
      <c r="A87" s="4">
        <v>83</v>
      </c>
      <c r="B87" s="4" t="str">
        <f>"20200910323"</f>
        <v>20200910323</v>
      </c>
      <c r="C87" s="4">
        <v>3</v>
      </c>
      <c r="D87" s="4">
        <v>23</v>
      </c>
      <c r="E87" s="4" t="s">
        <v>16</v>
      </c>
      <c r="F87" s="4" t="str">
        <f>"张娟"</f>
        <v>张娟</v>
      </c>
      <c r="G87" s="4" t="str">
        <f>"女"</f>
        <v>女</v>
      </c>
      <c r="H87" s="4" t="str">
        <f>"1988-11-15"</f>
        <v>1988-11-15</v>
      </c>
      <c r="I87" s="4" t="s">
        <v>12</v>
      </c>
      <c r="J87" s="5"/>
    </row>
    <row r="88" spans="1:10">
      <c r="A88" s="4">
        <v>84</v>
      </c>
      <c r="B88" s="4" t="str">
        <f>"20200910324"</f>
        <v>20200910324</v>
      </c>
      <c r="C88" s="4">
        <v>3</v>
      </c>
      <c r="D88" s="4">
        <v>24</v>
      </c>
      <c r="E88" s="4" t="s">
        <v>16</v>
      </c>
      <c r="F88" s="4" t="str">
        <f>"王柳杰"</f>
        <v>王柳杰</v>
      </c>
      <c r="G88" s="4" t="str">
        <f>"女"</f>
        <v>女</v>
      </c>
      <c r="H88" s="4" t="str">
        <f>"1989-11-08"</f>
        <v>1989-11-08</v>
      </c>
      <c r="I88" s="4">
        <v>60.7</v>
      </c>
      <c r="J88" s="5"/>
    </row>
    <row r="89" spans="1:10">
      <c r="A89" s="4">
        <v>85</v>
      </c>
      <c r="B89" s="4" t="str">
        <f>"20200910325"</f>
        <v>20200910325</v>
      </c>
      <c r="C89" s="4">
        <v>3</v>
      </c>
      <c r="D89" s="4">
        <v>25</v>
      </c>
      <c r="E89" s="4" t="s">
        <v>16</v>
      </c>
      <c r="F89" s="4" t="str">
        <f>"陈晓沛"</f>
        <v>陈晓沛</v>
      </c>
      <c r="G89" s="4" t="str">
        <f>"女"</f>
        <v>女</v>
      </c>
      <c r="H89" s="4" t="str">
        <f>"1989-09-28"</f>
        <v>1989-09-28</v>
      </c>
      <c r="I89" s="4">
        <v>60.4</v>
      </c>
      <c r="J89" s="5"/>
    </row>
    <row r="90" spans="1:10">
      <c r="A90" s="4">
        <v>86</v>
      </c>
      <c r="B90" s="4" t="str">
        <f>"20200910326"</f>
        <v>20200910326</v>
      </c>
      <c r="C90" s="4">
        <v>3</v>
      </c>
      <c r="D90" s="4">
        <v>26</v>
      </c>
      <c r="E90" s="4" t="s">
        <v>16</v>
      </c>
      <c r="F90" s="4" t="str">
        <f>"乔娣"</f>
        <v>乔娣</v>
      </c>
      <c r="G90" s="4" t="str">
        <f>"女"</f>
        <v>女</v>
      </c>
      <c r="H90" s="4" t="str">
        <f>"1992-12-18"</f>
        <v>1992-12-18</v>
      </c>
      <c r="I90" s="4" t="s">
        <v>12</v>
      </c>
      <c r="J90" s="5"/>
    </row>
    <row r="91" spans="1:10">
      <c r="A91" s="4">
        <v>87</v>
      </c>
      <c r="B91" s="4" t="str">
        <f>"20200910327"</f>
        <v>20200910327</v>
      </c>
      <c r="C91" s="4">
        <v>3</v>
      </c>
      <c r="D91" s="4">
        <v>27</v>
      </c>
      <c r="E91" s="4" t="s">
        <v>16</v>
      </c>
      <c r="F91" s="4" t="str">
        <f>"李长福"</f>
        <v>李长福</v>
      </c>
      <c r="G91" s="4" t="str">
        <f>"男"</f>
        <v>男</v>
      </c>
      <c r="H91" s="4" t="str">
        <f>"1994-04-03"</f>
        <v>1994-04-03</v>
      </c>
      <c r="I91" s="4">
        <v>63.8</v>
      </c>
      <c r="J91" s="5"/>
    </row>
    <row r="92" spans="1:10">
      <c r="A92" s="4">
        <v>88</v>
      </c>
      <c r="B92" s="4" t="str">
        <f>"20200910328"</f>
        <v>20200910328</v>
      </c>
      <c r="C92" s="4">
        <v>3</v>
      </c>
      <c r="D92" s="4">
        <v>28</v>
      </c>
      <c r="E92" s="4" t="s">
        <v>16</v>
      </c>
      <c r="F92" s="4" t="str">
        <f>"张蕾"</f>
        <v>张蕾</v>
      </c>
      <c r="G92" s="4" t="str">
        <f>"女"</f>
        <v>女</v>
      </c>
      <c r="H92" s="4" t="str">
        <f>"1990-01-05"</f>
        <v>1990-01-05</v>
      </c>
      <c r="I92" s="4" t="s">
        <v>12</v>
      </c>
      <c r="J92" s="5"/>
    </row>
    <row r="93" spans="1:10">
      <c r="A93" s="4">
        <v>89</v>
      </c>
      <c r="B93" s="4" t="str">
        <f>"20200910329"</f>
        <v>20200910329</v>
      </c>
      <c r="C93" s="4">
        <v>3</v>
      </c>
      <c r="D93" s="4">
        <v>29</v>
      </c>
      <c r="E93" s="4" t="s">
        <v>16</v>
      </c>
      <c r="F93" s="4" t="str">
        <f>"刘佳乐"</f>
        <v>刘佳乐</v>
      </c>
      <c r="G93" s="4" t="str">
        <f>"女"</f>
        <v>女</v>
      </c>
      <c r="H93" s="4" t="str">
        <f>"1994-04-09"</f>
        <v>1994-04-09</v>
      </c>
      <c r="I93" s="4">
        <v>57.5</v>
      </c>
      <c r="J93" s="5"/>
    </row>
    <row r="94" spans="1:10">
      <c r="A94" s="4">
        <v>90</v>
      </c>
      <c r="B94" s="4" t="str">
        <f>"20200910330"</f>
        <v>20200910330</v>
      </c>
      <c r="C94" s="4">
        <v>3</v>
      </c>
      <c r="D94" s="4">
        <v>30</v>
      </c>
      <c r="E94" s="4" t="s">
        <v>16</v>
      </c>
      <c r="F94" s="4" t="str">
        <f>"张金金"</f>
        <v>张金金</v>
      </c>
      <c r="G94" s="4" t="str">
        <f>"女"</f>
        <v>女</v>
      </c>
      <c r="H94" s="4" t="str">
        <f>"1992-03-08"</f>
        <v>1992-03-08</v>
      </c>
      <c r="I94" s="4" t="s">
        <v>12</v>
      </c>
      <c r="J94" s="5"/>
    </row>
    <row r="95" spans="1:10">
      <c r="A95" s="4">
        <v>91</v>
      </c>
      <c r="B95" s="4" t="str">
        <f>"20200910401"</f>
        <v>20200910401</v>
      </c>
      <c r="C95" s="4">
        <v>4</v>
      </c>
      <c r="D95" s="4">
        <v>1</v>
      </c>
      <c r="E95" s="4" t="s">
        <v>16</v>
      </c>
      <c r="F95" s="4" t="str">
        <f>"薛震"</f>
        <v>薛震</v>
      </c>
      <c r="G95" s="4" t="str">
        <f>"男"</f>
        <v>男</v>
      </c>
      <c r="H95" s="4" t="str">
        <f>"1988-02-12"</f>
        <v>1988-02-12</v>
      </c>
      <c r="I95" s="4" t="s">
        <v>12</v>
      </c>
      <c r="J95" s="5"/>
    </row>
    <row r="96" spans="1:10">
      <c r="A96" s="4">
        <v>92</v>
      </c>
      <c r="B96" s="4" t="str">
        <f>"20200910402"</f>
        <v>20200910402</v>
      </c>
      <c r="C96" s="4">
        <v>4</v>
      </c>
      <c r="D96" s="4">
        <v>2</v>
      </c>
      <c r="E96" s="4" t="s">
        <v>16</v>
      </c>
      <c r="F96" s="4" t="str">
        <f>"杨伟"</f>
        <v>杨伟</v>
      </c>
      <c r="G96" s="4" t="str">
        <f>"女"</f>
        <v>女</v>
      </c>
      <c r="H96" s="4" t="str">
        <f>"1994-03-06"</f>
        <v>1994-03-06</v>
      </c>
      <c r="I96" s="4">
        <v>66.5</v>
      </c>
      <c r="J96" s="5"/>
    </row>
    <row r="97" spans="1:10">
      <c r="A97" s="4">
        <v>93</v>
      </c>
      <c r="B97" s="4" t="str">
        <f>"20200910403"</f>
        <v>20200910403</v>
      </c>
      <c r="C97" s="4">
        <v>4</v>
      </c>
      <c r="D97" s="4">
        <v>3</v>
      </c>
      <c r="E97" s="4" t="s">
        <v>16</v>
      </c>
      <c r="F97" s="4" t="str">
        <f>"陈佳露"</f>
        <v>陈佳露</v>
      </c>
      <c r="G97" s="4" t="str">
        <f>"女"</f>
        <v>女</v>
      </c>
      <c r="H97" s="4" t="str">
        <f>"1994-11-26"</f>
        <v>1994-11-26</v>
      </c>
      <c r="I97" s="4">
        <v>64</v>
      </c>
      <c r="J97" s="5"/>
    </row>
    <row r="98" spans="1:10">
      <c r="A98" s="4">
        <v>94</v>
      </c>
      <c r="B98" s="4" t="str">
        <f>"20200910404"</f>
        <v>20200910404</v>
      </c>
      <c r="C98" s="4">
        <v>4</v>
      </c>
      <c r="D98" s="4">
        <v>4</v>
      </c>
      <c r="E98" s="4" t="s">
        <v>16</v>
      </c>
      <c r="F98" s="4" t="str">
        <f>"段清星"</f>
        <v>段清星</v>
      </c>
      <c r="G98" s="4" t="str">
        <f>"男"</f>
        <v>男</v>
      </c>
      <c r="H98" s="4" t="str">
        <f>"1989-06-07"</f>
        <v>1989-06-07</v>
      </c>
      <c r="I98" s="4">
        <v>63</v>
      </c>
      <c r="J98" s="5"/>
    </row>
    <row r="99" spans="1:10">
      <c r="A99" s="4">
        <v>95</v>
      </c>
      <c r="B99" s="4" t="str">
        <f>"20200910405"</f>
        <v>20200910405</v>
      </c>
      <c r="C99" s="4">
        <v>4</v>
      </c>
      <c r="D99" s="4">
        <v>5</v>
      </c>
      <c r="E99" s="4" t="s">
        <v>16</v>
      </c>
      <c r="F99" s="4" t="str">
        <f>"毛倩倩"</f>
        <v>毛倩倩</v>
      </c>
      <c r="G99" s="4" t="str">
        <f>"女"</f>
        <v>女</v>
      </c>
      <c r="H99" s="4" t="str">
        <f>"1988-07-19"</f>
        <v>1988-07-19</v>
      </c>
      <c r="I99" s="4">
        <v>70.5</v>
      </c>
      <c r="J99" s="5"/>
    </row>
    <row r="100" spans="1:10">
      <c r="A100" s="4">
        <v>96</v>
      </c>
      <c r="B100" s="4" t="str">
        <f>"20201010406"</f>
        <v>20201010406</v>
      </c>
      <c r="C100" s="4">
        <v>4</v>
      </c>
      <c r="D100" s="4">
        <v>6</v>
      </c>
      <c r="E100" s="4" t="s">
        <v>17</v>
      </c>
      <c r="F100" s="4" t="str">
        <f>"刘智霖"</f>
        <v>刘智霖</v>
      </c>
      <c r="G100" s="4" t="str">
        <f>"男"</f>
        <v>男</v>
      </c>
      <c r="H100" s="4" t="str">
        <f>"1995-08-30"</f>
        <v>1995-08-30</v>
      </c>
      <c r="I100" s="4">
        <v>60.3</v>
      </c>
      <c r="J100" s="5"/>
    </row>
    <row r="101" spans="1:10">
      <c r="A101" s="4">
        <v>97</v>
      </c>
      <c r="B101" s="4" t="str">
        <f>"20201010407"</f>
        <v>20201010407</v>
      </c>
      <c r="C101" s="4">
        <v>4</v>
      </c>
      <c r="D101" s="4">
        <v>7</v>
      </c>
      <c r="E101" s="4" t="s">
        <v>17</v>
      </c>
      <c r="F101" s="4" t="str">
        <f>"李婉婉"</f>
        <v>李婉婉</v>
      </c>
      <c r="G101" s="4" t="str">
        <f>"女"</f>
        <v>女</v>
      </c>
      <c r="H101" s="4" t="str">
        <f>"1987-03-10"</f>
        <v>1987-03-10</v>
      </c>
      <c r="I101" s="4">
        <v>74.4</v>
      </c>
      <c r="J101" s="5"/>
    </row>
    <row r="102" spans="1:10">
      <c r="A102" s="4">
        <v>98</v>
      </c>
      <c r="B102" s="4" t="str">
        <f>"20201010408"</f>
        <v>20201010408</v>
      </c>
      <c r="C102" s="4">
        <v>4</v>
      </c>
      <c r="D102" s="4">
        <v>8</v>
      </c>
      <c r="E102" s="4" t="s">
        <v>17</v>
      </c>
      <c r="F102" s="4" t="str">
        <f>"杨博"</f>
        <v>杨博</v>
      </c>
      <c r="G102" s="4" t="str">
        <f>"女"</f>
        <v>女</v>
      </c>
      <c r="H102" s="4" t="str">
        <f>"1986-11-05"</f>
        <v>1986-11-05</v>
      </c>
      <c r="I102" s="4">
        <v>60.1</v>
      </c>
      <c r="J102" s="5"/>
    </row>
    <row r="103" spans="1:10">
      <c r="A103" s="4">
        <v>99</v>
      </c>
      <c r="B103" s="4" t="str">
        <f>"20201010409"</f>
        <v>20201010409</v>
      </c>
      <c r="C103" s="4">
        <v>4</v>
      </c>
      <c r="D103" s="4">
        <v>9</v>
      </c>
      <c r="E103" s="4" t="s">
        <v>17</v>
      </c>
      <c r="F103" s="4" t="str">
        <f>"房威震"</f>
        <v>房威震</v>
      </c>
      <c r="G103" s="4" t="str">
        <f>"男"</f>
        <v>男</v>
      </c>
      <c r="H103" s="4" t="str">
        <f>"1992-05-11"</f>
        <v>1992-05-11</v>
      </c>
      <c r="I103" s="4">
        <v>63.4</v>
      </c>
      <c r="J103" s="5"/>
    </row>
    <row r="104" spans="1:10">
      <c r="A104" s="4">
        <v>100</v>
      </c>
      <c r="B104" s="4" t="str">
        <f>"20201010410"</f>
        <v>20201010410</v>
      </c>
      <c r="C104" s="4">
        <v>4</v>
      </c>
      <c r="D104" s="4">
        <v>10</v>
      </c>
      <c r="E104" s="4" t="s">
        <v>17</v>
      </c>
      <c r="F104" s="4" t="str">
        <f>"贾枫"</f>
        <v>贾枫</v>
      </c>
      <c r="G104" s="4" t="str">
        <f>"男"</f>
        <v>男</v>
      </c>
      <c r="H104" s="4" t="str">
        <f>"1995-09-27"</f>
        <v>1995-09-27</v>
      </c>
      <c r="I104" s="4">
        <v>54.7</v>
      </c>
      <c r="J104" s="5"/>
    </row>
    <row r="105" spans="1:10">
      <c r="A105" s="4">
        <v>101</v>
      </c>
      <c r="B105" s="4" t="str">
        <f>"20201010411"</f>
        <v>20201010411</v>
      </c>
      <c r="C105" s="4">
        <v>4</v>
      </c>
      <c r="D105" s="4">
        <v>11</v>
      </c>
      <c r="E105" s="4" t="s">
        <v>17</v>
      </c>
      <c r="F105" s="4" t="str">
        <f>"赵云丽 "</f>
        <v>赵云丽 </v>
      </c>
      <c r="G105" s="4" t="str">
        <f>"女"</f>
        <v>女</v>
      </c>
      <c r="H105" s="4" t="str">
        <f>"1986-10-11"</f>
        <v>1986-10-11</v>
      </c>
      <c r="I105" s="4">
        <v>60.7</v>
      </c>
      <c r="J105" s="5"/>
    </row>
    <row r="106" spans="1:10">
      <c r="A106" s="4">
        <v>102</v>
      </c>
      <c r="B106" s="4" t="str">
        <f>"20201010412"</f>
        <v>20201010412</v>
      </c>
      <c r="C106" s="4">
        <v>4</v>
      </c>
      <c r="D106" s="4">
        <v>12</v>
      </c>
      <c r="E106" s="4" t="s">
        <v>17</v>
      </c>
      <c r="F106" s="4" t="str">
        <f>"张婉"</f>
        <v>张婉</v>
      </c>
      <c r="G106" s="4" t="str">
        <f>"女"</f>
        <v>女</v>
      </c>
      <c r="H106" s="4" t="str">
        <f>"1996-12-10"</f>
        <v>1996-12-10</v>
      </c>
      <c r="I106" s="4" t="s">
        <v>12</v>
      </c>
      <c r="J106" s="5"/>
    </row>
    <row r="107" spans="1:10">
      <c r="A107" s="4">
        <v>103</v>
      </c>
      <c r="B107" s="4" t="str">
        <f>"20201010413"</f>
        <v>20201010413</v>
      </c>
      <c r="C107" s="4">
        <v>4</v>
      </c>
      <c r="D107" s="4">
        <v>13</v>
      </c>
      <c r="E107" s="4" t="s">
        <v>17</v>
      </c>
      <c r="F107" s="4" t="str">
        <f>"高海荣"</f>
        <v>高海荣</v>
      </c>
      <c r="G107" s="4" t="str">
        <f>"女"</f>
        <v>女</v>
      </c>
      <c r="H107" s="4" t="str">
        <f>"1987-03-04"</f>
        <v>1987-03-04</v>
      </c>
      <c r="I107" s="4" t="s">
        <v>12</v>
      </c>
      <c r="J107" s="5"/>
    </row>
    <row r="108" spans="1:10">
      <c r="A108" s="4">
        <v>104</v>
      </c>
      <c r="B108" s="4" t="str">
        <f>"20201010414"</f>
        <v>20201010414</v>
      </c>
      <c r="C108" s="4">
        <v>4</v>
      </c>
      <c r="D108" s="4">
        <v>14</v>
      </c>
      <c r="E108" s="4" t="s">
        <v>17</v>
      </c>
      <c r="F108" s="4" t="str">
        <f>"王森"</f>
        <v>王森</v>
      </c>
      <c r="G108" s="4" t="str">
        <f>"男"</f>
        <v>男</v>
      </c>
      <c r="H108" s="4" t="str">
        <f>"1992-06-15"</f>
        <v>1992-06-15</v>
      </c>
      <c r="I108" s="4" t="s">
        <v>12</v>
      </c>
      <c r="J108" s="5"/>
    </row>
    <row r="109" spans="1:10">
      <c r="A109" s="4">
        <v>105</v>
      </c>
      <c r="B109" s="4" t="str">
        <f>"20201010415"</f>
        <v>20201010415</v>
      </c>
      <c r="C109" s="4">
        <v>4</v>
      </c>
      <c r="D109" s="4">
        <v>15</v>
      </c>
      <c r="E109" s="4" t="s">
        <v>17</v>
      </c>
      <c r="F109" s="4" t="str">
        <f>"闫从"</f>
        <v>闫从</v>
      </c>
      <c r="G109" s="4" t="str">
        <f>"男"</f>
        <v>男</v>
      </c>
      <c r="H109" s="4" t="str">
        <f>"1989-08-15"</f>
        <v>1989-08-15</v>
      </c>
      <c r="I109" s="4" t="s">
        <v>12</v>
      </c>
      <c r="J109" s="5"/>
    </row>
    <row r="110" spans="1:10">
      <c r="A110" s="4">
        <v>106</v>
      </c>
      <c r="B110" s="4" t="str">
        <f>"20201010416"</f>
        <v>20201010416</v>
      </c>
      <c r="C110" s="4">
        <v>4</v>
      </c>
      <c r="D110" s="4">
        <v>16</v>
      </c>
      <c r="E110" s="4" t="s">
        <v>17</v>
      </c>
      <c r="F110" s="4" t="str">
        <f>"吴迪"</f>
        <v>吴迪</v>
      </c>
      <c r="G110" s="4" t="str">
        <f>"女"</f>
        <v>女</v>
      </c>
      <c r="H110" s="4" t="str">
        <f>"1991-10-14"</f>
        <v>1991-10-14</v>
      </c>
      <c r="I110" s="4">
        <v>61.7</v>
      </c>
      <c r="J110" s="5"/>
    </row>
    <row r="111" spans="1:10">
      <c r="A111" s="4">
        <v>107</v>
      </c>
      <c r="B111" s="4" t="str">
        <f>"20201010417"</f>
        <v>20201010417</v>
      </c>
      <c r="C111" s="4">
        <v>4</v>
      </c>
      <c r="D111" s="4">
        <v>17</v>
      </c>
      <c r="E111" s="4" t="s">
        <v>17</v>
      </c>
      <c r="F111" s="4" t="str">
        <f>"张安培"</f>
        <v>张安培</v>
      </c>
      <c r="G111" s="4" t="str">
        <f>"男"</f>
        <v>男</v>
      </c>
      <c r="H111" s="4" t="str">
        <f>"1992-07-13"</f>
        <v>1992-07-13</v>
      </c>
      <c r="I111" s="4">
        <v>62.4</v>
      </c>
      <c r="J111" s="5"/>
    </row>
    <row r="112" spans="1:10">
      <c r="A112" s="4">
        <v>108</v>
      </c>
      <c r="B112" s="4" t="str">
        <f>"20201010418"</f>
        <v>20201010418</v>
      </c>
      <c r="C112" s="4">
        <v>4</v>
      </c>
      <c r="D112" s="4">
        <v>18</v>
      </c>
      <c r="E112" s="4" t="s">
        <v>17</v>
      </c>
      <c r="F112" s="4" t="str">
        <f>"岳飒"</f>
        <v>岳飒</v>
      </c>
      <c r="G112" s="4" t="str">
        <f t="shared" ref="G112:G145" si="6">"女"</f>
        <v>女</v>
      </c>
      <c r="H112" s="4" t="str">
        <f>"1994-02-02"</f>
        <v>1994-02-02</v>
      </c>
      <c r="I112" s="4" t="s">
        <v>12</v>
      </c>
      <c r="J112" s="5"/>
    </row>
    <row r="113" spans="1:10">
      <c r="A113" s="4">
        <v>109</v>
      </c>
      <c r="B113" s="4" t="str">
        <f>"20201210419"</f>
        <v>20201210419</v>
      </c>
      <c r="C113" s="4">
        <v>4</v>
      </c>
      <c r="D113" s="4">
        <v>19</v>
      </c>
      <c r="E113" s="4" t="s">
        <v>18</v>
      </c>
      <c r="F113" s="4" t="str">
        <f>"朱琼阳"</f>
        <v>朱琼阳</v>
      </c>
      <c r="G113" s="4" t="str">
        <f t="shared" si="6"/>
        <v>女</v>
      </c>
      <c r="H113" s="4" t="str">
        <f>"1994-01-24"</f>
        <v>1994-01-24</v>
      </c>
      <c r="I113" s="4" t="s">
        <v>12</v>
      </c>
      <c r="J113" s="5"/>
    </row>
    <row r="114" spans="1:10">
      <c r="A114" s="4">
        <v>110</v>
      </c>
      <c r="B114" s="4" t="str">
        <f>"20201210420"</f>
        <v>20201210420</v>
      </c>
      <c r="C114" s="4">
        <v>4</v>
      </c>
      <c r="D114" s="4">
        <v>20</v>
      </c>
      <c r="E114" s="4" t="s">
        <v>18</v>
      </c>
      <c r="F114" s="4" t="str">
        <f>"郭红红"</f>
        <v>郭红红</v>
      </c>
      <c r="G114" s="4" t="str">
        <f t="shared" si="6"/>
        <v>女</v>
      </c>
      <c r="H114" s="4" t="str">
        <f>"1990-03-22"</f>
        <v>1990-03-22</v>
      </c>
      <c r="I114" s="4" t="s">
        <v>12</v>
      </c>
      <c r="J114" s="5"/>
    </row>
    <row r="115" spans="1:10">
      <c r="A115" s="4">
        <v>111</v>
      </c>
      <c r="B115" s="4" t="str">
        <f>"20201210421"</f>
        <v>20201210421</v>
      </c>
      <c r="C115" s="4">
        <v>4</v>
      </c>
      <c r="D115" s="4">
        <v>21</v>
      </c>
      <c r="E115" s="4" t="s">
        <v>18</v>
      </c>
      <c r="F115" s="4" t="str">
        <f>"杨柳青"</f>
        <v>杨柳青</v>
      </c>
      <c r="G115" s="4" t="str">
        <f t="shared" si="6"/>
        <v>女</v>
      </c>
      <c r="H115" s="4" t="str">
        <f>"1993-11-07"</f>
        <v>1993-11-07</v>
      </c>
      <c r="I115" s="4" t="s">
        <v>12</v>
      </c>
      <c r="J115" s="5"/>
    </row>
    <row r="116" spans="1:10">
      <c r="A116" s="4">
        <v>112</v>
      </c>
      <c r="B116" s="4" t="str">
        <f>"20201210422"</f>
        <v>20201210422</v>
      </c>
      <c r="C116" s="4">
        <v>4</v>
      </c>
      <c r="D116" s="4">
        <v>22</v>
      </c>
      <c r="E116" s="4" t="s">
        <v>18</v>
      </c>
      <c r="F116" s="4" t="str">
        <f>"田晓"</f>
        <v>田晓</v>
      </c>
      <c r="G116" s="4" t="str">
        <f t="shared" si="6"/>
        <v>女</v>
      </c>
      <c r="H116" s="4" t="str">
        <f>"1993-08-09"</f>
        <v>1993-08-09</v>
      </c>
      <c r="I116" s="4">
        <v>60.8</v>
      </c>
      <c r="J116" s="5"/>
    </row>
    <row r="117" spans="1:10">
      <c r="A117" s="4">
        <v>113</v>
      </c>
      <c r="B117" s="4" t="str">
        <f>"20201210423"</f>
        <v>20201210423</v>
      </c>
      <c r="C117" s="4">
        <v>4</v>
      </c>
      <c r="D117" s="4">
        <v>23</v>
      </c>
      <c r="E117" s="4" t="s">
        <v>18</v>
      </c>
      <c r="F117" s="4" t="str">
        <f>"牛晓锐"</f>
        <v>牛晓锐</v>
      </c>
      <c r="G117" s="4" t="str">
        <f t="shared" si="6"/>
        <v>女</v>
      </c>
      <c r="H117" s="4" t="str">
        <f>"1985-12-16"</f>
        <v>1985-12-16</v>
      </c>
      <c r="I117" s="4">
        <v>78.4</v>
      </c>
      <c r="J117" s="5"/>
    </row>
    <row r="118" spans="1:10">
      <c r="A118" s="4">
        <v>114</v>
      </c>
      <c r="B118" s="4" t="str">
        <f>"20201210424"</f>
        <v>20201210424</v>
      </c>
      <c r="C118" s="4">
        <v>4</v>
      </c>
      <c r="D118" s="4">
        <v>24</v>
      </c>
      <c r="E118" s="4" t="s">
        <v>18</v>
      </c>
      <c r="F118" s="4" t="str">
        <f>"彭胡弯"</f>
        <v>彭胡弯</v>
      </c>
      <c r="G118" s="4" t="str">
        <f t="shared" si="6"/>
        <v>女</v>
      </c>
      <c r="H118" s="4" t="str">
        <f>"1991-10-22"</f>
        <v>1991-10-22</v>
      </c>
      <c r="I118" s="4">
        <v>81.6</v>
      </c>
      <c r="J118" s="5"/>
    </row>
    <row r="119" spans="1:10">
      <c r="A119" s="4">
        <v>115</v>
      </c>
      <c r="B119" s="4" t="str">
        <f>"20201210425"</f>
        <v>20201210425</v>
      </c>
      <c r="C119" s="4">
        <v>4</v>
      </c>
      <c r="D119" s="4">
        <v>25</v>
      </c>
      <c r="E119" s="4" t="s">
        <v>18</v>
      </c>
      <c r="F119" s="4" t="str">
        <f>"杨帆"</f>
        <v>杨帆</v>
      </c>
      <c r="G119" s="4" t="str">
        <f t="shared" si="6"/>
        <v>女</v>
      </c>
      <c r="H119" s="4" t="str">
        <f>"1993-07-25"</f>
        <v>1993-07-25</v>
      </c>
      <c r="I119" s="4">
        <v>77.8</v>
      </c>
      <c r="J119" s="5"/>
    </row>
    <row r="120" spans="1:10">
      <c r="A120" s="4">
        <v>116</v>
      </c>
      <c r="B120" s="4" t="str">
        <f>"20201210426"</f>
        <v>20201210426</v>
      </c>
      <c r="C120" s="4">
        <v>4</v>
      </c>
      <c r="D120" s="4">
        <v>26</v>
      </c>
      <c r="E120" s="4" t="s">
        <v>18</v>
      </c>
      <c r="F120" s="4" t="str">
        <f>"李晶"</f>
        <v>李晶</v>
      </c>
      <c r="G120" s="4" t="str">
        <f t="shared" si="6"/>
        <v>女</v>
      </c>
      <c r="H120" s="4" t="str">
        <f>"1988-03-10"</f>
        <v>1988-03-10</v>
      </c>
      <c r="I120" s="4">
        <v>71.7</v>
      </c>
      <c r="J120" s="5"/>
    </row>
    <row r="121" spans="1:10">
      <c r="A121" s="4">
        <v>117</v>
      </c>
      <c r="B121" s="4" t="str">
        <f>"20201210427"</f>
        <v>20201210427</v>
      </c>
      <c r="C121" s="4">
        <v>4</v>
      </c>
      <c r="D121" s="4">
        <v>27</v>
      </c>
      <c r="E121" s="4" t="s">
        <v>18</v>
      </c>
      <c r="F121" s="4" t="str">
        <f>"周子卜"</f>
        <v>周子卜</v>
      </c>
      <c r="G121" s="4" t="str">
        <f t="shared" si="6"/>
        <v>女</v>
      </c>
      <c r="H121" s="4" t="str">
        <f>"1993-11-12"</f>
        <v>1993-11-12</v>
      </c>
      <c r="I121" s="4" t="s">
        <v>12</v>
      </c>
      <c r="J121" s="5"/>
    </row>
    <row r="122" spans="1:10">
      <c r="A122" s="4">
        <v>118</v>
      </c>
      <c r="B122" s="4" t="str">
        <f>"20201210428"</f>
        <v>20201210428</v>
      </c>
      <c r="C122" s="4">
        <v>4</v>
      </c>
      <c r="D122" s="4">
        <v>28</v>
      </c>
      <c r="E122" s="4" t="s">
        <v>18</v>
      </c>
      <c r="F122" s="4" t="str">
        <f>"刘芳馨"</f>
        <v>刘芳馨</v>
      </c>
      <c r="G122" s="4" t="str">
        <f t="shared" si="6"/>
        <v>女</v>
      </c>
      <c r="H122" s="4" t="str">
        <f>"1989-12-01"</f>
        <v>1989-12-01</v>
      </c>
      <c r="I122" s="4" t="s">
        <v>12</v>
      </c>
      <c r="J122" s="5"/>
    </row>
    <row r="123" spans="1:10">
      <c r="A123" s="4">
        <v>119</v>
      </c>
      <c r="B123" s="4" t="str">
        <f>"20201210429"</f>
        <v>20201210429</v>
      </c>
      <c r="C123" s="4">
        <v>4</v>
      </c>
      <c r="D123" s="4">
        <v>29</v>
      </c>
      <c r="E123" s="4" t="s">
        <v>18</v>
      </c>
      <c r="F123" s="4" t="str">
        <f>"刘小梅"</f>
        <v>刘小梅</v>
      </c>
      <c r="G123" s="4" t="str">
        <f t="shared" si="6"/>
        <v>女</v>
      </c>
      <c r="H123" s="4" t="str">
        <f>"1990-09-09"</f>
        <v>1990-09-09</v>
      </c>
      <c r="I123" s="4" t="s">
        <v>12</v>
      </c>
      <c r="J123" s="5"/>
    </row>
    <row r="124" spans="1:10">
      <c r="A124" s="4">
        <v>120</v>
      </c>
      <c r="B124" s="4" t="str">
        <f>"20201210430"</f>
        <v>20201210430</v>
      </c>
      <c r="C124" s="4">
        <v>4</v>
      </c>
      <c r="D124" s="4">
        <v>30</v>
      </c>
      <c r="E124" s="4" t="s">
        <v>18</v>
      </c>
      <c r="F124" s="4" t="str">
        <f>"王佳"</f>
        <v>王佳</v>
      </c>
      <c r="G124" s="4" t="str">
        <f t="shared" si="6"/>
        <v>女</v>
      </c>
      <c r="H124" s="4" t="str">
        <f>"1994-03-09"</f>
        <v>1994-03-09</v>
      </c>
      <c r="I124" s="4">
        <v>54</v>
      </c>
      <c r="J124" s="5"/>
    </row>
    <row r="125" spans="1:10">
      <c r="A125" s="4">
        <v>121</v>
      </c>
      <c r="B125" s="4" t="str">
        <f>"20201210501"</f>
        <v>20201210501</v>
      </c>
      <c r="C125" s="4">
        <v>5</v>
      </c>
      <c r="D125" s="4">
        <v>1</v>
      </c>
      <c r="E125" s="4" t="s">
        <v>18</v>
      </c>
      <c r="F125" s="4" t="str">
        <f>"宋桂子"</f>
        <v>宋桂子</v>
      </c>
      <c r="G125" s="4" t="str">
        <f t="shared" si="6"/>
        <v>女</v>
      </c>
      <c r="H125" s="4" t="str">
        <f>"1992-12-05"</f>
        <v>1992-12-05</v>
      </c>
      <c r="I125" s="4" t="s">
        <v>12</v>
      </c>
      <c r="J125" s="5"/>
    </row>
    <row r="126" spans="1:10">
      <c r="A126" s="4">
        <v>122</v>
      </c>
      <c r="B126" s="4" t="str">
        <f>"20201210502"</f>
        <v>20201210502</v>
      </c>
      <c r="C126" s="4">
        <v>5</v>
      </c>
      <c r="D126" s="4">
        <v>2</v>
      </c>
      <c r="E126" s="4" t="s">
        <v>18</v>
      </c>
      <c r="F126" s="4" t="str">
        <f>"孙婉春"</f>
        <v>孙婉春</v>
      </c>
      <c r="G126" s="4" t="str">
        <f t="shared" si="6"/>
        <v>女</v>
      </c>
      <c r="H126" s="4" t="str">
        <f>"1993-04-01"</f>
        <v>1993-04-01</v>
      </c>
      <c r="I126" s="4">
        <v>63.8</v>
      </c>
      <c r="J126" s="5"/>
    </row>
    <row r="127" spans="1:10">
      <c r="A127" s="4">
        <v>123</v>
      </c>
      <c r="B127" s="4" t="str">
        <f>"20201210503"</f>
        <v>20201210503</v>
      </c>
      <c r="C127" s="4">
        <v>5</v>
      </c>
      <c r="D127" s="4">
        <v>3</v>
      </c>
      <c r="E127" s="4" t="s">
        <v>18</v>
      </c>
      <c r="F127" s="4" t="str">
        <f>"尹怡然"</f>
        <v>尹怡然</v>
      </c>
      <c r="G127" s="4" t="str">
        <f t="shared" si="6"/>
        <v>女</v>
      </c>
      <c r="H127" s="4" t="str">
        <f>"1994-07-08"</f>
        <v>1994-07-08</v>
      </c>
      <c r="I127" s="4">
        <v>63.4</v>
      </c>
      <c r="J127" s="5"/>
    </row>
    <row r="128" spans="1:10">
      <c r="A128" s="4">
        <v>124</v>
      </c>
      <c r="B128" s="4" t="str">
        <f>"20201210504"</f>
        <v>20201210504</v>
      </c>
      <c r="C128" s="4">
        <v>5</v>
      </c>
      <c r="D128" s="4">
        <v>4</v>
      </c>
      <c r="E128" s="4" t="s">
        <v>18</v>
      </c>
      <c r="F128" s="4" t="str">
        <f>"申影"</f>
        <v>申影</v>
      </c>
      <c r="G128" s="4" t="str">
        <f t="shared" si="6"/>
        <v>女</v>
      </c>
      <c r="H128" s="4" t="str">
        <f>"1991-11-05"</f>
        <v>1991-11-05</v>
      </c>
      <c r="I128" s="4">
        <v>67.7</v>
      </c>
      <c r="J128" s="5"/>
    </row>
    <row r="129" spans="1:10">
      <c r="A129" s="4">
        <v>125</v>
      </c>
      <c r="B129" s="4" t="str">
        <f>"20201210505"</f>
        <v>20201210505</v>
      </c>
      <c r="C129" s="4">
        <v>5</v>
      </c>
      <c r="D129" s="4">
        <v>5</v>
      </c>
      <c r="E129" s="4" t="s">
        <v>18</v>
      </c>
      <c r="F129" s="4" t="str">
        <f>"李昂"</f>
        <v>李昂</v>
      </c>
      <c r="G129" s="4" t="str">
        <f t="shared" si="6"/>
        <v>女</v>
      </c>
      <c r="H129" s="4" t="str">
        <f>"1988-05-24"</f>
        <v>1988-05-24</v>
      </c>
      <c r="I129" s="4">
        <v>65.7</v>
      </c>
      <c r="J129" s="5"/>
    </row>
    <row r="130" spans="1:10">
      <c r="A130" s="4">
        <v>126</v>
      </c>
      <c r="B130" s="4" t="str">
        <f>"20201210506"</f>
        <v>20201210506</v>
      </c>
      <c r="C130" s="4">
        <v>5</v>
      </c>
      <c r="D130" s="4">
        <v>6</v>
      </c>
      <c r="E130" s="4" t="s">
        <v>18</v>
      </c>
      <c r="F130" s="4" t="str">
        <f>"柏丛"</f>
        <v>柏丛</v>
      </c>
      <c r="G130" s="4" t="str">
        <f t="shared" si="6"/>
        <v>女</v>
      </c>
      <c r="H130" s="4" t="str">
        <f>"1987-11-05"</f>
        <v>1987-11-05</v>
      </c>
      <c r="I130" s="4" t="s">
        <v>12</v>
      </c>
      <c r="J130" s="5"/>
    </row>
    <row r="131" spans="1:10">
      <c r="A131" s="4">
        <v>127</v>
      </c>
      <c r="B131" s="4" t="str">
        <f>"20201210507"</f>
        <v>20201210507</v>
      </c>
      <c r="C131" s="4">
        <v>5</v>
      </c>
      <c r="D131" s="4">
        <v>7</v>
      </c>
      <c r="E131" s="4" t="s">
        <v>18</v>
      </c>
      <c r="F131" s="4" t="str">
        <f>"冯韵淅"</f>
        <v>冯韵淅</v>
      </c>
      <c r="G131" s="4" t="str">
        <f t="shared" si="6"/>
        <v>女</v>
      </c>
      <c r="H131" s="4" t="str">
        <f>"1990-03-13"</f>
        <v>1990-03-13</v>
      </c>
      <c r="I131" s="4">
        <v>83.2</v>
      </c>
      <c r="J131" s="5"/>
    </row>
    <row r="132" spans="1:10">
      <c r="A132" s="4">
        <v>128</v>
      </c>
      <c r="B132" s="4" t="str">
        <f>"20201210508"</f>
        <v>20201210508</v>
      </c>
      <c r="C132" s="4">
        <v>5</v>
      </c>
      <c r="D132" s="4">
        <v>8</v>
      </c>
      <c r="E132" s="4" t="s">
        <v>18</v>
      </c>
      <c r="F132" s="4" t="str">
        <f>"吕佳骏"</f>
        <v>吕佳骏</v>
      </c>
      <c r="G132" s="4" t="str">
        <f t="shared" si="6"/>
        <v>女</v>
      </c>
      <c r="H132" s="4" t="str">
        <f>"1988-04-06"</f>
        <v>1988-04-06</v>
      </c>
      <c r="I132" s="4" t="s">
        <v>12</v>
      </c>
      <c r="J132" s="5"/>
    </row>
    <row r="133" spans="1:10">
      <c r="A133" s="4">
        <v>129</v>
      </c>
      <c r="B133" s="4" t="str">
        <f>"20201210509"</f>
        <v>20201210509</v>
      </c>
      <c r="C133" s="4">
        <v>5</v>
      </c>
      <c r="D133" s="4">
        <v>9</v>
      </c>
      <c r="E133" s="4" t="s">
        <v>18</v>
      </c>
      <c r="F133" s="4" t="str">
        <f>"周亭"</f>
        <v>周亭</v>
      </c>
      <c r="G133" s="4" t="str">
        <f t="shared" si="6"/>
        <v>女</v>
      </c>
      <c r="H133" s="4" t="str">
        <f>"1995-10-27"</f>
        <v>1995-10-27</v>
      </c>
      <c r="I133" s="4">
        <v>59.2</v>
      </c>
      <c r="J133" s="5"/>
    </row>
    <row r="134" spans="1:10">
      <c r="A134" s="4">
        <v>130</v>
      </c>
      <c r="B134" s="4" t="str">
        <f>"20201210510"</f>
        <v>20201210510</v>
      </c>
      <c r="C134" s="4">
        <v>5</v>
      </c>
      <c r="D134" s="4">
        <v>10</v>
      </c>
      <c r="E134" s="4" t="s">
        <v>18</v>
      </c>
      <c r="F134" s="4" t="str">
        <f>"郭亚楠"</f>
        <v>郭亚楠</v>
      </c>
      <c r="G134" s="4" t="str">
        <f t="shared" si="6"/>
        <v>女</v>
      </c>
      <c r="H134" s="4" t="str">
        <f>"1990-10-11"</f>
        <v>1990-10-11</v>
      </c>
      <c r="I134" s="4" t="s">
        <v>12</v>
      </c>
      <c r="J134" s="5"/>
    </row>
    <row r="135" spans="1:10">
      <c r="A135" s="4">
        <v>131</v>
      </c>
      <c r="B135" s="4" t="str">
        <f>"20201210511"</f>
        <v>20201210511</v>
      </c>
      <c r="C135" s="4">
        <v>5</v>
      </c>
      <c r="D135" s="4">
        <v>11</v>
      </c>
      <c r="E135" s="4" t="s">
        <v>18</v>
      </c>
      <c r="F135" s="4" t="str">
        <f>"李贤"</f>
        <v>李贤</v>
      </c>
      <c r="G135" s="4" t="str">
        <f t="shared" si="6"/>
        <v>女</v>
      </c>
      <c r="H135" s="4" t="str">
        <f>"1988-03-01"</f>
        <v>1988-03-01</v>
      </c>
      <c r="I135" s="4">
        <v>68.4</v>
      </c>
      <c r="J135" s="5"/>
    </row>
    <row r="136" spans="1:10">
      <c r="A136" s="4">
        <v>132</v>
      </c>
      <c r="B136" s="4" t="str">
        <f>"20201210512"</f>
        <v>20201210512</v>
      </c>
      <c r="C136" s="4">
        <v>5</v>
      </c>
      <c r="D136" s="4">
        <v>12</v>
      </c>
      <c r="E136" s="4" t="s">
        <v>18</v>
      </c>
      <c r="F136" s="4" t="str">
        <f>"江静"</f>
        <v>江静</v>
      </c>
      <c r="G136" s="4" t="str">
        <f t="shared" si="6"/>
        <v>女</v>
      </c>
      <c r="H136" s="4" t="str">
        <f>"1989-07-03"</f>
        <v>1989-07-03</v>
      </c>
      <c r="I136" s="4">
        <v>61</v>
      </c>
      <c r="J136" s="5"/>
    </row>
    <row r="137" spans="1:10">
      <c r="A137" s="4">
        <v>133</v>
      </c>
      <c r="B137" s="4" t="str">
        <f>"20201210513"</f>
        <v>20201210513</v>
      </c>
      <c r="C137" s="4">
        <v>5</v>
      </c>
      <c r="D137" s="4">
        <v>13</v>
      </c>
      <c r="E137" s="4" t="s">
        <v>18</v>
      </c>
      <c r="F137" s="4" t="str">
        <f>"金凌"</f>
        <v>金凌</v>
      </c>
      <c r="G137" s="4" t="str">
        <f t="shared" si="6"/>
        <v>女</v>
      </c>
      <c r="H137" s="4" t="str">
        <f>"1988-12-24"</f>
        <v>1988-12-24</v>
      </c>
      <c r="I137" s="4">
        <v>66.4</v>
      </c>
      <c r="J137" s="5"/>
    </row>
    <row r="138" spans="1:10">
      <c r="A138" s="4">
        <v>134</v>
      </c>
      <c r="B138" s="4" t="str">
        <f>"20202110514"</f>
        <v>20202110514</v>
      </c>
      <c r="C138" s="4">
        <v>5</v>
      </c>
      <c r="D138" s="4">
        <v>14</v>
      </c>
      <c r="E138" s="4" t="s">
        <v>19</v>
      </c>
      <c r="F138" s="4" t="str">
        <f>"杨艳平"</f>
        <v>杨艳平</v>
      </c>
      <c r="G138" s="4" t="str">
        <f t="shared" si="6"/>
        <v>女</v>
      </c>
      <c r="H138" s="4" t="str">
        <f>"1993-07-06"</f>
        <v>1993-07-06</v>
      </c>
      <c r="I138" s="4">
        <v>76.5</v>
      </c>
      <c r="J138" s="5"/>
    </row>
    <row r="139" spans="1:10">
      <c r="A139" s="4">
        <v>135</v>
      </c>
      <c r="B139" s="4" t="str">
        <f>"20202110515"</f>
        <v>20202110515</v>
      </c>
      <c r="C139" s="4">
        <v>5</v>
      </c>
      <c r="D139" s="4">
        <v>15</v>
      </c>
      <c r="E139" s="4" t="s">
        <v>19</v>
      </c>
      <c r="F139" s="4" t="str">
        <f>"李昀晓"</f>
        <v>李昀晓</v>
      </c>
      <c r="G139" s="4" t="str">
        <f t="shared" si="6"/>
        <v>女</v>
      </c>
      <c r="H139" s="4" t="str">
        <f>"1998-11-18"</f>
        <v>1998-11-18</v>
      </c>
      <c r="I139" s="4" t="s">
        <v>12</v>
      </c>
      <c r="J139" s="5"/>
    </row>
    <row r="140" spans="1:10">
      <c r="A140" s="4">
        <v>136</v>
      </c>
      <c r="B140" s="4" t="str">
        <f>"20202110516"</f>
        <v>20202110516</v>
      </c>
      <c r="C140" s="4">
        <v>5</v>
      </c>
      <c r="D140" s="4">
        <v>16</v>
      </c>
      <c r="E140" s="4" t="s">
        <v>19</v>
      </c>
      <c r="F140" s="4" t="str">
        <f>"余洋"</f>
        <v>余洋</v>
      </c>
      <c r="G140" s="4" t="str">
        <f t="shared" si="6"/>
        <v>女</v>
      </c>
      <c r="H140" s="4" t="str">
        <f>"1994-12-11"</f>
        <v>1994-12-11</v>
      </c>
      <c r="I140" s="4">
        <v>62.7</v>
      </c>
      <c r="J140" s="5"/>
    </row>
    <row r="141" spans="1:10">
      <c r="A141" s="4">
        <v>137</v>
      </c>
      <c r="B141" s="4" t="str">
        <f>"20202110517"</f>
        <v>20202110517</v>
      </c>
      <c r="C141" s="4">
        <v>5</v>
      </c>
      <c r="D141" s="4">
        <v>17</v>
      </c>
      <c r="E141" s="4" t="s">
        <v>19</v>
      </c>
      <c r="F141" s="4" t="str">
        <f>"殷嘉伟"</f>
        <v>殷嘉伟</v>
      </c>
      <c r="G141" s="4" t="str">
        <f t="shared" si="6"/>
        <v>女</v>
      </c>
      <c r="H141" s="4" t="str">
        <f>"1991-02-02"</f>
        <v>1991-02-02</v>
      </c>
      <c r="I141" s="4">
        <v>69.8</v>
      </c>
      <c r="J141" s="5"/>
    </row>
    <row r="142" spans="1:10">
      <c r="A142" s="4">
        <v>138</v>
      </c>
      <c r="B142" s="4" t="str">
        <f>"20202110518"</f>
        <v>20202110518</v>
      </c>
      <c r="C142" s="4">
        <v>5</v>
      </c>
      <c r="D142" s="4">
        <v>18</v>
      </c>
      <c r="E142" s="4" t="s">
        <v>19</v>
      </c>
      <c r="F142" s="4" t="str">
        <f>"潘珂"</f>
        <v>潘珂</v>
      </c>
      <c r="G142" s="4" t="str">
        <f t="shared" si="6"/>
        <v>女</v>
      </c>
      <c r="H142" s="4" t="str">
        <f>"1994-07-09"</f>
        <v>1994-07-09</v>
      </c>
      <c r="I142" s="4">
        <v>72.1</v>
      </c>
      <c r="J142" s="5"/>
    </row>
    <row r="143" spans="1:10">
      <c r="A143" s="4">
        <v>139</v>
      </c>
      <c r="B143" s="4" t="str">
        <f>"20202110519"</f>
        <v>20202110519</v>
      </c>
      <c r="C143" s="4">
        <v>5</v>
      </c>
      <c r="D143" s="4">
        <v>19</v>
      </c>
      <c r="E143" s="4" t="s">
        <v>19</v>
      </c>
      <c r="F143" s="4" t="str">
        <f>"王爽"</f>
        <v>王爽</v>
      </c>
      <c r="G143" s="4" t="str">
        <f t="shared" si="6"/>
        <v>女</v>
      </c>
      <c r="H143" s="4" t="str">
        <f>"1992-10-09"</f>
        <v>1992-10-09</v>
      </c>
      <c r="I143" s="4">
        <v>76.5</v>
      </c>
      <c r="J143" s="5"/>
    </row>
    <row r="144" spans="1:10">
      <c r="A144" s="4">
        <v>140</v>
      </c>
      <c r="B144" s="4" t="str">
        <f>"20202110520"</f>
        <v>20202110520</v>
      </c>
      <c r="C144" s="4">
        <v>5</v>
      </c>
      <c r="D144" s="4">
        <v>20</v>
      </c>
      <c r="E144" s="4" t="s">
        <v>19</v>
      </c>
      <c r="F144" s="4" t="str">
        <f>"蒋会会"</f>
        <v>蒋会会</v>
      </c>
      <c r="G144" s="4" t="str">
        <f t="shared" si="6"/>
        <v>女</v>
      </c>
      <c r="H144" s="4" t="str">
        <f>"1992-02-05"</f>
        <v>1992-02-05</v>
      </c>
      <c r="I144" s="4">
        <v>67.4</v>
      </c>
      <c r="J144" s="5"/>
    </row>
    <row r="145" spans="1:10">
      <c r="A145" s="4">
        <v>141</v>
      </c>
      <c r="B145" s="4" t="str">
        <f>"20202110521"</f>
        <v>20202110521</v>
      </c>
      <c r="C145" s="4">
        <v>5</v>
      </c>
      <c r="D145" s="4">
        <v>21</v>
      </c>
      <c r="E145" s="4" t="s">
        <v>19</v>
      </c>
      <c r="F145" s="4" t="str">
        <f>"黄艳韶"</f>
        <v>黄艳韶</v>
      </c>
      <c r="G145" s="4" t="str">
        <f t="shared" si="6"/>
        <v>女</v>
      </c>
      <c r="H145" s="4" t="str">
        <f>"1992-09-11"</f>
        <v>1992-09-11</v>
      </c>
      <c r="I145" s="4">
        <v>74.8</v>
      </c>
      <c r="J145" s="5"/>
    </row>
    <row r="146" spans="1:10">
      <c r="A146" s="4">
        <v>142</v>
      </c>
      <c r="B146" s="4" t="str">
        <f>"20202110522"</f>
        <v>20202110522</v>
      </c>
      <c r="C146" s="4">
        <v>5</v>
      </c>
      <c r="D146" s="4">
        <v>22</v>
      </c>
      <c r="E146" s="4" t="s">
        <v>19</v>
      </c>
      <c r="F146" s="4" t="str">
        <f>"刘佳朋"</f>
        <v>刘佳朋</v>
      </c>
      <c r="G146" s="4" t="str">
        <f>"男"</f>
        <v>男</v>
      </c>
      <c r="H146" s="4" t="str">
        <f>"1992-09-12"</f>
        <v>1992-09-12</v>
      </c>
      <c r="I146" s="4" t="s">
        <v>12</v>
      </c>
      <c r="J146" s="5"/>
    </row>
    <row r="147" spans="1:10">
      <c r="A147" s="4">
        <v>143</v>
      </c>
      <c r="B147" s="4" t="str">
        <f>"20202110523"</f>
        <v>20202110523</v>
      </c>
      <c r="C147" s="4">
        <v>5</v>
      </c>
      <c r="D147" s="4">
        <v>23</v>
      </c>
      <c r="E147" s="4" t="s">
        <v>19</v>
      </c>
      <c r="F147" s="4" t="str">
        <f>"王阳"</f>
        <v>王阳</v>
      </c>
      <c r="G147" s="4" t="str">
        <f>"女"</f>
        <v>女</v>
      </c>
      <c r="H147" s="4" t="str">
        <f>"1993-09-09"</f>
        <v>1993-09-09</v>
      </c>
      <c r="I147" s="4">
        <v>67.5</v>
      </c>
      <c r="J147" s="5"/>
    </row>
    <row r="148" spans="1:10">
      <c r="A148" s="4">
        <v>144</v>
      </c>
      <c r="B148" s="4" t="str">
        <f>"20202110524"</f>
        <v>20202110524</v>
      </c>
      <c r="C148" s="4">
        <v>5</v>
      </c>
      <c r="D148" s="4">
        <v>24</v>
      </c>
      <c r="E148" s="4" t="s">
        <v>19</v>
      </c>
      <c r="F148" s="4" t="str">
        <f>"丁通"</f>
        <v>丁通</v>
      </c>
      <c r="G148" s="4" t="str">
        <f>"男"</f>
        <v>男</v>
      </c>
      <c r="H148" s="4" t="str">
        <f>"1991-03-11"</f>
        <v>1991-03-11</v>
      </c>
      <c r="I148" s="4" t="s">
        <v>12</v>
      </c>
      <c r="J148" s="5"/>
    </row>
    <row r="149" spans="1:10">
      <c r="A149" s="4">
        <v>145</v>
      </c>
      <c r="B149" s="4" t="str">
        <f>"20202110525"</f>
        <v>20202110525</v>
      </c>
      <c r="C149" s="4">
        <v>5</v>
      </c>
      <c r="D149" s="4">
        <v>25</v>
      </c>
      <c r="E149" s="4" t="s">
        <v>19</v>
      </c>
      <c r="F149" s="4" t="str">
        <f>"白进进"</f>
        <v>白进进</v>
      </c>
      <c r="G149" s="4" t="str">
        <f t="shared" ref="G149:G155" si="7">"女"</f>
        <v>女</v>
      </c>
      <c r="H149" s="4" t="str">
        <f>"1992-09-15"</f>
        <v>1992-09-15</v>
      </c>
      <c r="I149" s="4">
        <v>80.5</v>
      </c>
      <c r="J149" s="5"/>
    </row>
    <row r="150" spans="1:10">
      <c r="A150" s="4">
        <v>146</v>
      </c>
      <c r="B150" s="4" t="str">
        <f>"20202110526"</f>
        <v>20202110526</v>
      </c>
      <c r="C150" s="4">
        <v>5</v>
      </c>
      <c r="D150" s="4">
        <v>26</v>
      </c>
      <c r="E150" s="4" t="s">
        <v>19</v>
      </c>
      <c r="F150" s="4" t="str">
        <f>"张丁月"</f>
        <v>张丁月</v>
      </c>
      <c r="G150" s="4" t="str">
        <f t="shared" si="7"/>
        <v>女</v>
      </c>
      <c r="H150" s="4" t="str">
        <f>"1998-08-25"</f>
        <v>1998-08-25</v>
      </c>
      <c r="I150" s="4">
        <v>70.1</v>
      </c>
      <c r="J150" s="5"/>
    </row>
    <row r="151" spans="1:10">
      <c r="A151" s="4">
        <v>147</v>
      </c>
      <c r="B151" s="4" t="str">
        <f>"20202110527"</f>
        <v>20202110527</v>
      </c>
      <c r="C151" s="4">
        <v>5</v>
      </c>
      <c r="D151" s="4">
        <v>27</v>
      </c>
      <c r="E151" s="4" t="s">
        <v>19</v>
      </c>
      <c r="F151" s="4" t="str">
        <f>"董霞"</f>
        <v>董霞</v>
      </c>
      <c r="G151" s="4" t="str">
        <f t="shared" si="7"/>
        <v>女</v>
      </c>
      <c r="H151" s="4" t="str">
        <f>"1990-06-18"</f>
        <v>1990-06-18</v>
      </c>
      <c r="I151" s="4">
        <v>67.4</v>
      </c>
      <c r="J151" s="5"/>
    </row>
    <row r="152" spans="1:10">
      <c r="A152" s="4">
        <v>148</v>
      </c>
      <c r="B152" s="4" t="str">
        <f>"20202110528"</f>
        <v>20202110528</v>
      </c>
      <c r="C152" s="4">
        <v>5</v>
      </c>
      <c r="D152" s="4">
        <v>28</v>
      </c>
      <c r="E152" s="4" t="s">
        <v>19</v>
      </c>
      <c r="F152" s="4" t="str">
        <f>"何流"</f>
        <v>何流</v>
      </c>
      <c r="G152" s="4" t="str">
        <f t="shared" si="7"/>
        <v>女</v>
      </c>
      <c r="H152" s="4" t="str">
        <f>"1991-10-14"</f>
        <v>1991-10-14</v>
      </c>
      <c r="I152" s="4">
        <v>79.5</v>
      </c>
      <c r="J152" s="5"/>
    </row>
    <row r="153" spans="1:10">
      <c r="A153" s="4">
        <v>149</v>
      </c>
      <c r="B153" s="4" t="str">
        <f>"20202110529"</f>
        <v>20202110529</v>
      </c>
      <c r="C153" s="4">
        <v>5</v>
      </c>
      <c r="D153" s="4">
        <v>29</v>
      </c>
      <c r="E153" s="4" t="s">
        <v>19</v>
      </c>
      <c r="F153" s="4" t="str">
        <f>"李良珮"</f>
        <v>李良珮</v>
      </c>
      <c r="G153" s="4" t="str">
        <f t="shared" si="7"/>
        <v>女</v>
      </c>
      <c r="H153" s="4" t="str">
        <f>"1995-04-02"</f>
        <v>1995-04-02</v>
      </c>
      <c r="I153" s="4">
        <v>77.5</v>
      </c>
      <c r="J153" s="5"/>
    </row>
    <row r="154" spans="1:10">
      <c r="A154" s="4">
        <v>150</v>
      </c>
      <c r="B154" s="4" t="str">
        <f>"20202110530"</f>
        <v>20202110530</v>
      </c>
      <c r="C154" s="4">
        <v>5</v>
      </c>
      <c r="D154" s="4">
        <v>30</v>
      </c>
      <c r="E154" s="4" t="s">
        <v>19</v>
      </c>
      <c r="F154" s="4" t="str">
        <f>"吴宏"</f>
        <v>吴宏</v>
      </c>
      <c r="G154" s="4" t="str">
        <f t="shared" si="7"/>
        <v>女</v>
      </c>
      <c r="H154" s="4" t="str">
        <f>"1994-02-22"</f>
        <v>1994-02-22</v>
      </c>
      <c r="I154" s="4" t="s">
        <v>12</v>
      </c>
      <c r="J154" s="5"/>
    </row>
    <row r="155" spans="1:10">
      <c r="A155" s="4">
        <v>151</v>
      </c>
      <c r="B155" s="4" t="str">
        <f>"20202110601"</f>
        <v>20202110601</v>
      </c>
      <c r="C155" s="4">
        <v>6</v>
      </c>
      <c r="D155" s="4">
        <v>1</v>
      </c>
      <c r="E155" s="4" t="s">
        <v>19</v>
      </c>
      <c r="F155" s="4" t="str">
        <f>"谢长玲"</f>
        <v>谢长玲</v>
      </c>
      <c r="G155" s="4" t="str">
        <f t="shared" si="7"/>
        <v>女</v>
      </c>
      <c r="H155" s="4" t="str">
        <f>"1991-10-15"</f>
        <v>1991-10-15</v>
      </c>
      <c r="I155" s="4" t="s">
        <v>12</v>
      </c>
      <c r="J155" s="5"/>
    </row>
    <row r="156" spans="1:10">
      <c r="A156" s="4">
        <v>152</v>
      </c>
      <c r="B156" s="4" t="str">
        <f>"20202110602"</f>
        <v>20202110602</v>
      </c>
      <c r="C156" s="4">
        <v>6</v>
      </c>
      <c r="D156" s="4">
        <v>2</v>
      </c>
      <c r="E156" s="4" t="s">
        <v>19</v>
      </c>
      <c r="F156" s="4" t="str">
        <f>"闫铎"</f>
        <v>闫铎</v>
      </c>
      <c r="G156" s="4" t="str">
        <f>"男"</f>
        <v>男</v>
      </c>
      <c r="H156" s="4" t="str">
        <f>"1997-05-21"</f>
        <v>1997-05-21</v>
      </c>
      <c r="I156" s="4">
        <v>64</v>
      </c>
      <c r="J156" s="5"/>
    </row>
    <row r="157" spans="1:10">
      <c r="A157" s="4">
        <v>153</v>
      </c>
      <c r="B157" s="4" t="str">
        <f>"20202110603"</f>
        <v>20202110603</v>
      </c>
      <c r="C157" s="4">
        <v>6</v>
      </c>
      <c r="D157" s="4">
        <v>3</v>
      </c>
      <c r="E157" s="4" t="s">
        <v>19</v>
      </c>
      <c r="F157" s="4" t="str">
        <f>"王西楠"</f>
        <v>王西楠</v>
      </c>
      <c r="G157" s="4" t="str">
        <f t="shared" ref="G157:G163" si="8">"女"</f>
        <v>女</v>
      </c>
      <c r="H157" s="4" t="str">
        <f>"1991-03-11"</f>
        <v>1991-03-11</v>
      </c>
      <c r="I157" s="4">
        <v>72.2</v>
      </c>
      <c r="J157" s="5"/>
    </row>
    <row r="158" spans="1:10">
      <c r="A158" s="4">
        <v>154</v>
      </c>
      <c r="B158" s="4" t="str">
        <f>"20202110604"</f>
        <v>20202110604</v>
      </c>
      <c r="C158" s="4">
        <v>6</v>
      </c>
      <c r="D158" s="4">
        <v>4</v>
      </c>
      <c r="E158" s="4" t="s">
        <v>19</v>
      </c>
      <c r="F158" s="4" t="str">
        <f>"殷佳佳"</f>
        <v>殷佳佳</v>
      </c>
      <c r="G158" s="4" t="str">
        <f t="shared" si="8"/>
        <v>女</v>
      </c>
      <c r="H158" s="4" t="str">
        <f>"1992-12-06"</f>
        <v>1992-12-06</v>
      </c>
      <c r="I158" s="4">
        <v>62.5</v>
      </c>
      <c r="J158" s="5"/>
    </row>
    <row r="159" spans="1:10">
      <c r="A159" s="4">
        <v>155</v>
      </c>
      <c r="B159" s="4" t="str">
        <f>"20202110605"</f>
        <v>20202110605</v>
      </c>
      <c r="C159" s="4">
        <v>6</v>
      </c>
      <c r="D159" s="4">
        <v>5</v>
      </c>
      <c r="E159" s="4" t="s">
        <v>19</v>
      </c>
      <c r="F159" s="4" t="str">
        <f>"杜哲"</f>
        <v>杜哲</v>
      </c>
      <c r="G159" s="4" t="str">
        <f t="shared" si="8"/>
        <v>女</v>
      </c>
      <c r="H159" s="4" t="str">
        <f>"1993-02-08"</f>
        <v>1993-02-08</v>
      </c>
      <c r="I159" s="4">
        <v>71.7</v>
      </c>
      <c r="J159" s="5"/>
    </row>
    <row r="160" spans="1:10">
      <c r="A160" s="4">
        <v>156</v>
      </c>
      <c r="B160" s="4" t="str">
        <f>"20202110606"</f>
        <v>20202110606</v>
      </c>
      <c r="C160" s="4">
        <v>6</v>
      </c>
      <c r="D160" s="4">
        <v>6</v>
      </c>
      <c r="E160" s="4" t="s">
        <v>19</v>
      </c>
      <c r="F160" s="4" t="str">
        <f>"赵迪"</f>
        <v>赵迪</v>
      </c>
      <c r="G160" s="4" t="str">
        <f t="shared" si="8"/>
        <v>女</v>
      </c>
      <c r="H160" s="4" t="str">
        <f>"1992-09-20"</f>
        <v>1992-09-20</v>
      </c>
      <c r="I160" s="4">
        <v>65.4</v>
      </c>
      <c r="J160" s="5"/>
    </row>
    <row r="161" spans="1:10">
      <c r="A161" s="4">
        <v>157</v>
      </c>
      <c r="B161" s="4" t="str">
        <f>"20202110607"</f>
        <v>20202110607</v>
      </c>
      <c r="C161" s="4">
        <v>6</v>
      </c>
      <c r="D161" s="4">
        <v>7</v>
      </c>
      <c r="E161" s="4" t="s">
        <v>19</v>
      </c>
      <c r="F161" s="4" t="str">
        <f>"陶欢"</f>
        <v>陶欢</v>
      </c>
      <c r="G161" s="4" t="str">
        <f t="shared" si="8"/>
        <v>女</v>
      </c>
      <c r="H161" s="4" t="str">
        <f>"1995-09-16"</f>
        <v>1995-09-16</v>
      </c>
      <c r="I161" s="4">
        <v>75.5</v>
      </c>
      <c r="J161" s="5"/>
    </row>
    <row r="162" spans="1:10">
      <c r="A162" s="4">
        <v>158</v>
      </c>
      <c r="B162" s="4" t="str">
        <f>"20202110608"</f>
        <v>20202110608</v>
      </c>
      <c r="C162" s="4">
        <v>6</v>
      </c>
      <c r="D162" s="4">
        <v>8</v>
      </c>
      <c r="E162" s="4" t="s">
        <v>19</v>
      </c>
      <c r="F162" s="4" t="str">
        <f>"周心怡"</f>
        <v>周心怡</v>
      </c>
      <c r="G162" s="4" t="str">
        <f t="shared" si="8"/>
        <v>女</v>
      </c>
      <c r="H162" s="4" t="str">
        <f>"1998-07-31"</f>
        <v>1998-07-31</v>
      </c>
      <c r="I162" s="4">
        <v>64.5</v>
      </c>
      <c r="J162" s="5"/>
    </row>
    <row r="163" spans="1:10">
      <c r="A163" s="4">
        <v>159</v>
      </c>
      <c r="B163" s="4" t="str">
        <f>"20202110609"</f>
        <v>20202110609</v>
      </c>
      <c r="C163" s="4">
        <v>6</v>
      </c>
      <c r="D163" s="4">
        <v>9</v>
      </c>
      <c r="E163" s="4" t="s">
        <v>19</v>
      </c>
      <c r="F163" s="4" t="str">
        <f>"焦琳琼"</f>
        <v>焦琳琼</v>
      </c>
      <c r="G163" s="4" t="str">
        <f t="shared" si="8"/>
        <v>女</v>
      </c>
      <c r="H163" s="4" t="str">
        <f>"1990-11-05"</f>
        <v>1990-11-05</v>
      </c>
      <c r="I163" s="4">
        <v>66.2</v>
      </c>
      <c r="J163" s="5"/>
    </row>
    <row r="164" spans="1:10">
      <c r="A164" s="4">
        <v>160</v>
      </c>
      <c r="B164" s="4" t="str">
        <f>"20202110610"</f>
        <v>20202110610</v>
      </c>
      <c r="C164" s="4">
        <v>6</v>
      </c>
      <c r="D164" s="4">
        <v>10</v>
      </c>
      <c r="E164" s="4" t="s">
        <v>19</v>
      </c>
      <c r="F164" s="4" t="str">
        <f>"曹梦莉"</f>
        <v>曹梦莉</v>
      </c>
      <c r="G164" s="4" t="str">
        <f>"男"</f>
        <v>男</v>
      </c>
      <c r="H164" s="4" t="str">
        <f>"1991-08-18"</f>
        <v>1991-08-18</v>
      </c>
      <c r="I164" s="4">
        <v>52.6</v>
      </c>
      <c r="J164" s="5"/>
    </row>
    <row r="165" spans="1:10">
      <c r="A165" s="4">
        <v>161</v>
      </c>
      <c r="B165" s="4" t="str">
        <f>"20202110611"</f>
        <v>20202110611</v>
      </c>
      <c r="C165" s="4">
        <v>6</v>
      </c>
      <c r="D165" s="4">
        <v>11</v>
      </c>
      <c r="E165" s="4" t="s">
        <v>19</v>
      </c>
      <c r="F165" s="4" t="str">
        <f>"王蕊"</f>
        <v>王蕊</v>
      </c>
      <c r="G165" s="4" t="str">
        <f t="shared" ref="G165:G191" si="9">"女"</f>
        <v>女</v>
      </c>
      <c r="H165" s="4" t="str">
        <f>"1990-03-06"</f>
        <v>1990-03-06</v>
      </c>
      <c r="I165" s="4">
        <v>78.8</v>
      </c>
      <c r="J165" s="5"/>
    </row>
    <row r="166" spans="1:10">
      <c r="A166" s="4">
        <v>162</v>
      </c>
      <c r="B166" s="4" t="str">
        <f>"20202110612"</f>
        <v>20202110612</v>
      </c>
      <c r="C166" s="4">
        <v>6</v>
      </c>
      <c r="D166" s="4">
        <v>12</v>
      </c>
      <c r="E166" s="4" t="s">
        <v>19</v>
      </c>
      <c r="F166" s="4" t="str">
        <f>"熊远哲"</f>
        <v>熊远哲</v>
      </c>
      <c r="G166" s="4" t="str">
        <f t="shared" si="9"/>
        <v>女</v>
      </c>
      <c r="H166" s="4" t="str">
        <f>"1994-12-06"</f>
        <v>1994-12-06</v>
      </c>
      <c r="I166" s="4">
        <v>69.5</v>
      </c>
      <c r="J166" s="5"/>
    </row>
    <row r="167" spans="1:10">
      <c r="A167" s="4">
        <v>163</v>
      </c>
      <c r="B167" s="4" t="str">
        <f>"20202110613"</f>
        <v>20202110613</v>
      </c>
      <c r="C167" s="4">
        <v>6</v>
      </c>
      <c r="D167" s="4">
        <v>13</v>
      </c>
      <c r="E167" s="4" t="s">
        <v>19</v>
      </c>
      <c r="F167" s="4" t="str">
        <f>"杨欣"</f>
        <v>杨欣</v>
      </c>
      <c r="G167" s="4" t="str">
        <f t="shared" si="9"/>
        <v>女</v>
      </c>
      <c r="H167" s="4" t="str">
        <f>"1990-07-15"</f>
        <v>1990-07-15</v>
      </c>
      <c r="I167" s="4">
        <v>76.1</v>
      </c>
      <c r="J167" s="5"/>
    </row>
    <row r="168" spans="1:10">
      <c r="A168" s="4">
        <v>164</v>
      </c>
      <c r="B168" s="4" t="str">
        <f>"20202110614"</f>
        <v>20202110614</v>
      </c>
      <c r="C168" s="4">
        <v>6</v>
      </c>
      <c r="D168" s="4">
        <v>14</v>
      </c>
      <c r="E168" s="4" t="s">
        <v>19</v>
      </c>
      <c r="F168" s="4" t="str">
        <f>"华琳"</f>
        <v>华琳</v>
      </c>
      <c r="G168" s="4" t="str">
        <f t="shared" si="9"/>
        <v>女</v>
      </c>
      <c r="H168" s="4" t="str">
        <f>"1994-11-19"</f>
        <v>1994-11-19</v>
      </c>
      <c r="I168" s="4">
        <v>84.2</v>
      </c>
      <c r="J168" s="5"/>
    </row>
    <row r="169" spans="1:10">
      <c r="A169" s="4">
        <v>165</v>
      </c>
      <c r="B169" s="4" t="str">
        <f>"20202110615"</f>
        <v>20202110615</v>
      </c>
      <c r="C169" s="4">
        <v>6</v>
      </c>
      <c r="D169" s="4">
        <v>15</v>
      </c>
      <c r="E169" s="4" t="s">
        <v>19</v>
      </c>
      <c r="F169" s="4" t="str">
        <f>"李晓雨"</f>
        <v>李晓雨</v>
      </c>
      <c r="G169" s="4" t="str">
        <f t="shared" si="9"/>
        <v>女</v>
      </c>
      <c r="H169" s="4" t="str">
        <f>"1993-07-16"</f>
        <v>1993-07-16</v>
      </c>
      <c r="I169" s="4">
        <v>58.3</v>
      </c>
      <c r="J169" s="5"/>
    </row>
    <row r="170" spans="1:10">
      <c r="A170" s="4">
        <v>166</v>
      </c>
      <c r="B170" s="4" t="str">
        <f>"20202110616"</f>
        <v>20202110616</v>
      </c>
      <c r="C170" s="4">
        <v>6</v>
      </c>
      <c r="D170" s="4">
        <v>16</v>
      </c>
      <c r="E170" s="4" t="s">
        <v>19</v>
      </c>
      <c r="F170" s="4" t="str">
        <f>"樊祥楠"</f>
        <v>樊祥楠</v>
      </c>
      <c r="G170" s="4" t="str">
        <f t="shared" si="9"/>
        <v>女</v>
      </c>
      <c r="H170" s="4" t="str">
        <f>"1993-10-26"</f>
        <v>1993-10-26</v>
      </c>
      <c r="I170" s="4">
        <v>73.8</v>
      </c>
      <c r="J170" s="5"/>
    </row>
    <row r="171" spans="1:10">
      <c r="A171" s="4">
        <v>167</v>
      </c>
      <c r="B171" s="4" t="str">
        <f>"20202110617"</f>
        <v>20202110617</v>
      </c>
      <c r="C171" s="4">
        <v>6</v>
      </c>
      <c r="D171" s="4">
        <v>17</v>
      </c>
      <c r="E171" s="4" t="s">
        <v>19</v>
      </c>
      <c r="F171" s="4" t="str">
        <f>"霍亚玲"</f>
        <v>霍亚玲</v>
      </c>
      <c r="G171" s="4" t="str">
        <f t="shared" si="9"/>
        <v>女</v>
      </c>
      <c r="H171" s="4" t="str">
        <f>"1990-10-12"</f>
        <v>1990-10-12</v>
      </c>
      <c r="I171" s="4">
        <v>76.5</v>
      </c>
      <c r="J171" s="5"/>
    </row>
    <row r="172" spans="1:10">
      <c r="A172" s="4">
        <v>168</v>
      </c>
      <c r="B172" s="4" t="str">
        <f>"20202110618"</f>
        <v>20202110618</v>
      </c>
      <c r="C172" s="4">
        <v>6</v>
      </c>
      <c r="D172" s="4">
        <v>18</v>
      </c>
      <c r="E172" s="4" t="s">
        <v>19</v>
      </c>
      <c r="F172" s="4" t="str">
        <f>"孙华"</f>
        <v>孙华</v>
      </c>
      <c r="G172" s="4" t="str">
        <f t="shared" si="9"/>
        <v>女</v>
      </c>
      <c r="H172" s="4" t="str">
        <f>"1995-04-12"</f>
        <v>1995-04-12</v>
      </c>
      <c r="I172" s="4">
        <v>62.3</v>
      </c>
      <c r="J172" s="5"/>
    </row>
    <row r="173" spans="1:10">
      <c r="A173" s="4">
        <v>169</v>
      </c>
      <c r="B173" s="4" t="str">
        <f>"20202110619"</f>
        <v>20202110619</v>
      </c>
      <c r="C173" s="4">
        <v>6</v>
      </c>
      <c r="D173" s="4">
        <v>19</v>
      </c>
      <c r="E173" s="4" t="s">
        <v>19</v>
      </c>
      <c r="F173" s="4" t="str">
        <f>"陈恩鑫"</f>
        <v>陈恩鑫</v>
      </c>
      <c r="G173" s="4" t="str">
        <f t="shared" si="9"/>
        <v>女</v>
      </c>
      <c r="H173" s="4" t="str">
        <f>"1997-02-24"</f>
        <v>1997-02-24</v>
      </c>
      <c r="I173" s="4">
        <v>76.5</v>
      </c>
      <c r="J173" s="5"/>
    </row>
    <row r="174" spans="1:10">
      <c r="A174" s="4">
        <v>170</v>
      </c>
      <c r="B174" s="4" t="str">
        <f>"20202110620"</f>
        <v>20202110620</v>
      </c>
      <c r="C174" s="4">
        <v>6</v>
      </c>
      <c r="D174" s="4">
        <v>20</v>
      </c>
      <c r="E174" s="4" t="s">
        <v>19</v>
      </c>
      <c r="F174" s="4" t="str">
        <f>"赵真真"</f>
        <v>赵真真</v>
      </c>
      <c r="G174" s="4" t="str">
        <f t="shared" si="9"/>
        <v>女</v>
      </c>
      <c r="H174" s="4" t="str">
        <f>"1995-01-04"</f>
        <v>1995-01-04</v>
      </c>
      <c r="I174" s="4">
        <v>66.2</v>
      </c>
      <c r="J174" s="5"/>
    </row>
    <row r="175" spans="1:10">
      <c r="A175" s="4">
        <v>171</v>
      </c>
      <c r="B175" s="4" t="str">
        <f>"20202110621"</f>
        <v>20202110621</v>
      </c>
      <c r="C175" s="4">
        <v>6</v>
      </c>
      <c r="D175" s="4">
        <v>21</v>
      </c>
      <c r="E175" s="4" t="s">
        <v>19</v>
      </c>
      <c r="F175" s="4" t="str">
        <f>"张亚"</f>
        <v>张亚</v>
      </c>
      <c r="G175" s="4" t="str">
        <f t="shared" si="9"/>
        <v>女</v>
      </c>
      <c r="H175" s="4" t="str">
        <f>"1994-11-29"</f>
        <v>1994-11-29</v>
      </c>
      <c r="I175" s="4">
        <v>51.9</v>
      </c>
      <c r="J175" s="5"/>
    </row>
    <row r="176" spans="1:10">
      <c r="A176" s="4">
        <v>172</v>
      </c>
      <c r="B176" s="4" t="str">
        <f>"20202110622"</f>
        <v>20202110622</v>
      </c>
      <c r="C176" s="4">
        <v>6</v>
      </c>
      <c r="D176" s="4">
        <v>22</v>
      </c>
      <c r="E176" s="4" t="s">
        <v>19</v>
      </c>
      <c r="F176" s="4" t="str">
        <f>"张甜"</f>
        <v>张甜</v>
      </c>
      <c r="G176" s="4" t="str">
        <f t="shared" si="9"/>
        <v>女</v>
      </c>
      <c r="H176" s="4" t="str">
        <f>"1998-01-13"</f>
        <v>1998-01-13</v>
      </c>
      <c r="I176" s="4">
        <v>50.3</v>
      </c>
      <c r="J176" s="5"/>
    </row>
    <row r="177" spans="1:10">
      <c r="A177" s="4">
        <v>173</v>
      </c>
      <c r="B177" s="4" t="str">
        <f>"20202110623"</f>
        <v>20202110623</v>
      </c>
      <c r="C177" s="4">
        <v>6</v>
      </c>
      <c r="D177" s="4">
        <v>23</v>
      </c>
      <c r="E177" s="4" t="s">
        <v>19</v>
      </c>
      <c r="F177" s="4" t="str">
        <f>"程春玉"</f>
        <v>程春玉</v>
      </c>
      <c r="G177" s="4" t="str">
        <f t="shared" si="9"/>
        <v>女</v>
      </c>
      <c r="H177" s="4" t="str">
        <f>"1991-10-06"</f>
        <v>1991-10-06</v>
      </c>
      <c r="I177" s="4" t="s">
        <v>12</v>
      </c>
      <c r="J177" s="5"/>
    </row>
    <row r="178" spans="1:10">
      <c r="A178" s="4">
        <v>174</v>
      </c>
      <c r="B178" s="4" t="str">
        <f>"20202110624"</f>
        <v>20202110624</v>
      </c>
      <c r="C178" s="4">
        <v>6</v>
      </c>
      <c r="D178" s="4">
        <v>24</v>
      </c>
      <c r="E178" s="4" t="s">
        <v>19</v>
      </c>
      <c r="F178" s="4" t="str">
        <f>"刘长荣"</f>
        <v>刘长荣</v>
      </c>
      <c r="G178" s="4" t="str">
        <f t="shared" si="9"/>
        <v>女</v>
      </c>
      <c r="H178" s="4" t="str">
        <f>"1995-10-26"</f>
        <v>1995-10-26</v>
      </c>
      <c r="I178" s="4">
        <v>71.8</v>
      </c>
      <c r="J178" s="5"/>
    </row>
    <row r="179" spans="1:10">
      <c r="A179" s="4">
        <v>175</v>
      </c>
      <c r="B179" s="4" t="str">
        <f>"20202110625"</f>
        <v>20202110625</v>
      </c>
      <c r="C179" s="4">
        <v>6</v>
      </c>
      <c r="D179" s="4">
        <v>25</v>
      </c>
      <c r="E179" s="4" t="s">
        <v>19</v>
      </c>
      <c r="F179" s="4" t="str">
        <f>"赵曼"</f>
        <v>赵曼</v>
      </c>
      <c r="G179" s="4" t="str">
        <f t="shared" si="9"/>
        <v>女</v>
      </c>
      <c r="H179" s="4" t="str">
        <f>"1990-03-15"</f>
        <v>1990-03-15</v>
      </c>
      <c r="I179" s="4">
        <v>66.5</v>
      </c>
      <c r="J179" s="5"/>
    </row>
    <row r="180" spans="1:10">
      <c r="A180" s="4">
        <v>176</v>
      </c>
      <c r="B180" s="4" t="str">
        <f>"20202110626"</f>
        <v>20202110626</v>
      </c>
      <c r="C180" s="4">
        <v>6</v>
      </c>
      <c r="D180" s="4">
        <v>26</v>
      </c>
      <c r="E180" s="4" t="s">
        <v>19</v>
      </c>
      <c r="F180" s="4" t="str">
        <f>"张萌"</f>
        <v>张萌</v>
      </c>
      <c r="G180" s="4" t="str">
        <f t="shared" si="9"/>
        <v>女</v>
      </c>
      <c r="H180" s="4" t="str">
        <f>"1994-03-06"</f>
        <v>1994-03-06</v>
      </c>
      <c r="I180" s="4">
        <v>75.2</v>
      </c>
      <c r="J180" s="5"/>
    </row>
    <row r="181" spans="1:10">
      <c r="A181" s="4">
        <v>177</v>
      </c>
      <c r="B181" s="4" t="str">
        <f>"20202110627"</f>
        <v>20202110627</v>
      </c>
      <c r="C181" s="4">
        <v>6</v>
      </c>
      <c r="D181" s="4">
        <v>27</v>
      </c>
      <c r="E181" s="4" t="s">
        <v>19</v>
      </c>
      <c r="F181" s="4" t="str">
        <f>"邢婷婷"</f>
        <v>邢婷婷</v>
      </c>
      <c r="G181" s="4" t="str">
        <f t="shared" si="9"/>
        <v>女</v>
      </c>
      <c r="H181" s="4" t="str">
        <f>"1995-10-12"</f>
        <v>1995-10-12</v>
      </c>
      <c r="I181" s="4" t="s">
        <v>12</v>
      </c>
      <c r="J181" s="5"/>
    </row>
    <row r="182" spans="1:10">
      <c r="A182" s="4">
        <v>178</v>
      </c>
      <c r="B182" s="4" t="str">
        <f>"20202110628"</f>
        <v>20202110628</v>
      </c>
      <c r="C182" s="4">
        <v>6</v>
      </c>
      <c r="D182" s="4">
        <v>28</v>
      </c>
      <c r="E182" s="4" t="s">
        <v>19</v>
      </c>
      <c r="F182" s="4" t="str">
        <f>"李纯纯"</f>
        <v>李纯纯</v>
      </c>
      <c r="G182" s="4" t="str">
        <f t="shared" si="9"/>
        <v>女</v>
      </c>
      <c r="H182" s="4" t="str">
        <f>"1994-11-07"</f>
        <v>1994-11-07</v>
      </c>
      <c r="I182" s="4">
        <v>63.7</v>
      </c>
      <c r="J182" s="5"/>
    </row>
    <row r="183" spans="1:10">
      <c r="A183" s="4">
        <v>179</v>
      </c>
      <c r="B183" s="4" t="str">
        <f>"20202110629"</f>
        <v>20202110629</v>
      </c>
      <c r="C183" s="4">
        <v>6</v>
      </c>
      <c r="D183" s="4">
        <v>29</v>
      </c>
      <c r="E183" s="4" t="s">
        <v>19</v>
      </c>
      <c r="F183" s="4" t="str">
        <f>"宋艳"</f>
        <v>宋艳</v>
      </c>
      <c r="G183" s="4" t="str">
        <f t="shared" si="9"/>
        <v>女</v>
      </c>
      <c r="H183" s="4" t="str">
        <f>"1995-08-24"</f>
        <v>1995-08-24</v>
      </c>
      <c r="I183" s="4" t="s">
        <v>12</v>
      </c>
      <c r="J183" s="5"/>
    </row>
    <row r="184" spans="1:10">
      <c r="A184" s="4">
        <v>180</v>
      </c>
      <c r="B184" s="4" t="str">
        <f>"20202110630"</f>
        <v>20202110630</v>
      </c>
      <c r="C184" s="4">
        <v>6</v>
      </c>
      <c r="D184" s="4">
        <v>30</v>
      </c>
      <c r="E184" s="4" t="s">
        <v>19</v>
      </c>
      <c r="F184" s="4" t="str">
        <f>"王晓文"</f>
        <v>王晓文</v>
      </c>
      <c r="G184" s="4" t="str">
        <f t="shared" si="9"/>
        <v>女</v>
      </c>
      <c r="H184" s="4" t="str">
        <f>"1997-03-12"</f>
        <v>1997-03-12</v>
      </c>
      <c r="I184" s="4" t="s">
        <v>12</v>
      </c>
      <c r="J184" s="5"/>
    </row>
    <row r="185" spans="1:10">
      <c r="A185" s="4">
        <v>181</v>
      </c>
      <c r="B185" s="4" t="str">
        <f>"20202110701"</f>
        <v>20202110701</v>
      </c>
      <c r="C185" s="4">
        <v>7</v>
      </c>
      <c r="D185" s="4">
        <v>1</v>
      </c>
      <c r="E185" s="4" t="s">
        <v>19</v>
      </c>
      <c r="F185" s="4" t="str">
        <f>"李运芝"</f>
        <v>李运芝</v>
      </c>
      <c r="G185" s="4" t="str">
        <f t="shared" si="9"/>
        <v>女</v>
      </c>
      <c r="H185" s="4" t="str">
        <f>"1990-07-01"</f>
        <v>1990-07-01</v>
      </c>
      <c r="I185" s="4" t="s">
        <v>12</v>
      </c>
      <c r="J185" s="5"/>
    </row>
    <row r="186" spans="1:10">
      <c r="A186" s="4">
        <v>182</v>
      </c>
      <c r="B186" s="4" t="str">
        <f>"20202110702"</f>
        <v>20202110702</v>
      </c>
      <c r="C186" s="4">
        <v>7</v>
      </c>
      <c r="D186" s="4">
        <v>2</v>
      </c>
      <c r="E186" s="4" t="s">
        <v>19</v>
      </c>
      <c r="F186" s="4" t="str">
        <f>"刚贝贝"</f>
        <v>刚贝贝</v>
      </c>
      <c r="G186" s="4" t="str">
        <f t="shared" si="9"/>
        <v>女</v>
      </c>
      <c r="H186" s="4" t="str">
        <f>"1993-03-04"</f>
        <v>1993-03-04</v>
      </c>
      <c r="I186" s="4">
        <v>65.7</v>
      </c>
      <c r="J186" s="5"/>
    </row>
    <row r="187" spans="1:10">
      <c r="A187" s="4">
        <v>183</v>
      </c>
      <c r="B187" s="4" t="str">
        <f>"20202110703"</f>
        <v>20202110703</v>
      </c>
      <c r="C187" s="4">
        <v>7</v>
      </c>
      <c r="D187" s="4">
        <v>3</v>
      </c>
      <c r="E187" s="4" t="s">
        <v>19</v>
      </c>
      <c r="F187" s="4" t="str">
        <f>"李召惠"</f>
        <v>李召惠</v>
      </c>
      <c r="G187" s="4" t="str">
        <f t="shared" si="9"/>
        <v>女</v>
      </c>
      <c r="H187" s="4" t="str">
        <f>"1994-02-11"</f>
        <v>1994-02-11</v>
      </c>
      <c r="I187" s="4">
        <v>55.9</v>
      </c>
      <c r="J187" s="5"/>
    </row>
    <row r="188" spans="1:10">
      <c r="A188" s="4">
        <v>184</v>
      </c>
      <c r="B188" s="4" t="str">
        <f>"20202110704"</f>
        <v>20202110704</v>
      </c>
      <c r="C188" s="4">
        <v>7</v>
      </c>
      <c r="D188" s="4">
        <v>4</v>
      </c>
      <c r="E188" s="4" t="s">
        <v>19</v>
      </c>
      <c r="F188" s="4" t="str">
        <f>"杨秋"</f>
        <v>杨秋</v>
      </c>
      <c r="G188" s="4" t="str">
        <f t="shared" si="9"/>
        <v>女</v>
      </c>
      <c r="H188" s="4" t="str">
        <f>"1993-08-15"</f>
        <v>1993-08-15</v>
      </c>
      <c r="I188" s="4">
        <v>74.1</v>
      </c>
      <c r="J188" s="5"/>
    </row>
    <row r="189" spans="1:10">
      <c r="A189" s="4">
        <v>185</v>
      </c>
      <c r="B189" s="4" t="str">
        <f>"20202110705"</f>
        <v>20202110705</v>
      </c>
      <c r="C189" s="4">
        <v>7</v>
      </c>
      <c r="D189" s="4">
        <v>5</v>
      </c>
      <c r="E189" s="4" t="s">
        <v>19</v>
      </c>
      <c r="F189" s="4" t="str">
        <f>"杨洋"</f>
        <v>杨洋</v>
      </c>
      <c r="G189" s="4" t="str">
        <f t="shared" si="9"/>
        <v>女</v>
      </c>
      <c r="H189" s="4" t="str">
        <f>"1996-01-18"</f>
        <v>1996-01-18</v>
      </c>
      <c r="I189" s="4">
        <v>66.1</v>
      </c>
      <c r="J189" s="5"/>
    </row>
    <row r="190" spans="1:10">
      <c r="A190" s="4">
        <v>186</v>
      </c>
      <c r="B190" s="4" t="str">
        <f>"20202210706"</f>
        <v>20202210706</v>
      </c>
      <c r="C190" s="4">
        <v>7</v>
      </c>
      <c r="D190" s="4">
        <v>6</v>
      </c>
      <c r="E190" s="4" t="s">
        <v>20</v>
      </c>
      <c r="F190" s="4" t="str">
        <f>"王晓梦"</f>
        <v>王晓梦</v>
      </c>
      <c r="G190" s="4" t="str">
        <f t="shared" si="9"/>
        <v>女</v>
      </c>
      <c r="H190" s="4" t="str">
        <f>"1991-10-26"</f>
        <v>1991-10-26</v>
      </c>
      <c r="I190" s="4">
        <v>68.5</v>
      </c>
      <c r="J190" s="5"/>
    </row>
    <row r="191" spans="1:10">
      <c r="A191" s="4">
        <v>187</v>
      </c>
      <c r="B191" s="4" t="str">
        <f>"20202210707"</f>
        <v>20202210707</v>
      </c>
      <c r="C191" s="4">
        <v>7</v>
      </c>
      <c r="D191" s="4">
        <v>7</v>
      </c>
      <c r="E191" s="4" t="s">
        <v>20</v>
      </c>
      <c r="F191" s="4" t="str">
        <f>"张丹"</f>
        <v>张丹</v>
      </c>
      <c r="G191" s="4" t="str">
        <f t="shared" si="9"/>
        <v>女</v>
      </c>
      <c r="H191" s="4" t="str">
        <f>"1990-06-22"</f>
        <v>1990-06-22</v>
      </c>
      <c r="I191" s="4" t="s">
        <v>12</v>
      </c>
      <c r="J191" s="5"/>
    </row>
    <row r="192" spans="1:10">
      <c r="A192" s="4">
        <v>188</v>
      </c>
      <c r="B192" s="4" t="str">
        <f>"20202210708"</f>
        <v>20202210708</v>
      </c>
      <c r="C192" s="4">
        <v>7</v>
      </c>
      <c r="D192" s="4">
        <v>8</v>
      </c>
      <c r="E192" s="4" t="s">
        <v>20</v>
      </c>
      <c r="F192" s="4" t="str">
        <f>"张迪"</f>
        <v>张迪</v>
      </c>
      <c r="G192" s="4" t="str">
        <f>"男"</f>
        <v>男</v>
      </c>
      <c r="H192" s="4" t="str">
        <f>"1993-06-21"</f>
        <v>1993-06-21</v>
      </c>
      <c r="I192" s="4">
        <v>60.3</v>
      </c>
      <c r="J192" s="5"/>
    </row>
    <row r="193" spans="1:10">
      <c r="A193" s="4">
        <v>189</v>
      </c>
      <c r="B193" s="4" t="str">
        <f>"20202210709"</f>
        <v>20202210709</v>
      </c>
      <c r="C193" s="4">
        <v>7</v>
      </c>
      <c r="D193" s="4">
        <v>9</v>
      </c>
      <c r="E193" s="4" t="s">
        <v>20</v>
      </c>
      <c r="F193" s="4" t="str">
        <f>"程浩"</f>
        <v>程浩</v>
      </c>
      <c r="G193" s="4" t="str">
        <f>"男"</f>
        <v>男</v>
      </c>
      <c r="H193" s="4" t="str">
        <f>"1991-03-09"</f>
        <v>1991-03-09</v>
      </c>
      <c r="I193" s="4" t="s">
        <v>12</v>
      </c>
      <c r="J193" s="5"/>
    </row>
    <row r="194" spans="1:10">
      <c r="A194" s="4">
        <v>190</v>
      </c>
      <c r="B194" s="4" t="str">
        <f>"20202210710"</f>
        <v>20202210710</v>
      </c>
      <c r="C194" s="4">
        <v>7</v>
      </c>
      <c r="D194" s="4">
        <v>10</v>
      </c>
      <c r="E194" s="4" t="s">
        <v>20</v>
      </c>
      <c r="F194" s="4" t="str">
        <f>"胡爽"</f>
        <v>胡爽</v>
      </c>
      <c r="G194" s="4" t="str">
        <f t="shared" ref="G194:G202" si="10">"女"</f>
        <v>女</v>
      </c>
      <c r="H194" s="4" t="str">
        <f>"1996-07-11"</f>
        <v>1996-07-11</v>
      </c>
      <c r="I194" s="4">
        <v>71.4</v>
      </c>
      <c r="J194" s="5"/>
    </row>
    <row r="195" spans="1:10">
      <c r="A195" s="4">
        <v>191</v>
      </c>
      <c r="B195" s="4" t="str">
        <f>"20202210711"</f>
        <v>20202210711</v>
      </c>
      <c r="C195" s="4">
        <v>7</v>
      </c>
      <c r="D195" s="4">
        <v>11</v>
      </c>
      <c r="E195" s="4" t="s">
        <v>20</v>
      </c>
      <c r="F195" s="4" t="str">
        <f>"刘攀"</f>
        <v>刘攀</v>
      </c>
      <c r="G195" s="4" t="str">
        <f t="shared" si="10"/>
        <v>女</v>
      </c>
      <c r="H195" s="4" t="str">
        <f>"1991-01-06"</f>
        <v>1991-01-06</v>
      </c>
      <c r="I195" s="4">
        <v>84.9</v>
      </c>
      <c r="J195" s="5"/>
    </row>
    <row r="196" spans="1:10">
      <c r="A196" s="4">
        <v>192</v>
      </c>
      <c r="B196" s="4" t="str">
        <f>"20202210712"</f>
        <v>20202210712</v>
      </c>
      <c r="C196" s="4">
        <v>7</v>
      </c>
      <c r="D196" s="4">
        <v>12</v>
      </c>
      <c r="E196" s="4" t="s">
        <v>20</v>
      </c>
      <c r="F196" s="4" t="str">
        <f>"赵冰冰"</f>
        <v>赵冰冰</v>
      </c>
      <c r="G196" s="4" t="str">
        <f t="shared" si="10"/>
        <v>女</v>
      </c>
      <c r="H196" s="4" t="str">
        <f>"1994-06-07"</f>
        <v>1994-06-07</v>
      </c>
      <c r="I196" s="4">
        <v>50.4</v>
      </c>
      <c r="J196" s="5"/>
    </row>
    <row r="197" spans="1:10">
      <c r="A197" s="4">
        <v>193</v>
      </c>
      <c r="B197" s="4" t="str">
        <f>"20202210713"</f>
        <v>20202210713</v>
      </c>
      <c r="C197" s="4">
        <v>7</v>
      </c>
      <c r="D197" s="4">
        <v>13</v>
      </c>
      <c r="E197" s="4" t="s">
        <v>20</v>
      </c>
      <c r="F197" s="4" t="str">
        <f>"马琳"</f>
        <v>马琳</v>
      </c>
      <c r="G197" s="4" t="str">
        <f t="shared" si="10"/>
        <v>女</v>
      </c>
      <c r="H197" s="4" t="str">
        <f>"1996-02-26"</f>
        <v>1996-02-26</v>
      </c>
      <c r="I197" s="4" t="s">
        <v>12</v>
      </c>
      <c r="J197" s="5"/>
    </row>
    <row r="198" spans="1:10">
      <c r="A198" s="4">
        <v>194</v>
      </c>
      <c r="B198" s="4" t="str">
        <f>"20202210714"</f>
        <v>20202210714</v>
      </c>
      <c r="C198" s="4">
        <v>7</v>
      </c>
      <c r="D198" s="4">
        <v>14</v>
      </c>
      <c r="E198" s="4" t="s">
        <v>20</v>
      </c>
      <c r="F198" s="4" t="str">
        <f>"刘鹏展"</f>
        <v>刘鹏展</v>
      </c>
      <c r="G198" s="4" t="str">
        <f t="shared" si="10"/>
        <v>女</v>
      </c>
      <c r="H198" s="4" t="str">
        <f>"1994-11-02"</f>
        <v>1994-11-02</v>
      </c>
      <c r="I198" s="4">
        <v>61.4</v>
      </c>
      <c r="J198" s="5"/>
    </row>
    <row r="199" spans="1:10">
      <c r="A199" s="4">
        <v>195</v>
      </c>
      <c r="B199" s="4" t="str">
        <f>"20202210715"</f>
        <v>20202210715</v>
      </c>
      <c r="C199" s="4">
        <v>7</v>
      </c>
      <c r="D199" s="4">
        <v>15</v>
      </c>
      <c r="E199" s="4" t="s">
        <v>20</v>
      </c>
      <c r="F199" s="4" t="str">
        <f>"李国松"</f>
        <v>李国松</v>
      </c>
      <c r="G199" s="4" t="str">
        <f t="shared" si="10"/>
        <v>女</v>
      </c>
      <c r="H199" s="4" t="str">
        <f>"1992-01-24"</f>
        <v>1992-01-24</v>
      </c>
      <c r="I199" s="4">
        <v>86.9</v>
      </c>
      <c r="J199" s="5"/>
    </row>
    <row r="200" spans="1:10">
      <c r="A200" s="4">
        <v>196</v>
      </c>
      <c r="B200" s="4" t="str">
        <f>"20202210716"</f>
        <v>20202210716</v>
      </c>
      <c r="C200" s="4">
        <v>7</v>
      </c>
      <c r="D200" s="4">
        <v>16</v>
      </c>
      <c r="E200" s="4" t="s">
        <v>20</v>
      </c>
      <c r="F200" s="4" t="str">
        <f>"高曼曼"</f>
        <v>高曼曼</v>
      </c>
      <c r="G200" s="4" t="str">
        <f t="shared" si="10"/>
        <v>女</v>
      </c>
      <c r="H200" s="4" t="str">
        <f>"1994-09-19"</f>
        <v>1994-09-19</v>
      </c>
      <c r="I200" s="4" t="s">
        <v>12</v>
      </c>
      <c r="J200" s="5"/>
    </row>
    <row r="201" spans="1:10">
      <c r="A201" s="4">
        <v>197</v>
      </c>
      <c r="B201" s="4" t="str">
        <f>"20202210717"</f>
        <v>20202210717</v>
      </c>
      <c r="C201" s="4">
        <v>7</v>
      </c>
      <c r="D201" s="4">
        <v>17</v>
      </c>
      <c r="E201" s="4" t="s">
        <v>20</v>
      </c>
      <c r="F201" s="4" t="str">
        <f>"毛莉"</f>
        <v>毛莉</v>
      </c>
      <c r="G201" s="4" t="str">
        <f t="shared" si="10"/>
        <v>女</v>
      </c>
      <c r="H201" s="4" t="str">
        <f>"1994-07-04"</f>
        <v>1994-07-04</v>
      </c>
      <c r="I201" s="4">
        <v>71.4</v>
      </c>
      <c r="J201" s="5"/>
    </row>
    <row r="202" spans="1:10">
      <c r="A202" s="4">
        <v>198</v>
      </c>
      <c r="B202" s="4" t="str">
        <f>"20202210718"</f>
        <v>20202210718</v>
      </c>
      <c r="C202" s="4">
        <v>7</v>
      </c>
      <c r="D202" s="4">
        <v>18</v>
      </c>
      <c r="E202" s="4" t="s">
        <v>20</v>
      </c>
      <c r="F202" s="4" t="str">
        <f>"刘亚歌"</f>
        <v>刘亚歌</v>
      </c>
      <c r="G202" s="4" t="str">
        <f t="shared" si="10"/>
        <v>女</v>
      </c>
      <c r="H202" s="4" t="str">
        <f>"1995-02-20"</f>
        <v>1995-02-20</v>
      </c>
      <c r="I202" s="4">
        <v>61.1</v>
      </c>
      <c r="J202" s="5"/>
    </row>
    <row r="203" spans="1:10">
      <c r="A203" s="4">
        <v>199</v>
      </c>
      <c r="B203" s="4" t="str">
        <f>"20202210719"</f>
        <v>20202210719</v>
      </c>
      <c r="C203" s="4">
        <v>7</v>
      </c>
      <c r="D203" s="4">
        <v>19</v>
      </c>
      <c r="E203" s="4" t="s">
        <v>20</v>
      </c>
      <c r="F203" s="4" t="str">
        <f>"向微"</f>
        <v>向微</v>
      </c>
      <c r="G203" s="4" t="str">
        <f>"男"</f>
        <v>男</v>
      </c>
      <c r="H203" s="4" t="str">
        <f>"1994-05-07"</f>
        <v>1994-05-07</v>
      </c>
      <c r="I203" s="4" t="s">
        <v>12</v>
      </c>
      <c r="J203" s="5"/>
    </row>
    <row r="204" spans="1:10">
      <c r="A204" s="4">
        <v>200</v>
      </c>
      <c r="B204" s="4" t="str">
        <f>"20202210720"</f>
        <v>20202210720</v>
      </c>
      <c r="C204" s="4">
        <v>7</v>
      </c>
      <c r="D204" s="4">
        <v>20</v>
      </c>
      <c r="E204" s="4" t="s">
        <v>20</v>
      </c>
      <c r="F204" s="4" t="str">
        <f>"潘辛合"</f>
        <v>潘辛合</v>
      </c>
      <c r="G204" s="4" t="str">
        <f>"男"</f>
        <v>男</v>
      </c>
      <c r="H204" s="4" t="str">
        <f>"1993-09-24"</f>
        <v>1993-09-24</v>
      </c>
      <c r="I204" s="4">
        <v>69.4</v>
      </c>
      <c r="J204" s="5"/>
    </row>
    <row r="205" spans="1:10">
      <c r="A205" s="4">
        <v>201</v>
      </c>
      <c r="B205" s="4" t="str">
        <f>"20202210721"</f>
        <v>20202210721</v>
      </c>
      <c r="C205" s="4">
        <v>7</v>
      </c>
      <c r="D205" s="4">
        <v>21</v>
      </c>
      <c r="E205" s="4" t="s">
        <v>20</v>
      </c>
      <c r="F205" s="4" t="str">
        <f>"刘华丽"</f>
        <v>刘华丽</v>
      </c>
      <c r="G205" s="4" t="str">
        <f>"女"</f>
        <v>女</v>
      </c>
      <c r="H205" s="4" t="str">
        <f>"1993-01-20"</f>
        <v>1993-01-20</v>
      </c>
      <c r="I205" s="4">
        <v>67.7</v>
      </c>
      <c r="J205" s="5"/>
    </row>
    <row r="206" spans="1:10">
      <c r="A206" s="4">
        <v>202</v>
      </c>
      <c r="B206" s="4" t="str">
        <f>"20202210722"</f>
        <v>20202210722</v>
      </c>
      <c r="C206" s="4">
        <v>7</v>
      </c>
      <c r="D206" s="4">
        <v>22</v>
      </c>
      <c r="E206" s="4" t="s">
        <v>20</v>
      </c>
      <c r="F206" s="4" t="str">
        <f>"张晗青"</f>
        <v>张晗青</v>
      </c>
      <c r="G206" s="4" t="str">
        <f>"女"</f>
        <v>女</v>
      </c>
      <c r="H206" s="4" t="str">
        <f>"1991-10-17"</f>
        <v>1991-10-17</v>
      </c>
      <c r="I206" s="4">
        <v>72.1</v>
      </c>
      <c r="J206" s="5"/>
    </row>
    <row r="207" spans="1:10">
      <c r="A207" s="4">
        <v>203</v>
      </c>
      <c r="B207" s="4" t="str">
        <f>"20202210723"</f>
        <v>20202210723</v>
      </c>
      <c r="C207" s="4">
        <v>7</v>
      </c>
      <c r="D207" s="4">
        <v>23</v>
      </c>
      <c r="E207" s="4" t="s">
        <v>20</v>
      </c>
      <c r="F207" s="4" t="str">
        <f>"余阳"</f>
        <v>余阳</v>
      </c>
      <c r="G207" s="4" t="str">
        <f>"女"</f>
        <v>女</v>
      </c>
      <c r="H207" s="4" t="str">
        <f>"1998-09-06"</f>
        <v>1998-09-06</v>
      </c>
      <c r="I207" s="4" t="s">
        <v>12</v>
      </c>
      <c r="J207" s="5"/>
    </row>
    <row r="208" spans="1:10">
      <c r="A208" s="4">
        <v>204</v>
      </c>
      <c r="B208" s="4" t="str">
        <f>"20202210724"</f>
        <v>20202210724</v>
      </c>
      <c r="C208" s="4">
        <v>7</v>
      </c>
      <c r="D208" s="4">
        <v>24</v>
      </c>
      <c r="E208" s="4" t="s">
        <v>20</v>
      </c>
      <c r="F208" s="4" t="str">
        <f>"廖力全"</f>
        <v>廖力全</v>
      </c>
      <c r="G208" s="4" t="str">
        <f>"男"</f>
        <v>男</v>
      </c>
      <c r="H208" s="4" t="str">
        <f>"1992-05-16"</f>
        <v>1992-05-16</v>
      </c>
      <c r="I208" s="4" t="s">
        <v>12</v>
      </c>
      <c r="J208" s="5"/>
    </row>
    <row r="209" spans="1:10">
      <c r="A209" s="4">
        <v>205</v>
      </c>
      <c r="B209" s="4" t="str">
        <f>"20202210725"</f>
        <v>20202210725</v>
      </c>
      <c r="C209" s="4">
        <v>7</v>
      </c>
      <c r="D209" s="4">
        <v>25</v>
      </c>
      <c r="E209" s="4" t="s">
        <v>20</v>
      </c>
      <c r="F209" s="4" t="str">
        <f>"郭恒阳"</f>
        <v>郭恒阳</v>
      </c>
      <c r="G209" s="4" t="str">
        <f>"女"</f>
        <v>女</v>
      </c>
      <c r="H209" s="4" t="str">
        <f>"1998-07-08"</f>
        <v>1998-07-08</v>
      </c>
      <c r="I209" s="4">
        <v>61.8</v>
      </c>
      <c r="J209" s="5"/>
    </row>
    <row r="210" spans="1:10">
      <c r="A210" s="4">
        <v>206</v>
      </c>
      <c r="B210" s="4" t="str">
        <f>"20202210726"</f>
        <v>20202210726</v>
      </c>
      <c r="C210" s="4">
        <v>7</v>
      </c>
      <c r="D210" s="4">
        <v>26</v>
      </c>
      <c r="E210" s="4" t="s">
        <v>20</v>
      </c>
      <c r="F210" s="4" t="str">
        <f>"刘云肖"</f>
        <v>刘云肖</v>
      </c>
      <c r="G210" s="4" t="str">
        <f>"男"</f>
        <v>男</v>
      </c>
      <c r="H210" s="4" t="str">
        <f>"1991-05-15"</f>
        <v>1991-05-15</v>
      </c>
      <c r="I210" s="4">
        <v>52.1</v>
      </c>
      <c r="J210" s="5"/>
    </row>
    <row r="211" spans="1:10">
      <c r="A211" s="4">
        <v>207</v>
      </c>
      <c r="B211" s="4" t="str">
        <f>"20202210727"</f>
        <v>20202210727</v>
      </c>
      <c r="C211" s="4">
        <v>7</v>
      </c>
      <c r="D211" s="4">
        <v>27</v>
      </c>
      <c r="E211" s="4" t="s">
        <v>20</v>
      </c>
      <c r="F211" s="4" t="str">
        <f>"谢肖肖"</f>
        <v>谢肖肖</v>
      </c>
      <c r="G211" s="4" t="str">
        <f t="shared" ref="G211:G254" si="11">"女"</f>
        <v>女</v>
      </c>
      <c r="H211" s="4" t="str">
        <f>"1993-01-06"</f>
        <v>1993-01-06</v>
      </c>
      <c r="I211" s="4">
        <v>84.2</v>
      </c>
      <c r="J211" s="5"/>
    </row>
    <row r="212" spans="1:10">
      <c r="A212" s="4">
        <v>208</v>
      </c>
      <c r="B212" s="4" t="str">
        <f>"20202210728"</f>
        <v>20202210728</v>
      </c>
      <c r="C212" s="4">
        <v>7</v>
      </c>
      <c r="D212" s="4">
        <v>28</v>
      </c>
      <c r="E212" s="4" t="s">
        <v>20</v>
      </c>
      <c r="F212" s="4" t="str">
        <f>"王琰"</f>
        <v>王琰</v>
      </c>
      <c r="G212" s="4" t="str">
        <f t="shared" si="11"/>
        <v>女</v>
      </c>
      <c r="H212" s="4" t="str">
        <f>"1991-10-12"</f>
        <v>1991-10-12</v>
      </c>
      <c r="I212" s="4" t="s">
        <v>12</v>
      </c>
      <c r="J212" s="5"/>
    </row>
    <row r="213" spans="1:10">
      <c r="A213" s="4">
        <v>209</v>
      </c>
      <c r="B213" s="4" t="str">
        <f>"20202210729"</f>
        <v>20202210729</v>
      </c>
      <c r="C213" s="4">
        <v>7</v>
      </c>
      <c r="D213" s="4">
        <v>29</v>
      </c>
      <c r="E213" s="4" t="s">
        <v>20</v>
      </c>
      <c r="F213" s="4" t="str">
        <f>"韩意"</f>
        <v>韩意</v>
      </c>
      <c r="G213" s="4" t="str">
        <f t="shared" si="11"/>
        <v>女</v>
      </c>
      <c r="H213" s="4" t="str">
        <f>"1995-04-01"</f>
        <v>1995-04-01</v>
      </c>
      <c r="I213" s="4">
        <v>62.1</v>
      </c>
      <c r="J213" s="5"/>
    </row>
    <row r="214" spans="1:10">
      <c r="A214" s="4">
        <v>210</v>
      </c>
      <c r="B214" s="4" t="str">
        <f>"20202210730"</f>
        <v>20202210730</v>
      </c>
      <c r="C214" s="4">
        <v>7</v>
      </c>
      <c r="D214" s="4">
        <v>30</v>
      </c>
      <c r="E214" s="4" t="s">
        <v>20</v>
      </c>
      <c r="F214" s="4" t="str">
        <f>"常苗苗"</f>
        <v>常苗苗</v>
      </c>
      <c r="G214" s="4" t="str">
        <f t="shared" si="11"/>
        <v>女</v>
      </c>
      <c r="H214" s="4" t="str">
        <f>"1992-11-13"</f>
        <v>1992-11-13</v>
      </c>
      <c r="I214" s="4">
        <v>75.8</v>
      </c>
      <c r="J214" s="5"/>
    </row>
    <row r="215" spans="1:10">
      <c r="A215" s="4">
        <v>211</v>
      </c>
      <c r="B215" s="4" t="str">
        <f>"20202210801"</f>
        <v>20202210801</v>
      </c>
      <c r="C215" s="4">
        <v>8</v>
      </c>
      <c r="D215" s="4">
        <v>1</v>
      </c>
      <c r="E215" s="4" t="s">
        <v>20</v>
      </c>
      <c r="F215" s="4" t="str">
        <f>"李玉辉"</f>
        <v>李玉辉</v>
      </c>
      <c r="G215" s="4" t="str">
        <f t="shared" si="11"/>
        <v>女</v>
      </c>
      <c r="H215" s="4" t="str">
        <f>"1991-10-21"</f>
        <v>1991-10-21</v>
      </c>
      <c r="I215" s="4">
        <v>58.8</v>
      </c>
      <c r="J215" s="5"/>
    </row>
    <row r="216" spans="1:10">
      <c r="A216" s="4">
        <v>212</v>
      </c>
      <c r="B216" s="4" t="str">
        <f>"20202210802"</f>
        <v>20202210802</v>
      </c>
      <c r="C216" s="4">
        <v>8</v>
      </c>
      <c r="D216" s="4">
        <v>2</v>
      </c>
      <c r="E216" s="4" t="s">
        <v>20</v>
      </c>
      <c r="F216" s="4" t="str">
        <f>"许沛"</f>
        <v>许沛</v>
      </c>
      <c r="G216" s="4" t="str">
        <f t="shared" si="11"/>
        <v>女</v>
      </c>
      <c r="H216" s="4" t="str">
        <f>"1995-10-14"</f>
        <v>1995-10-14</v>
      </c>
      <c r="I216" s="4">
        <v>49.2</v>
      </c>
      <c r="J216" s="5"/>
    </row>
    <row r="217" spans="1:10">
      <c r="A217" s="4">
        <v>213</v>
      </c>
      <c r="B217" s="4" t="str">
        <f>"20202210803"</f>
        <v>20202210803</v>
      </c>
      <c r="C217" s="4">
        <v>8</v>
      </c>
      <c r="D217" s="4">
        <v>3</v>
      </c>
      <c r="E217" s="4" t="s">
        <v>20</v>
      </c>
      <c r="F217" s="4" t="str">
        <f>"王清茹"</f>
        <v>王清茹</v>
      </c>
      <c r="G217" s="4" t="str">
        <f t="shared" si="11"/>
        <v>女</v>
      </c>
      <c r="H217" s="4" t="str">
        <f>"1992-11-12"</f>
        <v>1992-11-12</v>
      </c>
      <c r="I217" s="4" t="s">
        <v>12</v>
      </c>
      <c r="J217" s="5"/>
    </row>
    <row r="218" spans="1:10">
      <c r="A218" s="4">
        <v>214</v>
      </c>
      <c r="B218" s="4" t="str">
        <f>"20202210804"</f>
        <v>20202210804</v>
      </c>
      <c r="C218" s="4">
        <v>8</v>
      </c>
      <c r="D218" s="4">
        <v>4</v>
      </c>
      <c r="E218" s="4" t="s">
        <v>20</v>
      </c>
      <c r="F218" s="4" t="str">
        <f>"王营"</f>
        <v>王营</v>
      </c>
      <c r="G218" s="4" t="str">
        <f t="shared" si="11"/>
        <v>女</v>
      </c>
      <c r="H218" s="4" t="str">
        <f>"1992-03-20"</f>
        <v>1992-03-20</v>
      </c>
      <c r="I218" s="4">
        <v>77.6</v>
      </c>
      <c r="J218" s="5"/>
    </row>
    <row r="219" spans="1:10">
      <c r="A219" s="4">
        <v>215</v>
      </c>
      <c r="B219" s="4" t="str">
        <f>"20202210805"</f>
        <v>20202210805</v>
      </c>
      <c r="C219" s="4">
        <v>8</v>
      </c>
      <c r="D219" s="4">
        <v>5</v>
      </c>
      <c r="E219" s="4" t="s">
        <v>20</v>
      </c>
      <c r="F219" s="4" t="str">
        <f>"丁佳"</f>
        <v>丁佳</v>
      </c>
      <c r="G219" s="4" t="str">
        <f t="shared" si="11"/>
        <v>女</v>
      </c>
      <c r="H219" s="4" t="str">
        <f>"1990-02-10"</f>
        <v>1990-02-10</v>
      </c>
      <c r="I219" s="4">
        <v>70.1</v>
      </c>
      <c r="J219" s="5"/>
    </row>
    <row r="220" spans="1:10">
      <c r="A220" s="4">
        <v>216</v>
      </c>
      <c r="B220" s="4" t="str">
        <f>"20202210806"</f>
        <v>20202210806</v>
      </c>
      <c r="C220" s="4">
        <v>8</v>
      </c>
      <c r="D220" s="4">
        <v>6</v>
      </c>
      <c r="E220" s="4" t="s">
        <v>20</v>
      </c>
      <c r="F220" s="4" t="str">
        <f>"王秒"</f>
        <v>王秒</v>
      </c>
      <c r="G220" s="4" t="str">
        <f t="shared" si="11"/>
        <v>女</v>
      </c>
      <c r="H220" s="4" t="str">
        <f>"1990-08-01"</f>
        <v>1990-08-01</v>
      </c>
      <c r="I220" s="4" t="s">
        <v>12</v>
      </c>
      <c r="J220" s="5"/>
    </row>
    <row r="221" spans="1:10">
      <c r="A221" s="4">
        <v>217</v>
      </c>
      <c r="B221" s="4" t="str">
        <f>"20202210807"</f>
        <v>20202210807</v>
      </c>
      <c r="C221" s="4">
        <v>8</v>
      </c>
      <c r="D221" s="4">
        <v>7</v>
      </c>
      <c r="E221" s="4" t="s">
        <v>20</v>
      </c>
      <c r="F221" s="4" t="str">
        <f>"吕孟"</f>
        <v>吕孟</v>
      </c>
      <c r="G221" s="4" t="str">
        <f t="shared" si="11"/>
        <v>女</v>
      </c>
      <c r="H221" s="4" t="str">
        <f>"1993-10-12"</f>
        <v>1993-10-12</v>
      </c>
      <c r="I221" s="4">
        <v>58.4</v>
      </c>
      <c r="J221" s="5"/>
    </row>
    <row r="222" spans="1:10">
      <c r="A222" s="4">
        <v>218</v>
      </c>
      <c r="B222" s="4" t="str">
        <f>"20202210808"</f>
        <v>20202210808</v>
      </c>
      <c r="C222" s="4">
        <v>8</v>
      </c>
      <c r="D222" s="4">
        <v>8</v>
      </c>
      <c r="E222" s="4" t="s">
        <v>20</v>
      </c>
      <c r="F222" s="4" t="str">
        <f>"王婷月"</f>
        <v>王婷月</v>
      </c>
      <c r="G222" s="4" t="str">
        <f t="shared" si="11"/>
        <v>女</v>
      </c>
      <c r="H222" s="4" t="str">
        <f>"1997-11-01"</f>
        <v>1997-11-01</v>
      </c>
      <c r="I222" s="4" t="s">
        <v>12</v>
      </c>
      <c r="J222" s="5"/>
    </row>
    <row r="223" spans="1:10">
      <c r="A223" s="4">
        <v>219</v>
      </c>
      <c r="B223" s="4" t="str">
        <f>"20202210809"</f>
        <v>20202210809</v>
      </c>
      <c r="C223" s="4">
        <v>8</v>
      </c>
      <c r="D223" s="4">
        <v>9</v>
      </c>
      <c r="E223" s="4" t="s">
        <v>20</v>
      </c>
      <c r="F223" s="4" t="str">
        <f>"朱自娇"</f>
        <v>朱自娇</v>
      </c>
      <c r="G223" s="4" t="str">
        <f t="shared" si="11"/>
        <v>女</v>
      </c>
      <c r="H223" s="4" t="str">
        <f>"1992-09-05"</f>
        <v>1992-09-05</v>
      </c>
      <c r="I223" s="4">
        <v>59.1</v>
      </c>
      <c r="J223" s="5"/>
    </row>
    <row r="224" spans="1:10">
      <c r="A224" s="4">
        <v>220</v>
      </c>
      <c r="B224" s="4" t="str">
        <f>"20202210810"</f>
        <v>20202210810</v>
      </c>
      <c r="C224" s="4">
        <v>8</v>
      </c>
      <c r="D224" s="4">
        <v>10</v>
      </c>
      <c r="E224" s="4" t="s">
        <v>20</v>
      </c>
      <c r="F224" s="4" t="str">
        <f>"李转"</f>
        <v>李转</v>
      </c>
      <c r="G224" s="4" t="str">
        <f t="shared" si="11"/>
        <v>女</v>
      </c>
      <c r="H224" s="4" t="str">
        <f>"1990-05-15"</f>
        <v>1990-05-15</v>
      </c>
      <c r="I224" s="4">
        <v>70.5</v>
      </c>
      <c r="J224" s="5"/>
    </row>
    <row r="225" spans="1:10">
      <c r="A225" s="4">
        <v>221</v>
      </c>
      <c r="B225" s="4" t="str">
        <f>"20202210811"</f>
        <v>20202210811</v>
      </c>
      <c r="C225" s="4">
        <v>8</v>
      </c>
      <c r="D225" s="4">
        <v>11</v>
      </c>
      <c r="E225" s="4" t="s">
        <v>20</v>
      </c>
      <c r="F225" s="4" t="str">
        <f>"张莹"</f>
        <v>张莹</v>
      </c>
      <c r="G225" s="4" t="str">
        <f t="shared" si="11"/>
        <v>女</v>
      </c>
      <c r="H225" s="4" t="str">
        <f>"1990-03-05"</f>
        <v>1990-03-05</v>
      </c>
      <c r="I225" s="4" t="s">
        <v>12</v>
      </c>
      <c r="J225" s="5"/>
    </row>
    <row r="226" spans="1:10">
      <c r="A226" s="4">
        <v>222</v>
      </c>
      <c r="B226" s="4" t="str">
        <f>"20202310812"</f>
        <v>20202310812</v>
      </c>
      <c r="C226" s="4">
        <v>8</v>
      </c>
      <c r="D226" s="4">
        <v>12</v>
      </c>
      <c r="E226" s="4" t="s">
        <v>21</v>
      </c>
      <c r="F226" s="4" t="str">
        <f>"周静"</f>
        <v>周静</v>
      </c>
      <c r="G226" s="4" t="str">
        <f t="shared" si="11"/>
        <v>女</v>
      </c>
      <c r="H226" s="4" t="str">
        <f>"1991-10-02"</f>
        <v>1991-10-02</v>
      </c>
      <c r="I226" s="4">
        <v>69.8</v>
      </c>
      <c r="J226" s="5"/>
    </row>
    <row r="227" spans="1:10">
      <c r="A227" s="4">
        <v>223</v>
      </c>
      <c r="B227" s="4" t="str">
        <f>"20202310813"</f>
        <v>20202310813</v>
      </c>
      <c r="C227" s="4">
        <v>8</v>
      </c>
      <c r="D227" s="4">
        <v>13</v>
      </c>
      <c r="E227" s="4" t="s">
        <v>21</v>
      </c>
      <c r="F227" s="4" t="str">
        <f>"冀玮玮"</f>
        <v>冀玮玮</v>
      </c>
      <c r="G227" s="4" t="str">
        <f t="shared" si="11"/>
        <v>女</v>
      </c>
      <c r="H227" s="4" t="str">
        <f>"1995-05-10"</f>
        <v>1995-05-10</v>
      </c>
      <c r="I227" s="4" t="s">
        <v>12</v>
      </c>
      <c r="J227" s="5"/>
    </row>
    <row r="228" spans="1:10">
      <c r="A228" s="4">
        <v>224</v>
      </c>
      <c r="B228" s="4" t="str">
        <f>"20202310814"</f>
        <v>20202310814</v>
      </c>
      <c r="C228" s="4">
        <v>8</v>
      </c>
      <c r="D228" s="4">
        <v>14</v>
      </c>
      <c r="E228" s="4" t="s">
        <v>21</v>
      </c>
      <c r="F228" s="4" t="str">
        <f>"朱予"</f>
        <v>朱予</v>
      </c>
      <c r="G228" s="4" t="str">
        <f t="shared" si="11"/>
        <v>女</v>
      </c>
      <c r="H228" s="4" t="str">
        <f>"1993-04-27"</f>
        <v>1993-04-27</v>
      </c>
      <c r="I228" s="4">
        <v>69.4</v>
      </c>
      <c r="J228" s="5"/>
    </row>
    <row r="229" spans="1:10">
      <c r="A229" s="4">
        <v>225</v>
      </c>
      <c r="B229" s="4" t="str">
        <f>"20202310815"</f>
        <v>20202310815</v>
      </c>
      <c r="C229" s="4">
        <v>8</v>
      </c>
      <c r="D229" s="4">
        <v>15</v>
      </c>
      <c r="E229" s="4" t="s">
        <v>21</v>
      </c>
      <c r="F229" s="4" t="str">
        <f>"秦春情"</f>
        <v>秦春情</v>
      </c>
      <c r="G229" s="4" t="str">
        <f t="shared" si="11"/>
        <v>女</v>
      </c>
      <c r="H229" s="4" t="str">
        <f>"1991-12-27"</f>
        <v>1991-12-27</v>
      </c>
      <c r="I229" s="4" t="s">
        <v>12</v>
      </c>
      <c r="J229" s="5"/>
    </row>
    <row r="230" spans="1:10">
      <c r="A230" s="4">
        <v>226</v>
      </c>
      <c r="B230" s="4" t="str">
        <f>"20202310816"</f>
        <v>20202310816</v>
      </c>
      <c r="C230" s="4">
        <v>8</v>
      </c>
      <c r="D230" s="4">
        <v>16</v>
      </c>
      <c r="E230" s="4" t="s">
        <v>21</v>
      </c>
      <c r="F230" s="4" t="str">
        <f>"侯元薇"</f>
        <v>侯元薇</v>
      </c>
      <c r="G230" s="4" t="str">
        <f t="shared" si="11"/>
        <v>女</v>
      </c>
      <c r="H230" s="4" t="str">
        <f>"1997-12-21"</f>
        <v>1997-12-21</v>
      </c>
      <c r="I230" s="4" t="s">
        <v>12</v>
      </c>
      <c r="J230" s="5"/>
    </row>
    <row r="231" spans="1:10">
      <c r="A231" s="4">
        <v>227</v>
      </c>
      <c r="B231" s="4" t="str">
        <f>"20202310817"</f>
        <v>20202310817</v>
      </c>
      <c r="C231" s="4">
        <v>8</v>
      </c>
      <c r="D231" s="4">
        <v>17</v>
      </c>
      <c r="E231" s="4" t="s">
        <v>21</v>
      </c>
      <c r="F231" s="4" t="str">
        <f>"邢佳欣"</f>
        <v>邢佳欣</v>
      </c>
      <c r="G231" s="4" t="str">
        <f t="shared" si="11"/>
        <v>女</v>
      </c>
      <c r="H231" s="4" t="str">
        <f>"1995-03-06"</f>
        <v>1995-03-06</v>
      </c>
      <c r="I231" s="4">
        <v>63.4</v>
      </c>
      <c r="J231" s="5"/>
    </row>
    <row r="232" spans="1:10">
      <c r="A232" s="4">
        <v>228</v>
      </c>
      <c r="B232" s="4" t="str">
        <f>"20202310818"</f>
        <v>20202310818</v>
      </c>
      <c r="C232" s="4">
        <v>8</v>
      </c>
      <c r="D232" s="4">
        <v>18</v>
      </c>
      <c r="E232" s="4" t="s">
        <v>21</v>
      </c>
      <c r="F232" s="4" t="str">
        <f>"黄桂玲"</f>
        <v>黄桂玲</v>
      </c>
      <c r="G232" s="4" t="str">
        <f t="shared" si="11"/>
        <v>女</v>
      </c>
      <c r="H232" s="4" t="str">
        <f>"1992-09-19"</f>
        <v>1992-09-19</v>
      </c>
      <c r="I232" s="4">
        <v>77.6</v>
      </c>
      <c r="J232" s="5"/>
    </row>
    <row r="233" spans="1:10">
      <c r="A233" s="4">
        <v>229</v>
      </c>
      <c r="B233" s="4" t="str">
        <f>"20202310819"</f>
        <v>20202310819</v>
      </c>
      <c r="C233" s="4">
        <v>8</v>
      </c>
      <c r="D233" s="4">
        <v>19</v>
      </c>
      <c r="E233" s="4" t="s">
        <v>21</v>
      </c>
      <c r="F233" s="4" t="str">
        <f>"胡雨伶"</f>
        <v>胡雨伶</v>
      </c>
      <c r="G233" s="4" t="str">
        <f t="shared" si="11"/>
        <v>女</v>
      </c>
      <c r="H233" s="4" t="str">
        <f>"1996-10-03"</f>
        <v>1996-10-03</v>
      </c>
      <c r="I233" s="4" t="s">
        <v>12</v>
      </c>
      <c r="J233" s="5"/>
    </row>
    <row r="234" spans="1:10">
      <c r="A234" s="4">
        <v>230</v>
      </c>
      <c r="B234" s="4" t="str">
        <f>"20202310820"</f>
        <v>20202310820</v>
      </c>
      <c r="C234" s="4">
        <v>8</v>
      </c>
      <c r="D234" s="4">
        <v>20</v>
      </c>
      <c r="E234" s="4" t="s">
        <v>21</v>
      </c>
      <c r="F234" s="4" t="str">
        <f>"段乐爽"</f>
        <v>段乐爽</v>
      </c>
      <c r="G234" s="4" t="str">
        <f t="shared" si="11"/>
        <v>女</v>
      </c>
      <c r="H234" s="4" t="str">
        <f>"1992-06-19"</f>
        <v>1992-06-19</v>
      </c>
      <c r="I234" s="4">
        <v>62.1</v>
      </c>
      <c r="J234" s="5"/>
    </row>
    <row r="235" spans="1:10">
      <c r="A235" s="4">
        <v>231</v>
      </c>
      <c r="B235" s="4" t="str">
        <f>"20202310821"</f>
        <v>20202310821</v>
      </c>
      <c r="C235" s="4">
        <v>8</v>
      </c>
      <c r="D235" s="4">
        <v>21</v>
      </c>
      <c r="E235" s="4" t="s">
        <v>21</v>
      </c>
      <c r="F235" s="4" t="str">
        <f>"裴筱伊"</f>
        <v>裴筱伊</v>
      </c>
      <c r="G235" s="4" t="str">
        <f t="shared" si="11"/>
        <v>女</v>
      </c>
      <c r="H235" s="4" t="str">
        <f>"1991-11-05"</f>
        <v>1991-11-05</v>
      </c>
      <c r="I235" s="4">
        <v>60.4</v>
      </c>
      <c r="J235" s="5"/>
    </row>
    <row r="236" spans="1:10">
      <c r="A236" s="4">
        <v>232</v>
      </c>
      <c r="B236" s="4" t="str">
        <f>"20202310822"</f>
        <v>20202310822</v>
      </c>
      <c r="C236" s="4">
        <v>8</v>
      </c>
      <c r="D236" s="4">
        <v>22</v>
      </c>
      <c r="E236" s="4" t="s">
        <v>21</v>
      </c>
      <c r="F236" s="4" t="str">
        <f>"张亚如"</f>
        <v>张亚如</v>
      </c>
      <c r="G236" s="4" t="str">
        <f t="shared" si="11"/>
        <v>女</v>
      </c>
      <c r="H236" s="4" t="str">
        <f>"1993-10-12"</f>
        <v>1993-10-12</v>
      </c>
      <c r="I236" s="4" t="s">
        <v>12</v>
      </c>
      <c r="J236" s="5"/>
    </row>
    <row r="237" spans="1:10">
      <c r="A237" s="4">
        <v>233</v>
      </c>
      <c r="B237" s="4" t="str">
        <f>"20202310823"</f>
        <v>20202310823</v>
      </c>
      <c r="C237" s="4">
        <v>8</v>
      </c>
      <c r="D237" s="4">
        <v>23</v>
      </c>
      <c r="E237" s="4" t="s">
        <v>21</v>
      </c>
      <c r="F237" s="4" t="str">
        <f>"段明明"</f>
        <v>段明明</v>
      </c>
      <c r="G237" s="4" t="str">
        <f t="shared" si="11"/>
        <v>女</v>
      </c>
      <c r="H237" s="4" t="str">
        <f>"1997-12-09"</f>
        <v>1997-12-09</v>
      </c>
      <c r="I237" s="4" t="s">
        <v>12</v>
      </c>
      <c r="J237" s="5"/>
    </row>
    <row r="238" spans="1:10">
      <c r="A238" s="4">
        <v>234</v>
      </c>
      <c r="B238" s="4" t="str">
        <f>"20202310824"</f>
        <v>20202310824</v>
      </c>
      <c r="C238" s="4">
        <v>8</v>
      </c>
      <c r="D238" s="4">
        <v>24</v>
      </c>
      <c r="E238" s="4" t="s">
        <v>21</v>
      </c>
      <c r="F238" s="4" t="str">
        <f>"曹奇"</f>
        <v>曹奇</v>
      </c>
      <c r="G238" s="4" t="str">
        <f t="shared" si="11"/>
        <v>女</v>
      </c>
      <c r="H238" s="4" t="str">
        <f>"1995-11-22"</f>
        <v>1995-11-22</v>
      </c>
      <c r="I238" s="4">
        <v>62.4</v>
      </c>
      <c r="J238" s="5"/>
    </row>
    <row r="239" spans="1:10">
      <c r="A239" s="4">
        <v>235</v>
      </c>
      <c r="B239" s="4" t="str">
        <f>"20202310825"</f>
        <v>20202310825</v>
      </c>
      <c r="C239" s="4">
        <v>8</v>
      </c>
      <c r="D239" s="4">
        <v>25</v>
      </c>
      <c r="E239" s="4" t="s">
        <v>21</v>
      </c>
      <c r="F239" s="4" t="str">
        <f>"史雨"</f>
        <v>史雨</v>
      </c>
      <c r="G239" s="4" t="str">
        <f t="shared" si="11"/>
        <v>女</v>
      </c>
      <c r="H239" s="4" t="str">
        <f>"1993-11-06"</f>
        <v>1993-11-06</v>
      </c>
      <c r="I239" s="4">
        <v>58.5</v>
      </c>
      <c r="J239" s="5"/>
    </row>
    <row r="240" spans="1:10">
      <c r="A240" s="4">
        <v>236</v>
      </c>
      <c r="B240" s="4" t="str">
        <f>"20202310826"</f>
        <v>20202310826</v>
      </c>
      <c r="C240" s="4">
        <v>8</v>
      </c>
      <c r="D240" s="4">
        <v>26</v>
      </c>
      <c r="E240" s="4" t="s">
        <v>21</v>
      </c>
      <c r="F240" s="4" t="str">
        <f>"栗瑞雪"</f>
        <v>栗瑞雪</v>
      </c>
      <c r="G240" s="4" t="str">
        <f t="shared" si="11"/>
        <v>女</v>
      </c>
      <c r="H240" s="4" t="str">
        <f>"1994-10-01"</f>
        <v>1994-10-01</v>
      </c>
      <c r="I240" s="4">
        <v>64.7</v>
      </c>
      <c r="J240" s="5"/>
    </row>
    <row r="241" spans="1:10">
      <c r="A241" s="4">
        <v>237</v>
      </c>
      <c r="B241" s="4" t="str">
        <f>"20202310827"</f>
        <v>20202310827</v>
      </c>
      <c r="C241" s="4">
        <v>8</v>
      </c>
      <c r="D241" s="4">
        <v>27</v>
      </c>
      <c r="E241" s="4" t="s">
        <v>21</v>
      </c>
      <c r="F241" s="4" t="str">
        <f>"王平洋"</f>
        <v>王平洋</v>
      </c>
      <c r="G241" s="4" t="str">
        <f t="shared" si="11"/>
        <v>女</v>
      </c>
      <c r="H241" s="4" t="str">
        <f>"1993-08-24"</f>
        <v>1993-08-24</v>
      </c>
      <c r="I241" s="4" t="s">
        <v>12</v>
      </c>
      <c r="J241" s="5"/>
    </row>
    <row r="242" spans="1:10">
      <c r="A242" s="4">
        <v>238</v>
      </c>
      <c r="B242" s="4" t="str">
        <f>"20202310828"</f>
        <v>20202310828</v>
      </c>
      <c r="C242" s="4">
        <v>8</v>
      </c>
      <c r="D242" s="4">
        <v>28</v>
      </c>
      <c r="E242" s="4" t="s">
        <v>21</v>
      </c>
      <c r="F242" s="4" t="str">
        <f>"孙倩"</f>
        <v>孙倩</v>
      </c>
      <c r="G242" s="4" t="str">
        <f t="shared" si="11"/>
        <v>女</v>
      </c>
      <c r="H242" s="4" t="str">
        <f>"1993-02-01"</f>
        <v>1993-02-01</v>
      </c>
      <c r="I242" s="4" t="s">
        <v>12</v>
      </c>
      <c r="J242" s="5"/>
    </row>
    <row r="243" spans="1:10">
      <c r="A243" s="4">
        <v>239</v>
      </c>
      <c r="B243" s="4" t="str">
        <f>"20202310829"</f>
        <v>20202310829</v>
      </c>
      <c r="C243" s="4">
        <v>8</v>
      </c>
      <c r="D243" s="4">
        <v>29</v>
      </c>
      <c r="E243" s="4" t="s">
        <v>21</v>
      </c>
      <c r="F243" s="4" t="str">
        <f>"周玉姿"</f>
        <v>周玉姿</v>
      </c>
      <c r="G243" s="4" t="str">
        <f t="shared" si="11"/>
        <v>女</v>
      </c>
      <c r="H243" s="4" t="str">
        <f>"1991-12-28"</f>
        <v>1991-12-28</v>
      </c>
      <c r="I243" s="4">
        <v>64.7</v>
      </c>
      <c r="J243" s="5"/>
    </row>
    <row r="244" spans="1:10">
      <c r="A244" s="4">
        <v>240</v>
      </c>
      <c r="B244" s="4" t="str">
        <f>"20202310830"</f>
        <v>20202310830</v>
      </c>
      <c r="C244" s="4">
        <v>8</v>
      </c>
      <c r="D244" s="4">
        <v>30</v>
      </c>
      <c r="E244" s="4" t="s">
        <v>21</v>
      </c>
      <c r="F244" s="4" t="str">
        <f>"景飒"</f>
        <v>景飒</v>
      </c>
      <c r="G244" s="4" t="str">
        <f t="shared" si="11"/>
        <v>女</v>
      </c>
      <c r="H244" s="4" t="str">
        <f>"1992-01-02"</f>
        <v>1992-01-02</v>
      </c>
      <c r="I244" s="4">
        <v>75.6</v>
      </c>
      <c r="J244" s="5"/>
    </row>
    <row r="245" spans="1:10">
      <c r="A245" s="4">
        <v>241</v>
      </c>
      <c r="B245" s="4" t="str">
        <f>"20202310901"</f>
        <v>20202310901</v>
      </c>
      <c r="C245" s="4">
        <v>9</v>
      </c>
      <c r="D245" s="4">
        <v>1</v>
      </c>
      <c r="E245" s="4" t="s">
        <v>21</v>
      </c>
      <c r="F245" s="4" t="str">
        <f>"訾莹莹"</f>
        <v>訾莹莹</v>
      </c>
      <c r="G245" s="4" t="str">
        <f t="shared" si="11"/>
        <v>女</v>
      </c>
      <c r="H245" s="4" t="str">
        <f>"1990-08-15"</f>
        <v>1990-08-15</v>
      </c>
      <c r="I245" s="4">
        <v>63.8</v>
      </c>
      <c r="J245" s="5"/>
    </row>
    <row r="246" spans="1:10">
      <c r="A246" s="4">
        <v>242</v>
      </c>
      <c r="B246" s="4" t="str">
        <f>"20202310902"</f>
        <v>20202310902</v>
      </c>
      <c r="C246" s="4">
        <v>9</v>
      </c>
      <c r="D246" s="4">
        <v>2</v>
      </c>
      <c r="E246" s="4" t="s">
        <v>21</v>
      </c>
      <c r="F246" s="4" t="str">
        <f>"张媛媛"</f>
        <v>张媛媛</v>
      </c>
      <c r="G246" s="4" t="str">
        <f t="shared" si="11"/>
        <v>女</v>
      </c>
      <c r="H246" s="4" t="str">
        <f>"1992-02-07"</f>
        <v>1992-02-07</v>
      </c>
      <c r="I246" s="4" t="s">
        <v>12</v>
      </c>
      <c r="J246" s="5"/>
    </row>
    <row r="247" spans="1:10">
      <c r="A247" s="4">
        <v>243</v>
      </c>
      <c r="B247" s="4" t="str">
        <f>"20202310903"</f>
        <v>20202310903</v>
      </c>
      <c r="C247" s="4">
        <v>9</v>
      </c>
      <c r="D247" s="4">
        <v>3</v>
      </c>
      <c r="E247" s="4" t="s">
        <v>21</v>
      </c>
      <c r="F247" s="4" t="str">
        <f>"朱峰"</f>
        <v>朱峰</v>
      </c>
      <c r="G247" s="4" t="str">
        <f t="shared" si="11"/>
        <v>女</v>
      </c>
      <c r="H247" s="4" t="str">
        <f>"1994-08-19"</f>
        <v>1994-08-19</v>
      </c>
      <c r="I247" s="4">
        <v>78.2</v>
      </c>
      <c r="J247" s="5"/>
    </row>
    <row r="248" spans="1:10">
      <c r="A248" s="4">
        <v>244</v>
      </c>
      <c r="B248" s="4" t="str">
        <f>"20202310904"</f>
        <v>20202310904</v>
      </c>
      <c r="C248" s="4">
        <v>9</v>
      </c>
      <c r="D248" s="4">
        <v>4</v>
      </c>
      <c r="E248" s="4" t="s">
        <v>21</v>
      </c>
      <c r="F248" s="4" t="str">
        <f>"王雅婷"</f>
        <v>王雅婷</v>
      </c>
      <c r="G248" s="4" t="str">
        <f t="shared" si="11"/>
        <v>女</v>
      </c>
      <c r="H248" s="4" t="str">
        <f>"1994-10-16"</f>
        <v>1994-10-16</v>
      </c>
      <c r="I248" s="4">
        <v>76.5</v>
      </c>
      <c r="J248" s="5"/>
    </row>
    <row r="249" spans="1:10">
      <c r="A249" s="4">
        <v>245</v>
      </c>
      <c r="B249" s="4" t="str">
        <f>"20202310905"</f>
        <v>20202310905</v>
      </c>
      <c r="C249" s="4">
        <v>9</v>
      </c>
      <c r="D249" s="4">
        <v>5</v>
      </c>
      <c r="E249" s="4" t="s">
        <v>21</v>
      </c>
      <c r="F249" s="4" t="str">
        <f>"王琳"</f>
        <v>王琳</v>
      </c>
      <c r="G249" s="4" t="str">
        <f t="shared" si="11"/>
        <v>女</v>
      </c>
      <c r="H249" s="4" t="str">
        <f>"1994-08-02"</f>
        <v>1994-08-02</v>
      </c>
      <c r="I249" s="4">
        <v>66</v>
      </c>
      <c r="J249" s="5"/>
    </row>
    <row r="250" spans="1:10">
      <c r="A250" s="4">
        <v>246</v>
      </c>
      <c r="B250" s="4" t="str">
        <f>"20202310906"</f>
        <v>20202310906</v>
      </c>
      <c r="C250" s="4">
        <v>9</v>
      </c>
      <c r="D250" s="4">
        <v>6</v>
      </c>
      <c r="E250" s="4" t="s">
        <v>21</v>
      </c>
      <c r="F250" s="4" t="str">
        <f>"张冉"</f>
        <v>张冉</v>
      </c>
      <c r="G250" s="4" t="str">
        <f t="shared" si="11"/>
        <v>女</v>
      </c>
      <c r="H250" s="4" t="str">
        <f>"1996-05-02"</f>
        <v>1996-05-02</v>
      </c>
      <c r="I250" s="4">
        <v>53.3</v>
      </c>
      <c r="J250" s="5"/>
    </row>
    <row r="251" spans="1:10">
      <c r="A251" s="4">
        <v>247</v>
      </c>
      <c r="B251" s="4" t="str">
        <f>"20202310907"</f>
        <v>20202310907</v>
      </c>
      <c r="C251" s="4">
        <v>9</v>
      </c>
      <c r="D251" s="4">
        <v>7</v>
      </c>
      <c r="E251" s="4" t="s">
        <v>21</v>
      </c>
      <c r="F251" s="4" t="str">
        <f>"赵经纬"</f>
        <v>赵经纬</v>
      </c>
      <c r="G251" s="4" t="str">
        <f t="shared" si="11"/>
        <v>女</v>
      </c>
      <c r="H251" s="4" t="str">
        <f>"1991-12-09"</f>
        <v>1991-12-09</v>
      </c>
      <c r="I251" s="4" t="s">
        <v>12</v>
      </c>
      <c r="J251" s="5"/>
    </row>
    <row r="252" spans="1:10">
      <c r="A252" s="4">
        <v>248</v>
      </c>
      <c r="B252" s="4" t="str">
        <f>"20202310908"</f>
        <v>20202310908</v>
      </c>
      <c r="C252" s="4">
        <v>9</v>
      </c>
      <c r="D252" s="4">
        <v>8</v>
      </c>
      <c r="E252" s="4" t="s">
        <v>21</v>
      </c>
      <c r="F252" s="4" t="str">
        <f>"张盼盼"</f>
        <v>张盼盼</v>
      </c>
      <c r="G252" s="4" t="str">
        <f t="shared" si="11"/>
        <v>女</v>
      </c>
      <c r="H252" s="4" t="str">
        <f>"1990-02-04"</f>
        <v>1990-02-04</v>
      </c>
      <c r="I252" s="4" t="s">
        <v>12</v>
      </c>
      <c r="J252" s="5"/>
    </row>
    <row r="253" spans="1:10">
      <c r="A253" s="4">
        <v>249</v>
      </c>
      <c r="B253" s="4" t="str">
        <f>"20202310909"</f>
        <v>20202310909</v>
      </c>
      <c r="C253" s="4">
        <v>9</v>
      </c>
      <c r="D253" s="4">
        <v>9</v>
      </c>
      <c r="E253" s="4" t="s">
        <v>21</v>
      </c>
      <c r="F253" s="4" t="str">
        <f>"马牧源"</f>
        <v>马牧源</v>
      </c>
      <c r="G253" s="4" t="str">
        <f t="shared" si="11"/>
        <v>女</v>
      </c>
      <c r="H253" s="4" t="str">
        <f>"1993-02-15"</f>
        <v>1993-02-15</v>
      </c>
      <c r="I253" s="4" t="s">
        <v>12</v>
      </c>
      <c r="J253" s="5"/>
    </row>
    <row r="254" spans="1:10">
      <c r="A254" s="4">
        <v>250</v>
      </c>
      <c r="B254" s="4" t="str">
        <f>"20202310910"</f>
        <v>20202310910</v>
      </c>
      <c r="C254" s="4">
        <v>9</v>
      </c>
      <c r="D254" s="4">
        <v>10</v>
      </c>
      <c r="E254" s="4" t="s">
        <v>21</v>
      </c>
      <c r="F254" s="4" t="str">
        <f>"焦露"</f>
        <v>焦露</v>
      </c>
      <c r="G254" s="4" t="str">
        <f t="shared" si="11"/>
        <v>女</v>
      </c>
      <c r="H254" s="4" t="str">
        <f>"1992-11-02"</f>
        <v>1992-11-02</v>
      </c>
      <c r="I254" s="4" t="s">
        <v>12</v>
      </c>
      <c r="J254" s="5"/>
    </row>
    <row r="255" spans="1:10">
      <c r="A255" s="4">
        <v>251</v>
      </c>
      <c r="B255" s="4" t="str">
        <f>"20202310911"</f>
        <v>20202310911</v>
      </c>
      <c r="C255" s="4">
        <v>9</v>
      </c>
      <c r="D255" s="4">
        <v>11</v>
      </c>
      <c r="E255" s="4" t="s">
        <v>21</v>
      </c>
      <c r="F255" s="4" t="str">
        <f>"段云天"</f>
        <v>段云天</v>
      </c>
      <c r="G255" s="4" t="str">
        <f>"男"</f>
        <v>男</v>
      </c>
      <c r="H255" s="4" t="str">
        <f>"1994-10-16"</f>
        <v>1994-10-16</v>
      </c>
      <c r="I255" s="4" t="s">
        <v>12</v>
      </c>
      <c r="J255" s="5"/>
    </row>
    <row r="256" spans="1:10">
      <c r="A256" s="4">
        <v>252</v>
      </c>
      <c r="B256" s="4" t="str">
        <f>"20202310912"</f>
        <v>20202310912</v>
      </c>
      <c r="C256" s="4">
        <v>9</v>
      </c>
      <c r="D256" s="4">
        <v>12</v>
      </c>
      <c r="E256" s="4" t="s">
        <v>21</v>
      </c>
      <c r="F256" s="4" t="str">
        <f>"曲洁"</f>
        <v>曲洁</v>
      </c>
      <c r="G256" s="4" t="str">
        <f>"女"</f>
        <v>女</v>
      </c>
      <c r="H256" s="4" t="str">
        <f>"1991-06-19"</f>
        <v>1991-06-19</v>
      </c>
      <c r="I256" s="4">
        <v>80.6</v>
      </c>
      <c r="J256" s="5"/>
    </row>
    <row r="257" spans="1:10">
      <c r="A257" s="4">
        <v>253</v>
      </c>
      <c r="B257" s="4" t="str">
        <f>"20202310913"</f>
        <v>20202310913</v>
      </c>
      <c r="C257" s="4">
        <v>9</v>
      </c>
      <c r="D257" s="4">
        <v>13</v>
      </c>
      <c r="E257" s="4" t="s">
        <v>21</v>
      </c>
      <c r="F257" s="4" t="str">
        <f>"屈岩"</f>
        <v>屈岩</v>
      </c>
      <c r="G257" s="4" t="str">
        <f>"女"</f>
        <v>女</v>
      </c>
      <c r="H257" s="4" t="str">
        <f>"1994-03-24"</f>
        <v>1994-03-24</v>
      </c>
      <c r="I257" s="4">
        <v>69.7</v>
      </c>
      <c r="J257" s="5"/>
    </row>
    <row r="258" spans="1:10">
      <c r="A258" s="4">
        <v>254</v>
      </c>
      <c r="B258" s="4" t="str">
        <f>"20202310914"</f>
        <v>20202310914</v>
      </c>
      <c r="C258" s="4">
        <v>9</v>
      </c>
      <c r="D258" s="4">
        <v>14</v>
      </c>
      <c r="E258" s="4" t="s">
        <v>21</v>
      </c>
      <c r="F258" s="4" t="str">
        <f>"宋晗"</f>
        <v>宋晗</v>
      </c>
      <c r="G258" s="4" t="str">
        <f>"女"</f>
        <v>女</v>
      </c>
      <c r="H258" s="4" t="str">
        <f>"1998-10-20"</f>
        <v>1998-10-20</v>
      </c>
      <c r="I258" s="4">
        <v>65.1</v>
      </c>
      <c r="J258" s="5"/>
    </row>
    <row r="259" spans="1:10">
      <c r="A259" s="4">
        <v>255</v>
      </c>
      <c r="B259" s="4" t="str">
        <f>"20202310915"</f>
        <v>20202310915</v>
      </c>
      <c r="C259" s="4">
        <v>9</v>
      </c>
      <c r="D259" s="4">
        <v>15</v>
      </c>
      <c r="E259" s="4" t="s">
        <v>21</v>
      </c>
      <c r="F259" s="4" t="str">
        <f>"史锡成"</f>
        <v>史锡成</v>
      </c>
      <c r="G259" s="4" t="str">
        <f>"男"</f>
        <v>男</v>
      </c>
      <c r="H259" s="4" t="str">
        <f>"1993-11-07"</f>
        <v>1993-11-07</v>
      </c>
      <c r="I259" s="4" t="s">
        <v>12</v>
      </c>
      <c r="J259" s="5"/>
    </row>
    <row r="260" spans="1:10">
      <c r="A260" s="4">
        <v>256</v>
      </c>
      <c r="B260" s="4" t="str">
        <f>"20202310916"</f>
        <v>20202310916</v>
      </c>
      <c r="C260" s="4">
        <v>9</v>
      </c>
      <c r="D260" s="4">
        <v>16</v>
      </c>
      <c r="E260" s="4" t="s">
        <v>21</v>
      </c>
      <c r="F260" s="4" t="str">
        <f>"王大双"</f>
        <v>王大双</v>
      </c>
      <c r="G260" s="4" t="str">
        <f t="shared" ref="G260:G270" si="12">"女"</f>
        <v>女</v>
      </c>
      <c r="H260" s="4" t="str">
        <f>"1990-03-12"</f>
        <v>1990-03-12</v>
      </c>
      <c r="I260" s="4" t="s">
        <v>12</v>
      </c>
      <c r="J260" s="5"/>
    </row>
    <row r="261" spans="1:10">
      <c r="A261" s="4">
        <v>257</v>
      </c>
      <c r="B261" s="4" t="str">
        <f>"20202310917"</f>
        <v>20202310917</v>
      </c>
      <c r="C261" s="4">
        <v>9</v>
      </c>
      <c r="D261" s="4">
        <v>17</v>
      </c>
      <c r="E261" s="4" t="s">
        <v>21</v>
      </c>
      <c r="F261" s="4" t="str">
        <f>"刘佳"</f>
        <v>刘佳</v>
      </c>
      <c r="G261" s="4" t="str">
        <f t="shared" si="12"/>
        <v>女</v>
      </c>
      <c r="H261" s="4" t="str">
        <f>"1995-11-09"</f>
        <v>1995-11-09</v>
      </c>
      <c r="I261" s="4">
        <v>71.1</v>
      </c>
      <c r="J261" s="5"/>
    </row>
    <row r="262" spans="1:10">
      <c r="A262" s="4">
        <v>258</v>
      </c>
      <c r="B262" s="4" t="str">
        <f>"20202310918"</f>
        <v>20202310918</v>
      </c>
      <c r="C262" s="4">
        <v>9</v>
      </c>
      <c r="D262" s="4">
        <v>18</v>
      </c>
      <c r="E262" s="4" t="s">
        <v>21</v>
      </c>
      <c r="F262" s="4" t="str">
        <f>"李焕"</f>
        <v>李焕</v>
      </c>
      <c r="G262" s="4" t="str">
        <f t="shared" si="12"/>
        <v>女</v>
      </c>
      <c r="H262" s="4" t="str">
        <f>"1991-09-15"</f>
        <v>1991-09-15</v>
      </c>
      <c r="I262" s="4">
        <v>67.1</v>
      </c>
      <c r="J262" s="5"/>
    </row>
    <row r="263" spans="1:10">
      <c r="A263" s="4">
        <v>259</v>
      </c>
      <c r="B263" s="4" t="str">
        <f>"20202310919"</f>
        <v>20202310919</v>
      </c>
      <c r="C263" s="4">
        <v>9</v>
      </c>
      <c r="D263" s="4">
        <v>19</v>
      </c>
      <c r="E263" s="4" t="s">
        <v>21</v>
      </c>
      <c r="F263" s="4" t="str">
        <f>"王丹"</f>
        <v>王丹</v>
      </c>
      <c r="G263" s="4" t="str">
        <f t="shared" si="12"/>
        <v>女</v>
      </c>
      <c r="H263" s="4" t="str">
        <f>"1990-04-06"</f>
        <v>1990-04-06</v>
      </c>
      <c r="I263" s="4" t="s">
        <v>12</v>
      </c>
      <c r="J263" s="5"/>
    </row>
    <row r="264" spans="1:10">
      <c r="A264" s="4">
        <v>260</v>
      </c>
      <c r="B264" s="4" t="str">
        <f>"20202310920"</f>
        <v>20202310920</v>
      </c>
      <c r="C264" s="4">
        <v>9</v>
      </c>
      <c r="D264" s="4">
        <v>20</v>
      </c>
      <c r="E264" s="4" t="s">
        <v>21</v>
      </c>
      <c r="F264" s="4" t="str">
        <f>"席一帆"</f>
        <v>席一帆</v>
      </c>
      <c r="G264" s="4" t="str">
        <f t="shared" si="12"/>
        <v>女</v>
      </c>
      <c r="H264" s="4" t="str">
        <f>"1993-06-09"</f>
        <v>1993-06-09</v>
      </c>
      <c r="I264" s="4">
        <v>63.5</v>
      </c>
      <c r="J264" s="5"/>
    </row>
    <row r="265" spans="1:10">
      <c r="A265" s="4">
        <v>261</v>
      </c>
      <c r="B265" s="4" t="str">
        <f>"20202310921"</f>
        <v>20202310921</v>
      </c>
      <c r="C265" s="4">
        <v>9</v>
      </c>
      <c r="D265" s="4">
        <v>21</v>
      </c>
      <c r="E265" s="4" t="s">
        <v>21</v>
      </c>
      <c r="F265" s="4" t="str">
        <f>"程续荣"</f>
        <v>程续荣</v>
      </c>
      <c r="G265" s="4" t="str">
        <f t="shared" si="12"/>
        <v>女</v>
      </c>
      <c r="H265" s="4" t="str">
        <f>"1993-10-06"</f>
        <v>1993-10-06</v>
      </c>
      <c r="I265" s="4" t="s">
        <v>12</v>
      </c>
      <c r="J265" s="5"/>
    </row>
    <row r="266" spans="1:10">
      <c r="A266" s="4">
        <v>262</v>
      </c>
      <c r="B266" s="4" t="str">
        <f>"20202310922"</f>
        <v>20202310922</v>
      </c>
      <c r="C266" s="4">
        <v>9</v>
      </c>
      <c r="D266" s="4">
        <v>22</v>
      </c>
      <c r="E266" s="4" t="s">
        <v>21</v>
      </c>
      <c r="F266" s="4" t="str">
        <f>"李贞"</f>
        <v>李贞</v>
      </c>
      <c r="G266" s="4" t="str">
        <f t="shared" si="12"/>
        <v>女</v>
      </c>
      <c r="H266" s="4" t="str">
        <f>"1995-04-30"</f>
        <v>1995-04-30</v>
      </c>
      <c r="I266" s="4">
        <v>67.3</v>
      </c>
      <c r="J266" s="5"/>
    </row>
    <row r="267" spans="1:10">
      <c r="A267" s="4">
        <v>263</v>
      </c>
      <c r="B267" s="4" t="str">
        <f>"20202310923"</f>
        <v>20202310923</v>
      </c>
      <c r="C267" s="4">
        <v>9</v>
      </c>
      <c r="D267" s="4">
        <v>23</v>
      </c>
      <c r="E267" s="4" t="s">
        <v>21</v>
      </c>
      <c r="F267" s="4" t="str">
        <f>"张蓓"</f>
        <v>张蓓</v>
      </c>
      <c r="G267" s="4" t="str">
        <f t="shared" si="12"/>
        <v>女</v>
      </c>
      <c r="H267" s="4" t="str">
        <f>"1993-08-02"</f>
        <v>1993-08-02</v>
      </c>
      <c r="I267" s="4">
        <v>69.1</v>
      </c>
      <c r="J267" s="5"/>
    </row>
    <row r="268" spans="1:10">
      <c r="A268" s="4">
        <v>264</v>
      </c>
      <c r="B268" s="4" t="str">
        <f>"20202310924"</f>
        <v>20202310924</v>
      </c>
      <c r="C268" s="4">
        <v>9</v>
      </c>
      <c r="D268" s="4">
        <v>24</v>
      </c>
      <c r="E268" s="4" t="s">
        <v>21</v>
      </c>
      <c r="F268" s="4" t="str">
        <f>"张安静"</f>
        <v>张安静</v>
      </c>
      <c r="G268" s="4" t="str">
        <f t="shared" si="12"/>
        <v>女</v>
      </c>
      <c r="H268" s="4" t="str">
        <f>"1987-12-11"</f>
        <v>1987-12-11</v>
      </c>
      <c r="I268" s="4">
        <v>74.1</v>
      </c>
      <c r="J268" s="5"/>
    </row>
    <row r="269" spans="1:10">
      <c r="A269" s="4">
        <v>265</v>
      </c>
      <c r="B269" s="4" t="str">
        <f>"20202310925"</f>
        <v>20202310925</v>
      </c>
      <c r="C269" s="4">
        <v>9</v>
      </c>
      <c r="D269" s="4">
        <v>25</v>
      </c>
      <c r="E269" s="4" t="s">
        <v>21</v>
      </c>
      <c r="F269" s="4" t="str">
        <f>"段莉莉"</f>
        <v>段莉莉</v>
      </c>
      <c r="G269" s="4" t="str">
        <f t="shared" si="12"/>
        <v>女</v>
      </c>
      <c r="H269" s="4" t="str">
        <f>"1993-07-07"</f>
        <v>1993-07-07</v>
      </c>
      <c r="I269" s="4">
        <v>73.8</v>
      </c>
      <c r="J269" s="5"/>
    </row>
    <row r="270" spans="1:10">
      <c r="A270" s="4">
        <v>266</v>
      </c>
      <c r="B270" s="4" t="str">
        <f>"20202310926"</f>
        <v>20202310926</v>
      </c>
      <c r="C270" s="4">
        <v>9</v>
      </c>
      <c r="D270" s="4">
        <v>26</v>
      </c>
      <c r="E270" s="4" t="s">
        <v>21</v>
      </c>
      <c r="F270" s="4" t="str">
        <f>"刘蓝心"</f>
        <v>刘蓝心</v>
      </c>
      <c r="G270" s="4" t="str">
        <f t="shared" si="12"/>
        <v>女</v>
      </c>
      <c r="H270" s="4" t="str">
        <f>"1992-02-16"</f>
        <v>1992-02-16</v>
      </c>
      <c r="I270" s="4" t="s">
        <v>12</v>
      </c>
      <c r="J270" s="5"/>
    </row>
    <row r="271" spans="1:10">
      <c r="A271" s="4">
        <v>267</v>
      </c>
      <c r="B271" s="4" t="str">
        <f>"20202410927"</f>
        <v>20202410927</v>
      </c>
      <c r="C271" s="4">
        <v>9</v>
      </c>
      <c r="D271" s="4">
        <v>27</v>
      </c>
      <c r="E271" s="4" t="s">
        <v>22</v>
      </c>
      <c r="F271" s="4" t="str">
        <f>"司帅鹏"</f>
        <v>司帅鹏</v>
      </c>
      <c r="G271" s="4" t="str">
        <f>"男"</f>
        <v>男</v>
      </c>
      <c r="H271" s="4" t="str">
        <f>"1996-03-11"</f>
        <v>1996-03-11</v>
      </c>
      <c r="I271" s="4" t="s">
        <v>12</v>
      </c>
      <c r="J271" s="5"/>
    </row>
    <row r="272" spans="1:10">
      <c r="A272" s="4">
        <v>268</v>
      </c>
      <c r="B272" s="4" t="str">
        <f>"20202410928"</f>
        <v>20202410928</v>
      </c>
      <c r="C272" s="4">
        <v>9</v>
      </c>
      <c r="D272" s="4">
        <v>28</v>
      </c>
      <c r="E272" s="4" t="s">
        <v>22</v>
      </c>
      <c r="F272" s="4" t="str">
        <f>"任玉平"</f>
        <v>任玉平</v>
      </c>
      <c r="G272" s="4" t="str">
        <f>"女"</f>
        <v>女</v>
      </c>
      <c r="H272" s="4" t="str">
        <f>"1992-06-06"</f>
        <v>1992-06-06</v>
      </c>
      <c r="I272" s="4" t="s">
        <v>12</v>
      </c>
      <c r="J272" s="5"/>
    </row>
    <row r="273" spans="1:10">
      <c r="A273" s="4">
        <v>269</v>
      </c>
      <c r="B273" s="4" t="str">
        <f>"20202410929"</f>
        <v>20202410929</v>
      </c>
      <c r="C273" s="4">
        <v>9</v>
      </c>
      <c r="D273" s="4">
        <v>29</v>
      </c>
      <c r="E273" s="4" t="s">
        <v>22</v>
      </c>
      <c r="F273" s="4" t="str">
        <f>"李梦仙"</f>
        <v>李梦仙</v>
      </c>
      <c r="G273" s="4" t="str">
        <f>"女"</f>
        <v>女</v>
      </c>
      <c r="H273" s="4" t="str">
        <f>"1996-06-12"</f>
        <v>1996-06-12</v>
      </c>
      <c r="I273" s="4" t="s">
        <v>12</v>
      </c>
      <c r="J273" s="5"/>
    </row>
    <row r="274" spans="1:10">
      <c r="A274" s="4">
        <v>270</v>
      </c>
      <c r="B274" s="4" t="str">
        <f>"20202410930"</f>
        <v>20202410930</v>
      </c>
      <c r="C274" s="4">
        <v>9</v>
      </c>
      <c r="D274" s="4">
        <v>30</v>
      </c>
      <c r="E274" s="4" t="s">
        <v>22</v>
      </c>
      <c r="F274" s="4" t="str">
        <f>"陈莹"</f>
        <v>陈莹</v>
      </c>
      <c r="G274" s="4" t="str">
        <f>"女"</f>
        <v>女</v>
      </c>
      <c r="H274" s="4" t="str">
        <f>"1993-04-03"</f>
        <v>1993-04-03</v>
      </c>
      <c r="I274" s="4" t="s">
        <v>12</v>
      </c>
      <c r="J274" s="5"/>
    </row>
    <row r="275" spans="1:10">
      <c r="A275" s="4">
        <v>271</v>
      </c>
      <c r="B275" s="4" t="str">
        <f>"20202411001"</f>
        <v>20202411001</v>
      </c>
      <c r="C275" s="4">
        <v>10</v>
      </c>
      <c r="D275" s="4">
        <v>1</v>
      </c>
      <c r="E275" s="4" t="s">
        <v>22</v>
      </c>
      <c r="F275" s="4" t="str">
        <f>"王玉"</f>
        <v>王玉</v>
      </c>
      <c r="G275" s="4" t="str">
        <f>"女"</f>
        <v>女</v>
      </c>
      <c r="H275" s="4" t="str">
        <f>"1995-01-02"</f>
        <v>1995-01-02</v>
      </c>
      <c r="I275" s="4" t="s">
        <v>12</v>
      </c>
      <c r="J275" s="5"/>
    </row>
    <row r="276" spans="1:10">
      <c r="A276" s="4">
        <v>272</v>
      </c>
      <c r="B276" s="4" t="str">
        <f>"20202411002"</f>
        <v>20202411002</v>
      </c>
      <c r="C276" s="4">
        <v>10</v>
      </c>
      <c r="D276" s="4">
        <v>2</v>
      </c>
      <c r="E276" s="4" t="s">
        <v>22</v>
      </c>
      <c r="F276" s="4" t="str">
        <f>"张亚"</f>
        <v>张亚</v>
      </c>
      <c r="G276" s="4" t="str">
        <f>"女"</f>
        <v>女</v>
      </c>
      <c r="H276" s="4" t="str">
        <f>"1990-07-12"</f>
        <v>1990-07-12</v>
      </c>
      <c r="I276" s="4" t="s">
        <v>12</v>
      </c>
      <c r="J276" s="5"/>
    </row>
    <row r="277" spans="1:10">
      <c r="A277" s="4">
        <v>273</v>
      </c>
      <c r="B277" s="4" t="str">
        <f>"20202411003"</f>
        <v>20202411003</v>
      </c>
      <c r="C277" s="4">
        <v>10</v>
      </c>
      <c r="D277" s="4">
        <v>3</v>
      </c>
      <c r="E277" s="4" t="s">
        <v>22</v>
      </c>
      <c r="F277" s="4" t="str">
        <f>"曹彦庆"</f>
        <v>曹彦庆</v>
      </c>
      <c r="G277" s="4" t="str">
        <f>"男"</f>
        <v>男</v>
      </c>
      <c r="H277" s="4" t="str">
        <f>"1990-11-07"</f>
        <v>1990-11-07</v>
      </c>
      <c r="I277" s="4" t="s">
        <v>12</v>
      </c>
      <c r="J277" s="5"/>
    </row>
    <row r="278" spans="1:10">
      <c r="A278" s="4">
        <v>274</v>
      </c>
      <c r="B278" s="4" t="str">
        <f>"20202411004"</f>
        <v>20202411004</v>
      </c>
      <c r="C278" s="4">
        <v>10</v>
      </c>
      <c r="D278" s="4">
        <v>4</v>
      </c>
      <c r="E278" s="4" t="s">
        <v>22</v>
      </c>
      <c r="F278" s="4" t="str">
        <f>"武晓静"</f>
        <v>武晓静</v>
      </c>
      <c r="G278" s="4" t="str">
        <f t="shared" ref="G278:G295" si="13">"女"</f>
        <v>女</v>
      </c>
      <c r="H278" s="4" t="str">
        <f>"1990-10-25"</f>
        <v>1990-10-25</v>
      </c>
      <c r="I278" s="4" t="s">
        <v>12</v>
      </c>
      <c r="J278" s="5"/>
    </row>
    <row r="279" spans="1:10">
      <c r="A279" s="4">
        <v>275</v>
      </c>
      <c r="B279" s="4" t="str">
        <f>"20202411005"</f>
        <v>20202411005</v>
      </c>
      <c r="C279" s="4">
        <v>10</v>
      </c>
      <c r="D279" s="4">
        <v>5</v>
      </c>
      <c r="E279" s="4" t="s">
        <v>22</v>
      </c>
      <c r="F279" s="4" t="str">
        <f>"王敏"</f>
        <v>王敏</v>
      </c>
      <c r="G279" s="4" t="str">
        <f t="shared" si="13"/>
        <v>女</v>
      </c>
      <c r="H279" s="4" t="str">
        <f>"1992-04-21"</f>
        <v>1992-04-21</v>
      </c>
      <c r="I279" s="4">
        <v>87.6</v>
      </c>
      <c r="J279" s="5"/>
    </row>
    <row r="280" spans="1:10">
      <c r="A280" s="4">
        <v>276</v>
      </c>
      <c r="B280" s="4" t="str">
        <f>"20202411006"</f>
        <v>20202411006</v>
      </c>
      <c r="C280" s="4">
        <v>10</v>
      </c>
      <c r="D280" s="4">
        <v>6</v>
      </c>
      <c r="E280" s="4" t="s">
        <v>22</v>
      </c>
      <c r="F280" s="4" t="str">
        <f>"尤亚丹"</f>
        <v>尤亚丹</v>
      </c>
      <c r="G280" s="4" t="str">
        <f t="shared" si="13"/>
        <v>女</v>
      </c>
      <c r="H280" s="4" t="str">
        <f>"1996-03-18"</f>
        <v>1996-03-18</v>
      </c>
      <c r="I280" s="4">
        <v>56.3</v>
      </c>
      <c r="J280" s="5"/>
    </row>
    <row r="281" spans="1:10">
      <c r="A281" s="4">
        <v>277</v>
      </c>
      <c r="B281" s="4" t="str">
        <f>"20202411007"</f>
        <v>20202411007</v>
      </c>
      <c r="C281" s="4">
        <v>10</v>
      </c>
      <c r="D281" s="4">
        <v>7</v>
      </c>
      <c r="E281" s="4" t="s">
        <v>22</v>
      </c>
      <c r="F281" s="4" t="str">
        <f>"赵威"</f>
        <v>赵威</v>
      </c>
      <c r="G281" s="4" t="str">
        <f t="shared" si="13"/>
        <v>女</v>
      </c>
      <c r="H281" s="4" t="str">
        <f>"1998-05-24"</f>
        <v>1998-05-24</v>
      </c>
      <c r="I281" s="4" t="s">
        <v>12</v>
      </c>
      <c r="J281" s="5"/>
    </row>
    <row r="282" spans="1:10">
      <c r="A282" s="4">
        <v>278</v>
      </c>
      <c r="B282" s="4" t="str">
        <f>"20202411008"</f>
        <v>20202411008</v>
      </c>
      <c r="C282" s="4">
        <v>10</v>
      </c>
      <c r="D282" s="4">
        <v>8</v>
      </c>
      <c r="E282" s="4" t="s">
        <v>22</v>
      </c>
      <c r="F282" s="4" t="str">
        <f>"李小燕"</f>
        <v>李小燕</v>
      </c>
      <c r="G282" s="4" t="str">
        <f t="shared" si="13"/>
        <v>女</v>
      </c>
      <c r="H282" s="4" t="str">
        <f>"1993-03-02"</f>
        <v>1993-03-02</v>
      </c>
      <c r="I282" s="4" t="s">
        <v>12</v>
      </c>
      <c r="J282" s="5"/>
    </row>
    <row r="283" spans="1:10">
      <c r="A283" s="4">
        <v>279</v>
      </c>
      <c r="B283" s="4" t="str">
        <f>"20202411009"</f>
        <v>20202411009</v>
      </c>
      <c r="C283" s="4">
        <v>10</v>
      </c>
      <c r="D283" s="4">
        <v>9</v>
      </c>
      <c r="E283" s="4" t="s">
        <v>22</v>
      </c>
      <c r="F283" s="4" t="str">
        <f>"马媛"</f>
        <v>马媛</v>
      </c>
      <c r="G283" s="4" t="str">
        <f t="shared" si="13"/>
        <v>女</v>
      </c>
      <c r="H283" s="4" t="str">
        <f>"1994-08-30"</f>
        <v>1994-08-30</v>
      </c>
      <c r="I283" s="4">
        <v>69.7</v>
      </c>
      <c r="J283" s="5"/>
    </row>
    <row r="284" spans="1:10">
      <c r="A284" s="4">
        <v>280</v>
      </c>
      <c r="B284" s="4" t="str">
        <f>"20202411010"</f>
        <v>20202411010</v>
      </c>
      <c r="C284" s="4">
        <v>10</v>
      </c>
      <c r="D284" s="4">
        <v>10</v>
      </c>
      <c r="E284" s="4" t="s">
        <v>22</v>
      </c>
      <c r="F284" s="4" t="str">
        <f>"韦宁"</f>
        <v>韦宁</v>
      </c>
      <c r="G284" s="4" t="str">
        <f t="shared" si="13"/>
        <v>女</v>
      </c>
      <c r="H284" s="4" t="str">
        <f>"1995-05-19"</f>
        <v>1995-05-19</v>
      </c>
      <c r="I284" s="4" t="s">
        <v>12</v>
      </c>
      <c r="J284" s="5"/>
    </row>
    <row r="285" spans="1:10">
      <c r="A285" s="4">
        <v>281</v>
      </c>
      <c r="B285" s="4" t="str">
        <f>"20202411011"</f>
        <v>20202411011</v>
      </c>
      <c r="C285" s="4">
        <v>10</v>
      </c>
      <c r="D285" s="4">
        <v>11</v>
      </c>
      <c r="E285" s="4" t="s">
        <v>22</v>
      </c>
      <c r="F285" s="4" t="str">
        <f>"程一凡"</f>
        <v>程一凡</v>
      </c>
      <c r="G285" s="4" t="str">
        <f t="shared" si="13"/>
        <v>女</v>
      </c>
      <c r="H285" s="4" t="str">
        <f>"1997-03-10"</f>
        <v>1997-03-10</v>
      </c>
      <c r="I285" s="4" t="s">
        <v>12</v>
      </c>
      <c r="J285" s="5"/>
    </row>
    <row r="286" spans="1:10">
      <c r="A286" s="4">
        <v>282</v>
      </c>
      <c r="B286" s="4" t="str">
        <f>"20202411012"</f>
        <v>20202411012</v>
      </c>
      <c r="C286" s="4">
        <v>10</v>
      </c>
      <c r="D286" s="4">
        <v>12</v>
      </c>
      <c r="E286" s="4" t="s">
        <v>22</v>
      </c>
      <c r="F286" s="4" t="str">
        <f>"霍云平"</f>
        <v>霍云平</v>
      </c>
      <c r="G286" s="4" t="str">
        <f t="shared" si="13"/>
        <v>女</v>
      </c>
      <c r="H286" s="4" t="str">
        <f>"1991-07-25"</f>
        <v>1991-07-25</v>
      </c>
      <c r="I286" s="4">
        <v>70</v>
      </c>
      <c r="J286" s="5"/>
    </row>
    <row r="287" spans="1:10">
      <c r="A287" s="4">
        <v>283</v>
      </c>
      <c r="B287" s="4" t="str">
        <f>"20202511013"</f>
        <v>20202511013</v>
      </c>
      <c r="C287" s="4">
        <v>10</v>
      </c>
      <c r="D287" s="4">
        <v>13</v>
      </c>
      <c r="E287" s="4" t="s">
        <v>23</v>
      </c>
      <c r="F287" s="4" t="str">
        <f>"郭玉男"</f>
        <v>郭玉男</v>
      </c>
      <c r="G287" s="4" t="str">
        <f t="shared" si="13"/>
        <v>女</v>
      </c>
      <c r="H287" s="4" t="str">
        <f>"1991-10-02"</f>
        <v>1991-10-02</v>
      </c>
      <c r="I287" s="4">
        <v>76.2</v>
      </c>
      <c r="J287" s="5"/>
    </row>
    <row r="288" spans="1:10">
      <c r="A288" s="4">
        <v>284</v>
      </c>
      <c r="B288" s="4" t="str">
        <f>"20202511014"</f>
        <v>20202511014</v>
      </c>
      <c r="C288" s="4">
        <v>10</v>
      </c>
      <c r="D288" s="4">
        <v>14</v>
      </c>
      <c r="E288" s="4" t="s">
        <v>23</v>
      </c>
      <c r="F288" s="4" t="str">
        <f>"薛媛"</f>
        <v>薛媛</v>
      </c>
      <c r="G288" s="4" t="str">
        <f t="shared" si="13"/>
        <v>女</v>
      </c>
      <c r="H288" s="4" t="str">
        <f>"1994-01-06"</f>
        <v>1994-01-06</v>
      </c>
      <c r="I288" s="4">
        <v>76.6</v>
      </c>
      <c r="J288" s="5"/>
    </row>
    <row r="289" spans="1:10">
      <c r="A289" s="4">
        <v>285</v>
      </c>
      <c r="B289" s="4" t="str">
        <f>"20202511015"</f>
        <v>20202511015</v>
      </c>
      <c r="C289" s="4">
        <v>10</v>
      </c>
      <c r="D289" s="4">
        <v>15</v>
      </c>
      <c r="E289" s="4" t="s">
        <v>23</v>
      </c>
      <c r="F289" s="4" t="str">
        <f>"卢玉静"</f>
        <v>卢玉静</v>
      </c>
      <c r="G289" s="4" t="str">
        <f t="shared" si="13"/>
        <v>女</v>
      </c>
      <c r="H289" s="4" t="str">
        <f>"1991-04-15"</f>
        <v>1991-04-15</v>
      </c>
      <c r="I289" s="4">
        <v>75.2</v>
      </c>
      <c r="J289" s="5"/>
    </row>
    <row r="290" spans="1:10">
      <c r="A290" s="4">
        <v>286</v>
      </c>
      <c r="B290" s="4" t="str">
        <f>"20202511016"</f>
        <v>20202511016</v>
      </c>
      <c r="C290" s="4">
        <v>10</v>
      </c>
      <c r="D290" s="4">
        <v>16</v>
      </c>
      <c r="E290" s="4" t="s">
        <v>23</v>
      </c>
      <c r="F290" s="4" t="str">
        <f>"兰晶晶"</f>
        <v>兰晶晶</v>
      </c>
      <c r="G290" s="4" t="str">
        <f t="shared" si="13"/>
        <v>女</v>
      </c>
      <c r="H290" s="4" t="str">
        <f>"1993-08-17"</f>
        <v>1993-08-17</v>
      </c>
      <c r="I290" s="4" t="s">
        <v>12</v>
      </c>
      <c r="J290" s="5"/>
    </row>
    <row r="291" spans="1:10">
      <c r="A291" s="4">
        <v>287</v>
      </c>
      <c r="B291" s="4" t="str">
        <f>"20202511017"</f>
        <v>20202511017</v>
      </c>
      <c r="C291" s="4">
        <v>10</v>
      </c>
      <c r="D291" s="4">
        <v>17</v>
      </c>
      <c r="E291" s="4" t="s">
        <v>23</v>
      </c>
      <c r="F291" s="4" t="str">
        <f>"袁悦"</f>
        <v>袁悦</v>
      </c>
      <c r="G291" s="4" t="str">
        <f t="shared" si="13"/>
        <v>女</v>
      </c>
      <c r="H291" s="4" t="str">
        <f>"1993-09-23"</f>
        <v>1993-09-23</v>
      </c>
      <c r="I291" s="4">
        <v>57.7</v>
      </c>
      <c r="J291" s="5"/>
    </row>
    <row r="292" spans="1:10">
      <c r="A292" s="4">
        <v>288</v>
      </c>
      <c r="B292" s="4" t="str">
        <f>"20202511018"</f>
        <v>20202511018</v>
      </c>
      <c r="C292" s="4">
        <v>10</v>
      </c>
      <c r="D292" s="4">
        <v>18</v>
      </c>
      <c r="E292" s="4" t="s">
        <v>23</v>
      </c>
      <c r="F292" s="4" t="str">
        <f>"梁营"</f>
        <v>梁营</v>
      </c>
      <c r="G292" s="4" t="str">
        <f t="shared" si="13"/>
        <v>女</v>
      </c>
      <c r="H292" s="4" t="str">
        <f>"1997-06-05"</f>
        <v>1997-06-05</v>
      </c>
      <c r="I292" s="4">
        <v>78.1</v>
      </c>
      <c r="J292" s="5"/>
    </row>
    <row r="293" spans="1:10">
      <c r="A293" s="4">
        <v>289</v>
      </c>
      <c r="B293" s="4" t="str">
        <f>"20202511019"</f>
        <v>20202511019</v>
      </c>
      <c r="C293" s="4">
        <v>10</v>
      </c>
      <c r="D293" s="4">
        <v>19</v>
      </c>
      <c r="E293" s="4" t="s">
        <v>23</v>
      </c>
      <c r="F293" s="4" t="str">
        <f>"程英英"</f>
        <v>程英英</v>
      </c>
      <c r="G293" s="4" t="str">
        <f t="shared" si="13"/>
        <v>女</v>
      </c>
      <c r="H293" s="4" t="str">
        <f>"1990-09-18"</f>
        <v>1990-09-18</v>
      </c>
      <c r="I293" s="4">
        <v>80.9</v>
      </c>
      <c r="J293" s="5"/>
    </row>
    <row r="294" spans="1:10">
      <c r="A294" s="4">
        <v>290</v>
      </c>
      <c r="B294" s="4" t="str">
        <f>"20202511020"</f>
        <v>20202511020</v>
      </c>
      <c r="C294" s="4">
        <v>10</v>
      </c>
      <c r="D294" s="4">
        <v>20</v>
      </c>
      <c r="E294" s="4" t="s">
        <v>23</v>
      </c>
      <c r="F294" s="4" t="str">
        <f>"陈洋"</f>
        <v>陈洋</v>
      </c>
      <c r="G294" s="4" t="str">
        <f t="shared" si="13"/>
        <v>女</v>
      </c>
      <c r="H294" s="4" t="str">
        <f>"1991-03-10"</f>
        <v>1991-03-10</v>
      </c>
      <c r="I294" s="4">
        <v>56.8</v>
      </c>
      <c r="J294" s="5"/>
    </row>
    <row r="295" spans="1:10">
      <c r="A295" s="4">
        <v>291</v>
      </c>
      <c r="B295" s="4" t="str">
        <f>"20202611021"</f>
        <v>20202611021</v>
      </c>
      <c r="C295" s="4">
        <v>10</v>
      </c>
      <c r="D295" s="4">
        <v>21</v>
      </c>
      <c r="E295" s="4" t="s">
        <v>24</v>
      </c>
      <c r="F295" s="4" t="str">
        <f>"杨飒"</f>
        <v>杨飒</v>
      </c>
      <c r="G295" s="4" t="str">
        <f t="shared" si="13"/>
        <v>女</v>
      </c>
      <c r="H295" s="4" t="str">
        <f>"1999-09-22"</f>
        <v>1999-09-22</v>
      </c>
      <c r="I295" s="4" t="s">
        <v>12</v>
      </c>
      <c r="J295" s="5"/>
    </row>
    <row r="296" spans="1:10">
      <c r="A296" s="4">
        <v>292</v>
      </c>
      <c r="B296" s="4" t="str">
        <f>"20202611022"</f>
        <v>20202611022</v>
      </c>
      <c r="C296" s="4">
        <v>10</v>
      </c>
      <c r="D296" s="4">
        <v>22</v>
      </c>
      <c r="E296" s="4" t="s">
        <v>24</v>
      </c>
      <c r="F296" s="4" t="str">
        <f>"尹红卿"</f>
        <v>尹红卿</v>
      </c>
      <c r="G296" s="4" t="str">
        <f>"男"</f>
        <v>男</v>
      </c>
      <c r="H296" s="4" t="str">
        <f>"1993-12-20"</f>
        <v>1993-12-20</v>
      </c>
      <c r="I296" s="4">
        <v>46</v>
      </c>
      <c r="J296" s="5"/>
    </row>
    <row r="297" spans="1:10">
      <c r="A297" s="4">
        <v>293</v>
      </c>
      <c r="B297" s="4" t="str">
        <f>"20202611023"</f>
        <v>20202611023</v>
      </c>
      <c r="C297" s="4">
        <v>10</v>
      </c>
      <c r="D297" s="4">
        <v>23</v>
      </c>
      <c r="E297" s="4" t="s">
        <v>24</v>
      </c>
      <c r="F297" s="4" t="str">
        <f>"杜莹莹"</f>
        <v>杜莹莹</v>
      </c>
      <c r="G297" s="4" t="str">
        <f>"女"</f>
        <v>女</v>
      </c>
      <c r="H297" s="4" t="str">
        <f>"1991-03-04"</f>
        <v>1991-03-04</v>
      </c>
      <c r="I297" s="4">
        <v>66.2</v>
      </c>
      <c r="J297" s="5"/>
    </row>
    <row r="298" spans="1:10">
      <c r="A298" s="4">
        <v>294</v>
      </c>
      <c r="B298" s="4" t="str">
        <f>"20202611024"</f>
        <v>20202611024</v>
      </c>
      <c r="C298" s="4">
        <v>10</v>
      </c>
      <c r="D298" s="4">
        <v>24</v>
      </c>
      <c r="E298" s="4" t="s">
        <v>24</v>
      </c>
      <c r="F298" s="4" t="str">
        <f>"薛君"</f>
        <v>薛君</v>
      </c>
      <c r="G298" s="4" t="str">
        <f>"男"</f>
        <v>男</v>
      </c>
      <c r="H298" s="4" t="str">
        <f>"1992-03-29"</f>
        <v>1992-03-29</v>
      </c>
      <c r="I298" s="4">
        <v>63.1</v>
      </c>
      <c r="J298" s="5"/>
    </row>
    <row r="299" spans="1:10">
      <c r="A299" s="4">
        <v>295</v>
      </c>
      <c r="B299" s="4" t="str">
        <f>"20202611025"</f>
        <v>20202611025</v>
      </c>
      <c r="C299" s="4">
        <v>10</v>
      </c>
      <c r="D299" s="4">
        <v>25</v>
      </c>
      <c r="E299" s="4" t="s">
        <v>24</v>
      </c>
      <c r="F299" s="4" t="str">
        <f>"王德正"</f>
        <v>王德正</v>
      </c>
      <c r="G299" s="4" t="str">
        <f>"男"</f>
        <v>男</v>
      </c>
      <c r="H299" s="4" t="str">
        <f>"1991-08-06"</f>
        <v>1991-08-06</v>
      </c>
      <c r="I299" s="4">
        <v>54</v>
      </c>
      <c r="J299" s="5"/>
    </row>
    <row r="300" spans="1:10">
      <c r="A300" s="4">
        <v>296</v>
      </c>
      <c r="B300" s="4" t="str">
        <f>"20202611026"</f>
        <v>20202611026</v>
      </c>
      <c r="C300" s="4">
        <v>10</v>
      </c>
      <c r="D300" s="4">
        <v>26</v>
      </c>
      <c r="E300" s="4" t="s">
        <v>24</v>
      </c>
      <c r="F300" s="4" t="str">
        <f>"张亚婷"</f>
        <v>张亚婷</v>
      </c>
      <c r="G300" s="4" t="str">
        <f>"女"</f>
        <v>女</v>
      </c>
      <c r="H300" s="4" t="str">
        <f>"1996-08-07"</f>
        <v>1996-08-07</v>
      </c>
      <c r="I300" s="4">
        <v>78.6</v>
      </c>
      <c r="J300" s="5"/>
    </row>
    <row r="301" spans="1:10">
      <c r="A301" s="4">
        <v>297</v>
      </c>
      <c r="B301" s="4" t="str">
        <f>"20202611027"</f>
        <v>20202611027</v>
      </c>
      <c r="C301" s="4">
        <v>10</v>
      </c>
      <c r="D301" s="4">
        <v>27</v>
      </c>
      <c r="E301" s="4" t="s">
        <v>24</v>
      </c>
      <c r="F301" s="4" t="str">
        <f>"姚文静"</f>
        <v>姚文静</v>
      </c>
      <c r="G301" s="4" t="str">
        <f>"女"</f>
        <v>女</v>
      </c>
      <c r="H301" s="4" t="str">
        <f>"1994-04-04"</f>
        <v>1994-04-04</v>
      </c>
      <c r="I301" s="4">
        <v>77.5</v>
      </c>
      <c r="J301" s="5"/>
    </row>
    <row r="302" spans="1:10">
      <c r="A302" s="4">
        <v>298</v>
      </c>
      <c r="B302" s="4" t="str">
        <f>"20202611028"</f>
        <v>20202611028</v>
      </c>
      <c r="C302" s="4">
        <v>10</v>
      </c>
      <c r="D302" s="4">
        <v>28</v>
      </c>
      <c r="E302" s="4" t="s">
        <v>24</v>
      </c>
      <c r="F302" s="4" t="str">
        <f>"王庆周"</f>
        <v>王庆周</v>
      </c>
      <c r="G302" s="4" t="str">
        <f>"男"</f>
        <v>男</v>
      </c>
      <c r="H302" s="4" t="str">
        <f>"1992-03-04"</f>
        <v>1992-03-04</v>
      </c>
      <c r="I302" s="4">
        <v>65.1</v>
      </c>
      <c r="J302" s="5"/>
    </row>
    <row r="303" spans="1:10">
      <c r="A303" s="4">
        <v>299</v>
      </c>
      <c r="B303" s="4" t="str">
        <f>"20202611029"</f>
        <v>20202611029</v>
      </c>
      <c r="C303" s="4">
        <v>10</v>
      </c>
      <c r="D303" s="4">
        <v>29</v>
      </c>
      <c r="E303" s="4" t="s">
        <v>24</v>
      </c>
      <c r="F303" s="4" t="str">
        <f>"王梦阳"</f>
        <v>王梦阳</v>
      </c>
      <c r="G303" s="4" t="str">
        <f>"女"</f>
        <v>女</v>
      </c>
      <c r="H303" s="4" t="str">
        <f>"1993-12-01"</f>
        <v>1993-12-01</v>
      </c>
      <c r="I303" s="4">
        <v>70.4</v>
      </c>
      <c r="J303" s="5"/>
    </row>
    <row r="304" spans="1:10">
      <c r="A304" s="4">
        <v>300</v>
      </c>
      <c r="B304" s="4" t="str">
        <f>"20202611030"</f>
        <v>20202611030</v>
      </c>
      <c r="C304" s="4">
        <v>10</v>
      </c>
      <c r="D304" s="4">
        <v>30</v>
      </c>
      <c r="E304" s="4" t="s">
        <v>24</v>
      </c>
      <c r="F304" s="4" t="str">
        <f>"冯靖涵"</f>
        <v>冯靖涵</v>
      </c>
      <c r="G304" s="4" t="str">
        <f>"女"</f>
        <v>女</v>
      </c>
      <c r="H304" s="4" t="str">
        <f>"1993-08-15"</f>
        <v>1993-08-15</v>
      </c>
      <c r="I304" s="4">
        <v>57.4</v>
      </c>
      <c r="J304" s="5"/>
    </row>
    <row r="305" spans="1:10">
      <c r="A305" s="4">
        <v>301</v>
      </c>
      <c r="B305" s="4" t="str">
        <f>"20202711101"</f>
        <v>20202711101</v>
      </c>
      <c r="C305" s="4">
        <v>11</v>
      </c>
      <c r="D305" s="4">
        <v>1</v>
      </c>
      <c r="E305" s="4" t="s">
        <v>25</v>
      </c>
      <c r="F305" s="4" t="str">
        <f>"王永宾"</f>
        <v>王永宾</v>
      </c>
      <c r="G305" s="4" t="str">
        <f>"男"</f>
        <v>男</v>
      </c>
      <c r="H305" s="4" t="str">
        <f>"1993-01-04"</f>
        <v>1993-01-04</v>
      </c>
      <c r="I305" s="4">
        <v>63.5</v>
      </c>
      <c r="J305" s="5"/>
    </row>
    <row r="306" spans="1:10">
      <c r="A306" s="4">
        <v>302</v>
      </c>
      <c r="B306" s="4" t="str">
        <f>"20202711102"</f>
        <v>20202711102</v>
      </c>
      <c r="C306" s="4">
        <v>11</v>
      </c>
      <c r="D306" s="4">
        <v>2</v>
      </c>
      <c r="E306" s="4" t="s">
        <v>25</v>
      </c>
      <c r="F306" s="4" t="str">
        <f>"李雨荷"</f>
        <v>李雨荷</v>
      </c>
      <c r="G306" s="4" t="str">
        <f>"女"</f>
        <v>女</v>
      </c>
      <c r="H306" s="4" t="str">
        <f>"1994-11-04"</f>
        <v>1994-11-04</v>
      </c>
      <c r="I306" s="4">
        <v>54.5</v>
      </c>
      <c r="J306" s="5"/>
    </row>
    <row r="307" spans="1:10">
      <c r="A307" s="4">
        <v>303</v>
      </c>
      <c r="B307" s="4" t="str">
        <f>"20202711103"</f>
        <v>20202711103</v>
      </c>
      <c r="C307" s="4">
        <v>11</v>
      </c>
      <c r="D307" s="4">
        <v>3</v>
      </c>
      <c r="E307" s="4" t="s">
        <v>25</v>
      </c>
      <c r="F307" s="4" t="str">
        <f>"彭辽"</f>
        <v>彭辽</v>
      </c>
      <c r="G307" s="4" t="str">
        <f>"男"</f>
        <v>男</v>
      </c>
      <c r="H307" s="4" t="str">
        <f>"1994-03-12"</f>
        <v>1994-03-12</v>
      </c>
      <c r="I307" s="4" t="s">
        <v>12</v>
      </c>
      <c r="J307" s="5"/>
    </row>
    <row r="308" spans="1:10">
      <c r="A308" s="4">
        <v>304</v>
      </c>
      <c r="B308" s="4" t="str">
        <f>"20202711104"</f>
        <v>20202711104</v>
      </c>
      <c r="C308" s="4">
        <v>11</v>
      </c>
      <c r="D308" s="4">
        <v>4</v>
      </c>
      <c r="E308" s="4" t="s">
        <v>25</v>
      </c>
      <c r="F308" s="4" t="str">
        <f>"安伶俐"</f>
        <v>安伶俐</v>
      </c>
      <c r="G308" s="4" t="str">
        <f>"女"</f>
        <v>女</v>
      </c>
      <c r="H308" s="4" t="str">
        <f>"1991-03-10"</f>
        <v>1991-03-10</v>
      </c>
      <c r="I308" s="4">
        <v>69.7</v>
      </c>
      <c r="J308" s="5"/>
    </row>
    <row r="309" spans="1:10">
      <c r="A309" s="4">
        <v>305</v>
      </c>
      <c r="B309" s="4" t="str">
        <f>"20202711105"</f>
        <v>20202711105</v>
      </c>
      <c r="C309" s="4">
        <v>11</v>
      </c>
      <c r="D309" s="4">
        <v>5</v>
      </c>
      <c r="E309" s="4" t="s">
        <v>25</v>
      </c>
      <c r="F309" s="4" t="str">
        <f>"王庆伟"</f>
        <v>王庆伟</v>
      </c>
      <c r="G309" s="4" t="str">
        <f>"女"</f>
        <v>女</v>
      </c>
      <c r="H309" s="4" t="str">
        <f>"1991-04-06"</f>
        <v>1991-04-06</v>
      </c>
      <c r="I309" s="4">
        <v>70.4</v>
      </c>
      <c r="J309" s="5"/>
    </row>
    <row r="310" spans="1:10">
      <c r="A310" s="4">
        <v>306</v>
      </c>
      <c r="B310" s="4" t="str">
        <f>"20202711106"</f>
        <v>20202711106</v>
      </c>
      <c r="C310" s="4">
        <v>11</v>
      </c>
      <c r="D310" s="4">
        <v>6</v>
      </c>
      <c r="E310" s="4" t="s">
        <v>25</v>
      </c>
      <c r="F310" s="4" t="str">
        <f>"陶明真"</f>
        <v>陶明真</v>
      </c>
      <c r="G310" s="4" t="str">
        <f>"女"</f>
        <v>女</v>
      </c>
      <c r="H310" s="4" t="str">
        <f>"1995-09-16"</f>
        <v>1995-09-16</v>
      </c>
      <c r="I310" s="4">
        <v>84.3</v>
      </c>
      <c r="J310" s="5"/>
    </row>
    <row r="311" spans="1:10">
      <c r="A311" s="4">
        <v>307</v>
      </c>
      <c r="B311" s="4" t="str">
        <f>"20202711107"</f>
        <v>20202711107</v>
      </c>
      <c r="C311" s="4">
        <v>11</v>
      </c>
      <c r="D311" s="4">
        <v>7</v>
      </c>
      <c r="E311" s="4" t="s">
        <v>25</v>
      </c>
      <c r="F311" s="4" t="str">
        <f>"高爽"</f>
        <v>高爽</v>
      </c>
      <c r="G311" s="4" t="str">
        <f>"女"</f>
        <v>女</v>
      </c>
      <c r="H311" s="4" t="str">
        <f>"1994-01-02"</f>
        <v>1994-01-02</v>
      </c>
      <c r="I311" s="4">
        <v>60.7</v>
      </c>
      <c r="J311" s="5"/>
    </row>
    <row r="312" spans="1:10">
      <c r="A312" s="4">
        <v>308</v>
      </c>
      <c r="B312" s="4" t="str">
        <f>"20202711108"</f>
        <v>20202711108</v>
      </c>
      <c r="C312" s="4">
        <v>11</v>
      </c>
      <c r="D312" s="4">
        <v>8</v>
      </c>
      <c r="E312" s="4" t="s">
        <v>25</v>
      </c>
      <c r="F312" s="4" t="str">
        <f>"王海锋"</f>
        <v>王海锋</v>
      </c>
      <c r="G312" s="4" t="str">
        <f>"男"</f>
        <v>男</v>
      </c>
      <c r="H312" s="4" t="str">
        <f>"1993-10-18"</f>
        <v>1993-10-18</v>
      </c>
      <c r="I312" s="4">
        <v>57</v>
      </c>
      <c r="J312" s="5"/>
    </row>
    <row r="313" spans="1:10">
      <c r="A313" s="4">
        <v>309</v>
      </c>
      <c r="B313" s="4" t="str">
        <f>"20202711109"</f>
        <v>20202711109</v>
      </c>
      <c r="C313" s="4">
        <v>11</v>
      </c>
      <c r="D313" s="4">
        <v>9</v>
      </c>
      <c r="E313" s="4" t="s">
        <v>25</v>
      </c>
      <c r="F313" s="4" t="str">
        <f>"来小双"</f>
        <v>来小双</v>
      </c>
      <c r="G313" s="4" t="str">
        <f>"女"</f>
        <v>女</v>
      </c>
      <c r="H313" s="4" t="str">
        <f>"1990-05-20"</f>
        <v>1990-05-20</v>
      </c>
      <c r="I313" s="4">
        <v>71.3</v>
      </c>
      <c r="J313" s="5"/>
    </row>
    <row r="314" spans="1:10">
      <c r="A314" s="4">
        <v>310</v>
      </c>
      <c r="B314" s="4" t="str">
        <f>"20202711110"</f>
        <v>20202711110</v>
      </c>
      <c r="C314" s="4">
        <v>11</v>
      </c>
      <c r="D314" s="4">
        <v>10</v>
      </c>
      <c r="E314" s="4" t="s">
        <v>25</v>
      </c>
      <c r="F314" s="4" t="str">
        <f>"王可"</f>
        <v>王可</v>
      </c>
      <c r="G314" s="4" t="str">
        <f>"女"</f>
        <v>女</v>
      </c>
      <c r="H314" s="4" t="str">
        <f>"1990-07-15"</f>
        <v>1990-07-15</v>
      </c>
      <c r="I314" s="4">
        <v>67.4</v>
      </c>
      <c r="J314" s="5"/>
    </row>
    <row r="315" spans="1:10">
      <c r="A315" s="4">
        <v>311</v>
      </c>
      <c r="B315" s="4" t="str">
        <f>"20202711111"</f>
        <v>20202711111</v>
      </c>
      <c r="C315" s="4">
        <v>11</v>
      </c>
      <c r="D315" s="4">
        <v>11</v>
      </c>
      <c r="E315" s="4" t="s">
        <v>25</v>
      </c>
      <c r="F315" s="4" t="str">
        <f>"冯立爽"</f>
        <v>冯立爽</v>
      </c>
      <c r="G315" s="4" t="str">
        <f>"女"</f>
        <v>女</v>
      </c>
      <c r="H315" s="4" t="str">
        <f>"1993-06-08"</f>
        <v>1993-06-08</v>
      </c>
      <c r="I315" s="4">
        <v>69.8</v>
      </c>
      <c r="J315" s="5"/>
    </row>
    <row r="316" spans="1:10">
      <c r="A316" s="4">
        <v>312</v>
      </c>
      <c r="B316" s="4" t="str">
        <f>"20202711112"</f>
        <v>20202711112</v>
      </c>
      <c r="C316" s="4">
        <v>11</v>
      </c>
      <c r="D316" s="4">
        <v>12</v>
      </c>
      <c r="E316" s="4" t="s">
        <v>25</v>
      </c>
      <c r="F316" s="4" t="str">
        <f>"屠振华"</f>
        <v>屠振华</v>
      </c>
      <c r="G316" s="4" t="str">
        <f>"女"</f>
        <v>女</v>
      </c>
      <c r="H316" s="4" t="str">
        <f>"1994-11-13"</f>
        <v>1994-11-13</v>
      </c>
      <c r="I316" s="4">
        <v>72.8</v>
      </c>
      <c r="J316" s="5"/>
    </row>
    <row r="317" spans="1:10">
      <c r="A317" s="4">
        <v>313</v>
      </c>
      <c r="B317" s="4" t="str">
        <f>"20202711113"</f>
        <v>20202711113</v>
      </c>
      <c r="C317" s="4">
        <v>11</v>
      </c>
      <c r="D317" s="4">
        <v>13</v>
      </c>
      <c r="E317" s="4" t="s">
        <v>25</v>
      </c>
      <c r="F317" s="4" t="str">
        <f>"张玉培"</f>
        <v>张玉培</v>
      </c>
      <c r="G317" s="4" t="str">
        <f>"女"</f>
        <v>女</v>
      </c>
      <c r="H317" s="4" t="str">
        <f>"1990-02-20"</f>
        <v>1990-02-20</v>
      </c>
      <c r="I317" s="4" t="s">
        <v>12</v>
      </c>
      <c r="J317" s="5"/>
    </row>
    <row r="318" spans="1:10">
      <c r="A318" s="4">
        <v>314</v>
      </c>
      <c r="B318" s="4" t="str">
        <f>"20202711114"</f>
        <v>20202711114</v>
      </c>
      <c r="C318" s="4">
        <v>11</v>
      </c>
      <c r="D318" s="4">
        <v>14</v>
      </c>
      <c r="E318" s="4" t="s">
        <v>25</v>
      </c>
      <c r="F318" s="4" t="str">
        <f>"田园"</f>
        <v>田园</v>
      </c>
      <c r="G318" s="4" t="str">
        <f>"男"</f>
        <v>男</v>
      </c>
      <c r="H318" s="4" t="str">
        <f>"1995-05-15"</f>
        <v>1995-05-15</v>
      </c>
      <c r="I318" s="4">
        <v>58.4</v>
      </c>
      <c r="J318" s="5"/>
    </row>
    <row r="319" spans="1:10">
      <c r="A319" s="4">
        <v>315</v>
      </c>
      <c r="B319" s="4" t="str">
        <f>"20202811115"</f>
        <v>20202811115</v>
      </c>
      <c r="C319" s="4">
        <v>11</v>
      </c>
      <c r="D319" s="4">
        <v>15</v>
      </c>
      <c r="E319" s="4" t="s">
        <v>26</v>
      </c>
      <c r="F319" s="4" t="str">
        <f>"徐晴晴"</f>
        <v>徐晴晴</v>
      </c>
      <c r="G319" s="4" t="str">
        <f t="shared" ref="G319:G328" si="14">"女"</f>
        <v>女</v>
      </c>
      <c r="H319" s="4" t="str">
        <f>"1994-10-06"</f>
        <v>1994-10-06</v>
      </c>
      <c r="I319" s="4">
        <v>51.9</v>
      </c>
      <c r="J319" s="5"/>
    </row>
    <row r="320" spans="1:10">
      <c r="A320" s="4">
        <v>316</v>
      </c>
      <c r="B320" s="4" t="str">
        <f>"20202811116"</f>
        <v>20202811116</v>
      </c>
      <c r="C320" s="4">
        <v>11</v>
      </c>
      <c r="D320" s="4">
        <v>16</v>
      </c>
      <c r="E320" s="4" t="s">
        <v>26</v>
      </c>
      <c r="F320" s="4" t="str">
        <f>"闫闯"</f>
        <v>闫闯</v>
      </c>
      <c r="G320" s="4" t="str">
        <f t="shared" si="14"/>
        <v>女</v>
      </c>
      <c r="H320" s="4" t="str">
        <f>"1990-11-15"</f>
        <v>1990-11-15</v>
      </c>
      <c r="I320" s="4">
        <v>63.1</v>
      </c>
      <c r="J320" s="5"/>
    </row>
    <row r="321" spans="1:10">
      <c r="A321" s="4">
        <v>317</v>
      </c>
      <c r="B321" s="4" t="str">
        <f>"20202811117"</f>
        <v>20202811117</v>
      </c>
      <c r="C321" s="4">
        <v>11</v>
      </c>
      <c r="D321" s="4">
        <v>17</v>
      </c>
      <c r="E321" s="4" t="s">
        <v>26</v>
      </c>
      <c r="F321" s="4" t="str">
        <f>"摆杨"</f>
        <v>摆杨</v>
      </c>
      <c r="G321" s="4" t="str">
        <f t="shared" si="14"/>
        <v>女</v>
      </c>
      <c r="H321" s="4" t="str">
        <f>"1992-05-27"</f>
        <v>1992-05-27</v>
      </c>
      <c r="I321" s="4">
        <v>59.2</v>
      </c>
      <c r="J321" s="5"/>
    </row>
    <row r="322" spans="1:10">
      <c r="A322" s="4">
        <v>318</v>
      </c>
      <c r="B322" s="4" t="str">
        <f>"20202811118"</f>
        <v>20202811118</v>
      </c>
      <c r="C322" s="4">
        <v>11</v>
      </c>
      <c r="D322" s="4">
        <v>18</v>
      </c>
      <c r="E322" s="4" t="s">
        <v>26</v>
      </c>
      <c r="F322" s="4" t="str">
        <f>"余杰"</f>
        <v>余杰</v>
      </c>
      <c r="G322" s="4" t="str">
        <f t="shared" si="14"/>
        <v>女</v>
      </c>
      <c r="H322" s="4" t="str">
        <f>"1997-12-24"</f>
        <v>1997-12-24</v>
      </c>
      <c r="I322" s="4" t="s">
        <v>12</v>
      </c>
      <c r="J322" s="5"/>
    </row>
    <row r="323" spans="1:10">
      <c r="A323" s="4">
        <v>319</v>
      </c>
      <c r="B323" s="4" t="str">
        <f>"20202811119"</f>
        <v>20202811119</v>
      </c>
      <c r="C323" s="4">
        <v>11</v>
      </c>
      <c r="D323" s="4">
        <v>19</v>
      </c>
      <c r="E323" s="4" t="s">
        <v>26</v>
      </c>
      <c r="F323" s="4" t="str">
        <f>"陶含笑"</f>
        <v>陶含笑</v>
      </c>
      <c r="G323" s="4" t="str">
        <f t="shared" si="14"/>
        <v>女</v>
      </c>
      <c r="H323" s="4" t="str">
        <f>"1992-02-29"</f>
        <v>1992-02-29</v>
      </c>
      <c r="I323" s="4" t="s">
        <v>12</v>
      </c>
      <c r="J323" s="5"/>
    </row>
    <row r="324" spans="1:10">
      <c r="A324" s="4">
        <v>320</v>
      </c>
      <c r="B324" s="4" t="str">
        <f>"20202811120"</f>
        <v>20202811120</v>
      </c>
      <c r="C324" s="4">
        <v>11</v>
      </c>
      <c r="D324" s="4">
        <v>20</v>
      </c>
      <c r="E324" s="4" t="s">
        <v>26</v>
      </c>
      <c r="F324" s="4" t="str">
        <f>"陈晨"</f>
        <v>陈晨</v>
      </c>
      <c r="G324" s="4" t="str">
        <f t="shared" si="14"/>
        <v>女</v>
      </c>
      <c r="H324" s="4" t="str">
        <f>"1994-03-20"</f>
        <v>1994-03-20</v>
      </c>
      <c r="I324" s="4">
        <v>70.5</v>
      </c>
      <c r="J324" s="5"/>
    </row>
    <row r="325" spans="1:10">
      <c r="A325" s="4">
        <v>321</v>
      </c>
      <c r="B325" s="4" t="str">
        <f>"20202811121"</f>
        <v>20202811121</v>
      </c>
      <c r="C325" s="4">
        <v>11</v>
      </c>
      <c r="D325" s="4">
        <v>21</v>
      </c>
      <c r="E325" s="4" t="s">
        <v>26</v>
      </c>
      <c r="F325" s="4" t="str">
        <f>"宗真真"</f>
        <v>宗真真</v>
      </c>
      <c r="G325" s="4" t="str">
        <f t="shared" si="14"/>
        <v>女</v>
      </c>
      <c r="H325" s="4" t="str">
        <f>"1994-06-06"</f>
        <v>1994-06-06</v>
      </c>
      <c r="I325" s="4">
        <v>74.6</v>
      </c>
      <c r="J325" s="5"/>
    </row>
    <row r="326" spans="1:10">
      <c r="A326" s="4">
        <v>322</v>
      </c>
      <c r="B326" s="4" t="str">
        <f>"20202811122"</f>
        <v>20202811122</v>
      </c>
      <c r="C326" s="4">
        <v>11</v>
      </c>
      <c r="D326" s="4">
        <v>22</v>
      </c>
      <c r="E326" s="4" t="s">
        <v>26</v>
      </c>
      <c r="F326" s="4" t="str">
        <f>"付丽娴"</f>
        <v>付丽娴</v>
      </c>
      <c r="G326" s="4" t="str">
        <f t="shared" si="14"/>
        <v>女</v>
      </c>
      <c r="H326" s="4" t="str">
        <f>"1997-10-01"</f>
        <v>1997-10-01</v>
      </c>
      <c r="I326" s="4">
        <v>57.3</v>
      </c>
      <c r="J326" s="5"/>
    </row>
    <row r="327" spans="1:10">
      <c r="A327" s="4">
        <v>323</v>
      </c>
      <c r="B327" s="4" t="str">
        <f>"20202811123"</f>
        <v>20202811123</v>
      </c>
      <c r="C327" s="4">
        <v>11</v>
      </c>
      <c r="D327" s="4">
        <v>23</v>
      </c>
      <c r="E327" s="4" t="s">
        <v>26</v>
      </c>
      <c r="F327" s="4" t="str">
        <f>"李含春"</f>
        <v>李含春</v>
      </c>
      <c r="G327" s="4" t="str">
        <f t="shared" si="14"/>
        <v>女</v>
      </c>
      <c r="H327" s="4" t="str">
        <f>"1992-02-06"</f>
        <v>1992-02-06</v>
      </c>
      <c r="I327" s="4" t="s">
        <v>12</v>
      </c>
      <c r="J327" s="5"/>
    </row>
    <row r="328" spans="1:10">
      <c r="A328" s="4">
        <v>324</v>
      </c>
      <c r="B328" s="4" t="str">
        <f>"20202811124"</f>
        <v>20202811124</v>
      </c>
      <c r="C328" s="4">
        <v>11</v>
      </c>
      <c r="D328" s="4">
        <v>24</v>
      </c>
      <c r="E328" s="4" t="s">
        <v>26</v>
      </c>
      <c r="F328" s="4" t="str">
        <f>"肖秀菊"</f>
        <v>肖秀菊</v>
      </c>
      <c r="G328" s="4" t="str">
        <f t="shared" si="14"/>
        <v>女</v>
      </c>
      <c r="H328" s="4" t="str">
        <f>"1992-08-10"</f>
        <v>1992-08-10</v>
      </c>
      <c r="I328" s="4" t="s">
        <v>12</v>
      </c>
      <c r="J328" s="5"/>
    </row>
    <row r="329" spans="1:10">
      <c r="A329" s="4">
        <v>325</v>
      </c>
      <c r="B329" s="4" t="str">
        <f>"20202811125"</f>
        <v>20202811125</v>
      </c>
      <c r="C329" s="4">
        <v>11</v>
      </c>
      <c r="D329" s="4">
        <v>25</v>
      </c>
      <c r="E329" s="4" t="s">
        <v>26</v>
      </c>
      <c r="F329" s="4" t="str">
        <f>"徐毅增"</f>
        <v>徐毅增</v>
      </c>
      <c r="G329" s="4" t="str">
        <f>"男"</f>
        <v>男</v>
      </c>
      <c r="H329" s="4" t="str">
        <f>"1992-04-05"</f>
        <v>1992-04-05</v>
      </c>
      <c r="I329" s="4">
        <v>55.7</v>
      </c>
      <c r="J329" s="5"/>
    </row>
    <row r="330" spans="1:10">
      <c r="A330" s="4">
        <v>326</v>
      </c>
      <c r="B330" s="4" t="str">
        <f>"20202811126"</f>
        <v>20202811126</v>
      </c>
      <c r="C330" s="4">
        <v>11</v>
      </c>
      <c r="D330" s="4">
        <v>26</v>
      </c>
      <c r="E330" s="4" t="s">
        <v>26</v>
      </c>
      <c r="F330" s="4" t="str">
        <f>"孙静"</f>
        <v>孙静</v>
      </c>
      <c r="G330" s="4" t="str">
        <f t="shared" ref="G330:G348" si="15">"女"</f>
        <v>女</v>
      </c>
      <c r="H330" s="4" t="str">
        <f>"1990-03-25"</f>
        <v>1990-03-25</v>
      </c>
      <c r="I330" s="4" t="s">
        <v>12</v>
      </c>
      <c r="J330" s="5"/>
    </row>
    <row r="331" spans="1:10">
      <c r="A331" s="4">
        <v>327</v>
      </c>
      <c r="B331" s="4" t="str">
        <f>"20202811127"</f>
        <v>20202811127</v>
      </c>
      <c r="C331" s="4">
        <v>11</v>
      </c>
      <c r="D331" s="4">
        <v>27</v>
      </c>
      <c r="E331" s="4" t="s">
        <v>26</v>
      </c>
      <c r="F331" s="4" t="str">
        <f>"王雪涵"</f>
        <v>王雪涵</v>
      </c>
      <c r="G331" s="4" t="str">
        <f t="shared" si="15"/>
        <v>女</v>
      </c>
      <c r="H331" s="4" t="str">
        <f>"1993-12-17"</f>
        <v>1993-12-17</v>
      </c>
      <c r="I331" s="4">
        <v>56.4</v>
      </c>
      <c r="J331" s="5"/>
    </row>
    <row r="332" spans="1:10">
      <c r="A332" s="4">
        <v>328</v>
      </c>
      <c r="B332" s="4" t="str">
        <f>"20202811128"</f>
        <v>20202811128</v>
      </c>
      <c r="C332" s="4">
        <v>11</v>
      </c>
      <c r="D332" s="4">
        <v>28</v>
      </c>
      <c r="E332" s="4" t="s">
        <v>26</v>
      </c>
      <c r="F332" s="4" t="str">
        <f>"周有存"</f>
        <v>周有存</v>
      </c>
      <c r="G332" s="4" t="str">
        <f t="shared" si="15"/>
        <v>女</v>
      </c>
      <c r="H332" s="4" t="str">
        <f>"1993-07-23"</f>
        <v>1993-07-23</v>
      </c>
      <c r="I332" s="4">
        <v>71.4</v>
      </c>
      <c r="J332" s="5"/>
    </row>
    <row r="333" spans="1:10">
      <c r="A333" s="4">
        <v>329</v>
      </c>
      <c r="B333" s="4" t="str">
        <f>"20202811129"</f>
        <v>20202811129</v>
      </c>
      <c r="C333" s="4">
        <v>11</v>
      </c>
      <c r="D333" s="4">
        <v>29</v>
      </c>
      <c r="E333" s="4" t="s">
        <v>26</v>
      </c>
      <c r="F333" s="4" t="str">
        <f>"申清"</f>
        <v>申清</v>
      </c>
      <c r="G333" s="4" t="str">
        <f t="shared" si="15"/>
        <v>女</v>
      </c>
      <c r="H333" s="4" t="str">
        <f>"1998-10-03"</f>
        <v>1998-10-03</v>
      </c>
      <c r="I333" s="4" t="s">
        <v>12</v>
      </c>
      <c r="J333" s="5"/>
    </row>
    <row r="334" spans="1:10">
      <c r="A334" s="4">
        <v>330</v>
      </c>
      <c r="B334" s="4" t="str">
        <f>"20202811130"</f>
        <v>20202811130</v>
      </c>
      <c r="C334" s="4">
        <v>11</v>
      </c>
      <c r="D334" s="4">
        <v>30</v>
      </c>
      <c r="E334" s="4" t="s">
        <v>26</v>
      </c>
      <c r="F334" s="4" t="str">
        <f>"邢婵媛"</f>
        <v>邢婵媛</v>
      </c>
      <c r="G334" s="4" t="str">
        <f t="shared" si="15"/>
        <v>女</v>
      </c>
      <c r="H334" s="4" t="str">
        <f>"1992-04-30"</f>
        <v>1992-04-30</v>
      </c>
      <c r="I334" s="4">
        <v>78.2</v>
      </c>
      <c r="J334" s="5"/>
    </row>
    <row r="335" spans="1:10">
      <c r="A335" s="4">
        <v>331</v>
      </c>
      <c r="B335" s="4" t="str">
        <f>"20202811201"</f>
        <v>20202811201</v>
      </c>
      <c r="C335" s="4">
        <v>12</v>
      </c>
      <c r="D335" s="4">
        <v>1</v>
      </c>
      <c r="E335" s="4" t="s">
        <v>26</v>
      </c>
      <c r="F335" s="4" t="str">
        <f>"赵晓露"</f>
        <v>赵晓露</v>
      </c>
      <c r="G335" s="4" t="str">
        <f t="shared" si="15"/>
        <v>女</v>
      </c>
      <c r="H335" s="4" t="str">
        <f>"1990-03-02"</f>
        <v>1990-03-02</v>
      </c>
      <c r="I335" s="4">
        <v>66.5</v>
      </c>
      <c r="J335" s="5"/>
    </row>
    <row r="336" spans="1:10">
      <c r="A336" s="4">
        <v>332</v>
      </c>
      <c r="B336" s="4" t="str">
        <f>"20202811202"</f>
        <v>20202811202</v>
      </c>
      <c r="C336" s="4">
        <v>12</v>
      </c>
      <c r="D336" s="4">
        <v>2</v>
      </c>
      <c r="E336" s="4" t="s">
        <v>26</v>
      </c>
      <c r="F336" s="4" t="str">
        <f>"李欢欢"</f>
        <v>李欢欢</v>
      </c>
      <c r="G336" s="4" t="str">
        <f t="shared" si="15"/>
        <v>女</v>
      </c>
      <c r="H336" s="4" t="str">
        <f>"1996-04-14"</f>
        <v>1996-04-14</v>
      </c>
      <c r="I336" s="4">
        <v>49.3</v>
      </c>
      <c r="J336" s="5"/>
    </row>
    <row r="337" spans="1:10">
      <c r="A337" s="4">
        <v>333</v>
      </c>
      <c r="B337" s="4" t="str">
        <f>"20202811203"</f>
        <v>20202811203</v>
      </c>
      <c r="C337" s="4">
        <v>12</v>
      </c>
      <c r="D337" s="4">
        <v>3</v>
      </c>
      <c r="E337" s="4" t="s">
        <v>26</v>
      </c>
      <c r="F337" s="4" t="str">
        <f>"熊梅军"</f>
        <v>熊梅军</v>
      </c>
      <c r="G337" s="4" t="str">
        <f t="shared" si="15"/>
        <v>女</v>
      </c>
      <c r="H337" s="4" t="str">
        <f>"1995-01-20"</f>
        <v>1995-01-20</v>
      </c>
      <c r="I337" s="4">
        <v>49.6</v>
      </c>
      <c r="J337" s="5"/>
    </row>
    <row r="338" spans="1:10">
      <c r="A338" s="4">
        <v>334</v>
      </c>
      <c r="B338" s="4" t="str">
        <f>"20202811204"</f>
        <v>20202811204</v>
      </c>
      <c r="C338" s="4">
        <v>12</v>
      </c>
      <c r="D338" s="4">
        <v>4</v>
      </c>
      <c r="E338" s="4" t="s">
        <v>26</v>
      </c>
      <c r="F338" s="4" t="str">
        <f>"梁禅"</f>
        <v>梁禅</v>
      </c>
      <c r="G338" s="4" t="str">
        <f t="shared" si="15"/>
        <v>女</v>
      </c>
      <c r="H338" s="4" t="str">
        <f>"1990-01-12"</f>
        <v>1990-01-12</v>
      </c>
      <c r="I338" s="4">
        <v>56.4</v>
      </c>
      <c r="J338" s="5"/>
    </row>
    <row r="339" spans="1:10">
      <c r="A339" s="4">
        <v>335</v>
      </c>
      <c r="B339" s="4" t="str">
        <f>"20202911205"</f>
        <v>20202911205</v>
      </c>
      <c r="C339" s="4">
        <v>12</v>
      </c>
      <c r="D339" s="4">
        <v>5</v>
      </c>
      <c r="E339" s="4" t="s">
        <v>27</v>
      </c>
      <c r="F339" s="4" t="str">
        <f>"李珍"</f>
        <v>李珍</v>
      </c>
      <c r="G339" s="4" t="str">
        <f t="shared" si="15"/>
        <v>女</v>
      </c>
      <c r="H339" s="4" t="str">
        <f>"1993-11-03"</f>
        <v>1993-11-03</v>
      </c>
      <c r="I339" s="4" t="s">
        <v>12</v>
      </c>
      <c r="J339" s="5"/>
    </row>
    <row r="340" spans="1:10">
      <c r="A340" s="4">
        <v>336</v>
      </c>
      <c r="B340" s="4" t="str">
        <f>"20202911206"</f>
        <v>20202911206</v>
      </c>
      <c r="C340" s="4">
        <v>12</v>
      </c>
      <c r="D340" s="4">
        <v>6</v>
      </c>
      <c r="E340" s="4" t="s">
        <v>27</v>
      </c>
      <c r="F340" s="4" t="str">
        <f>"张荣贞"</f>
        <v>张荣贞</v>
      </c>
      <c r="G340" s="4" t="str">
        <f t="shared" si="15"/>
        <v>女</v>
      </c>
      <c r="H340" s="4" t="str">
        <f>"1990-10-29"</f>
        <v>1990-10-29</v>
      </c>
      <c r="I340" s="4">
        <v>58.2</v>
      </c>
      <c r="J340" s="5"/>
    </row>
    <row r="341" spans="1:10">
      <c r="A341" s="4">
        <v>337</v>
      </c>
      <c r="B341" s="4" t="str">
        <f>"20202911207"</f>
        <v>20202911207</v>
      </c>
      <c r="C341" s="4">
        <v>12</v>
      </c>
      <c r="D341" s="4">
        <v>7</v>
      </c>
      <c r="E341" s="4" t="s">
        <v>27</v>
      </c>
      <c r="F341" s="4" t="str">
        <f>"李想"</f>
        <v>李想</v>
      </c>
      <c r="G341" s="4" t="str">
        <f t="shared" si="15"/>
        <v>女</v>
      </c>
      <c r="H341" s="4" t="str">
        <f>"1989-07-13"</f>
        <v>1989-07-13</v>
      </c>
      <c r="I341" s="4">
        <v>49.6</v>
      </c>
      <c r="J341" s="5"/>
    </row>
    <row r="342" spans="1:10">
      <c r="A342" s="4">
        <v>338</v>
      </c>
      <c r="B342" s="4" t="str">
        <f>"20202911208"</f>
        <v>20202911208</v>
      </c>
      <c r="C342" s="4">
        <v>12</v>
      </c>
      <c r="D342" s="4">
        <v>8</v>
      </c>
      <c r="E342" s="4" t="s">
        <v>27</v>
      </c>
      <c r="F342" s="4" t="str">
        <f>"段丽娜"</f>
        <v>段丽娜</v>
      </c>
      <c r="G342" s="4" t="str">
        <f t="shared" si="15"/>
        <v>女</v>
      </c>
      <c r="H342" s="4" t="str">
        <f>"1993-03-24"</f>
        <v>1993-03-24</v>
      </c>
      <c r="I342" s="4" t="s">
        <v>12</v>
      </c>
      <c r="J342" s="5"/>
    </row>
    <row r="343" spans="1:10">
      <c r="A343" s="4">
        <v>339</v>
      </c>
      <c r="B343" s="4" t="str">
        <f>"20202911209"</f>
        <v>20202911209</v>
      </c>
      <c r="C343" s="4">
        <v>12</v>
      </c>
      <c r="D343" s="4">
        <v>9</v>
      </c>
      <c r="E343" s="4" t="s">
        <v>27</v>
      </c>
      <c r="F343" s="4" t="str">
        <f>"姜海娇"</f>
        <v>姜海娇</v>
      </c>
      <c r="G343" s="4" t="str">
        <f t="shared" si="15"/>
        <v>女</v>
      </c>
      <c r="H343" s="4" t="str">
        <f>"1995-12-01"</f>
        <v>1995-12-01</v>
      </c>
      <c r="I343" s="4">
        <v>69.8</v>
      </c>
      <c r="J343" s="5"/>
    </row>
    <row r="344" spans="1:10">
      <c r="A344" s="4">
        <v>340</v>
      </c>
      <c r="B344" s="4" t="str">
        <f>"20202911210"</f>
        <v>20202911210</v>
      </c>
      <c r="C344" s="4">
        <v>12</v>
      </c>
      <c r="D344" s="4">
        <v>10</v>
      </c>
      <c r="E344" s="4" t="s">
        <v>27</v>
      </c>
      <c r="F344" s="4" t="str">
        <f>"宋亚静"</f>
        <v>宋亚静</v>
      </c>
      <c r="G344" s="4" t="str">
        <f t="shared" si="15"/>
        <v>女</v>
      </c>
      <c r="H344" s="4" t="str">
        <f>"1990-08-11"</f>
        <v>1990-08-11</v>
      </c>
      <c r="I344" s="4">
        <v>73.6</v>
      </c>
      <c r="J344" s="5"/>
    </row>
    <row r="345" spans="1:10">
      <c r="A345" s="4">
        <v>341</v>
      </c>
      <c r="B345" s="4" t="str">
        <f>"20202911211"</f>
        <v>20202911211</v>
      </c>
      <c r="C345" s="4">
        <v>12</v>
      </c>
      <c r="D345" s="4">
        <v>11</v>
      </c>
      <c r="E345" s="4" t="s">
        <v>27</v>
      </c>
      <c r="F345" s="4" t="str">
        <f>"李莹"</f>
        <v>李莹</v>
      </c>
      <c r="G345" s="4" t="str">
        <f t="shared" si="15"/>
        <v>女</v>
      </c>
      <c r="H345" s="4" t="str">
        <f>"1995-04-26"</f>
        <v>1995-04-26</v>
      </c>
      <c r="I345" s="4">
        <v>64.8</v>
      </c>
      <c r="J345" s="5"/>
    </row>
    <row r="346" spans="1:10">
      <c r="A346" s="4">
        <v>342</v>
      </c>
      <c r="B346" s="4" t="str">
        <f>"20202911212"</f>
        <v>20202911212</v>
      </c>
      <c r="C346" s="4">
        <v>12</v>
      </c>
      <c r="D346" s="4">
        <v>12</v>
      </c>
      <c r="E346" s="4" t="s">
        <v>27</v>
      </c>
      <c r="F346" s="4" t="str">
        <f>"朱翠娟"</f>
        <v>朱翠娟</v>
      </c>
      <c r="G346" s="4" t="str">
        <f t="shared" si="15"/>
        <v>女</v>
      </c>
      <c r="H346" s="4" t="str">
        <f>"1990-08-20"</f>
        <v>1990-08-20</v>
      </c>
      <c r="I346" s="4">
        <v>55</v>
      </c>
      <c r="J346" s="5"/>
    </row>
    <row r="347" spans="1:10">
      <c r="A347" s="4">
        <v>343</v>
      </c>
      <c r="B347" s="4" t="str">
        <f>"20202911213"</f>
        <v>20202911213</v>
      </c>
      <c r="C347" s="4">
        <v>12</v>
      </c>
      <c r="D347" s="4">
        <v>13</v>
      </c>
      <c r="E347" s="4" t="s">
        <v>27</v>
      </c>
      <c r="F347" s="4" t="str">
        <f>"顾婷"</f>
        <v>顾婷</v>
      </c>
      <c r="G347" s="4" t="str">
        <f t="shared" si="15"/>
        <v>女</v>
      </c>
      <c r="H347" s="4" t="str">
        <f>"1995-09-16"</f>
        <v>1995-09-16</v>
      </c>
      <c r="I347" s="4">
        <v>58.1</v>
      </c>
      <c r="J347" s="5"/>
    </row>
    <row r="348" spans="1:10">
      <c r="A348" s="4">
        <v>344</v>
      </c>
      <c r="B348" s="4" t="str">
        <f>"20202911214"</f>
        <v>20202911214</v>
      </c>
      <c r="C348" s="4">
        <v>12</v>
      </c>
      <c r="D348" s="4">
        <v>14</v>
      </c>
      <c r="E348" s="4" t="s">
        <v>27</v>
      </c>
      <c r="F348" s="4" t="str">
        <f>"张红稳"</f>
        <v>张红稳</v>
      </c>
      <c r="G348" s="4" t="str">
        <f t="shared" si="15"/>
        <v>女</v>
      </c>
      <c r="H348" s="4" t="str">
        <f>"1992-12-15"</f>
        <v>1992-12-15</v>
      </c>
      <c r="I348" s="4">
        <v>71.7</v>
      </c>
      <c r="J348" s="5"/>
    </row>
    <row r="349" spans="1:10">
      <c r="A349" s="4">
        <v>345</v>
      </c>
      <c r="B349" s="4" t="str">
        <f>"20202911215"</f>
        <v>20202911215</v>
      </c>
      <c r="C349" s="4">
        <v>12</v>
      </c>
      <c r="D349" s="4">
        <v>15</v>
      </c>
      <c r="E349" s="4" t="s">
        <v>27</v>
      </c>
      <c r="F349" s="4" t="str">
        <f>"张士选"</f>
        <v>张士选</v>
      </c>
      <c r="G349" s="4" t="str">
        <f>"男"</f>
        <v>男</v>
      </c>
      <c r="H349" s="4" t="str">
        <f>"1990-08-26"</f>
        <v>1990-08-26</v>
      </c>
      <c r="I349" s="4">
        <v>67.1</v>
      </c>
      <c r="J349" s="5"/>
    </row>
    <row r="350" spans="1:10">
      <c r="A350" s="4">
        <v>346</v>
      </c>
      <c r="B350" s="4" t="str">
        <f>"20202911216"</f>
        <v>20202911216</v>
      </c>
      <c r="C350" s="4">
        <v>12</v>
      </c>
      <c r="D350" s="4">
        <v>16</v>
      </c>
      <c r="E350" s="4" t="s">
        <v>27</v>
      </c>
      <c r="F350" s="4" t="str">
        <f>"施宛初"</f>
        <v>施宛初</v>
      </c>
      <c r="G350" s="4" t="str">
        <f>"女"</f>
        <v>女</v>
      </c>
      <c r="H350" s="4" t="str">
        <f>"1994-06-11"</f>
        <v>1994-06-11</v>
      </c>
      <c r="I350" s="4" t="s">
        <v>12</v>
      </c>
      <c r="J350" s="5"/>
    </row>
    <row r="351" spans="1:10">
      <c r="A351" s="4">
        <v>347</v>
      </c>
      <c r="B351" s="4" t="str">
        <f>"20202911217"</f>
        <v>20202911217</v>
      </c>
      <c r="C351" s="4">
        <v>12</v>
      </c>
      <c r="D351" s="4">
        <v>17</v>
      </c>
      <c r="E351" s="4" t="s">
        <v>27</v>
      </c>
      <c r="F351" s="4" t="str">
        <f>"刘嵩岩"</f>
        <v>刘嵩岩</v>
      </c>
      <c r="G351" s="4" t="str">
        <f>"男"</f>
        <v>男</v>
      </c>
      <c r="H351" s="4" t="str">
        <f>"1993-02-22"</f>
        <v>1993-02-22</v>
      </c>
      <c r="I351" s="4">
        <v>82.9</v>
      </c>
      <c r="J351" s="5"/>
    </row>
    <row r="352" spans="1:10">
      <c r="A352" s="4">
        <v>348</v>
      </c>
      <c r="B352" s="4" t="str">
        <f>"20202911218"</f>
        <v>20202911218</v>
      </c>
      <c r="C352" s="4">
        <v>12</v>
      </c>
      <c r="D352" s="4">
        <v>18</v>
      </c>
      <c r="E352" s="4" t="s">
        <v>27</v>
      </c>
      <c r="F352" s="4" t="str">
        <f>"李静"</f>
        <v>李静</v>
      </c>
      <c r="G352" s="4" t="str">
        <f>"女"</f>
        <v>女</v>
      </c>
      <c r="H352" s="4" t="str">
        <f>"1995-11-24"</f>
        <v>1995-11-24</v>
      </c>
      <c r="I352" s="4">
        <v>56.4</v>
      </c>
      <c r="J352" s="5"/>
    </row>
    <row r="353" spans="1:10">
      <c r="A353" s="4">
        <v>349</v>
      </c>
      <c r="B353" s="4" t="str">
        <f>"20202911219"</f>
        <v>20202911219</v>
      </c>
      <c r="C353" s="4">
        <v>12</v>
      </c>
      <c r="D353" s="4">
        <v>19</v>
      </c>
      <c r="E353" s="4" t="s">
        <v>27</v>
      </c>
      <c r="F353" s="4" t="str">
        <f>"赵红阳"</f>
        <v>赵红阳</v>
      </c>
      <c r="G353" s="4" t="str">
        <f>"女"</f>
        <v>女</v>
      </c>
      <c r="H353" s="4" t="str">
        <f>"1993-01-26"</f>
        <v>1993-01-26</v>
      </c>
      <c r="I353" s="4">
        <v>55.7</v>
      </c>
      <c r="J353" s="5"/>
    </row>
    <row r="354" spans="1:10">
      <c r="A354" s="4">
        <v>350</v>
      </c>
      <c r="B354" s="4" t="str">
        <f>"20203011220"</f>
        <v>20203011220</v>
      </c>
      <c r="C354" s="4">
        <v>12</v>
      </c>
      <c r="D354" s="4">
        <v>20</v>
      </c>
      <c r="E354" s="4" t="s">
        <v>28</v>
      </c>
      <c r="F354" s="4" t="str">
        <f>"阮玉卿"</f>
        <v>阮玉卿</v>
      </c>
      <c r="G354" s="4" t="str">
        <f>"男"</f>
        <v>男</v>
      </c>
      <c r="H354" s="4" t="str">
        <f>"1992-02-02"</f>
        <v>1992-02-02</v>
      </c>
      <c r="I354" s="4">
        <v>55</v>
      </c>
      <c r="J354" s="5"/>
    </row>
    <row r="355" spans="1:10">
      <c r="A355" s="4">
        <v>351</v>
      </c>
      <c r="B355" s="4" t="str">
        <f>"20203011221"</f>
        <v>20203011221</v>
      </c>
      <c r="C355" s="4">
        <v>12</v>
      </c>
      <c r="D355" s="4">
        <v>21</v>
      </c>
      <c r="E355" s="4" t="s">
        <v>28</v>
      </c>
      <c r="F355" s="4" t="str">
        <f>"李旭"</f>
        <v>李旭</v>
      </c>
      <c r="G355" s="4" t="str">
        <f>"男"</f>
        <v>男</v>
      </c>
      <c r="H355" s="4" t="str">
        <f>"1996-02-27"</f>
        <v>1996-02-27</v>
      </c>
      <c r="I355" s="4" t="s">
        <v>12</v>
      </c>
      <c r="J355" s="5"/>
    </row>
    <row r="356" spans="1:10">
      <c r="A356" s="4">
        <v>352</v>
      </c>
      <c r="B356" s="4" t="str">
        <f>"20203011222"</f>
        <v>20203011222</v>
      </c>
      <c r="C356" s="4">
        <v>12</v>
      </c>
      <c r="D356" s="4">
        <v>22</v>
      </c>
      <c r="E356" s="4" t="s">
        <v>28</v>
      </c>
      <c r="F356" s="4" t="str">
        <f>"李钦洁"</f>
        <v>李钦洁</v>
      </c>
      <c r="G356" s="4" t="str">
        <f>"男"</f>
        <v>男</v>
      </c>
      <c r="H356" s="4" t="str">
        <f>"1994-04-02"</f>
        <v>1994-04-02</v>
      </c>
      <c r="I356" s="4">
        <v>57.7</v>
      </c>
      <c r="J356" s="5"/>
    </row>
    <row r="357" spans="1:10">
      <c r="A357" s="4">
        <v>353</v>
      </c>
      <c r="B357" s="4" t="str">
        <f>"20203011223"</f>
        <v>20203011223</v>
      </c>
      <c r="C357" s="4">
        <v>12</v>
      </c>
      <c r="D357" s="4">
        <v>23</v>
      </c>
      <c r="E357" s="4" t="s">
        <v>28</v>
      </c>
      <c r="F357" s="4" t="str">
        <f>"李艳姣"</f>
        <v>李艳姣</v>
      </c>
      <c r="G357" s="4" t="str">
        <f>"女"</f>
        <v>女</v>
      </c>
      <c r="H357" s="4" t="str">
        <f>"1996-09-10"</f>
        <v>1996-09-10</v>
      </c>
      <c r="I357" s="4">
        <v>68.8</v>
      </c>
      <c r="J357" s="5"/>
    </row>
    <row r="358" spans="1:10">
      <c r="A358" s="4">
        <v>354</v>
      </c>
      <c r="B358" s="4" t="str">
        <f>"20203011224"</f>
        <v>20203011224</v>
      </c>
      <c r="C358" s="4">
        <v>12</v>
      </c>
      <c r="D358" s="4">
        <v>24</v>
      </c>
      <c r="E358" s="4" t="s">
        <v>28</v>
      </c>
      <c r="F358" s="4" t="str">
        <f>"王志超"</f>
        <v>王志超</v>
      </c>
      <c r="G358" s="4" t="str">
        <f>"男"</f>
        <v>男</v>
      </c>
      <c r="H358" s="4" t="str">
        <f>"1995-01-15"</f>
        <v>1995-01-15</v>
      </c>
      <c r="I358" s="4" t="s">
        <v>12</v>
      </c>
      <c r="J358" s="5"/>
    </row>
    <row r="359" spans="1:10">
      <c r="A359" s="4">
        <v>355</v>
      </c>
      <c r="B359" s="4" t="str">
        <f>"20203011225"</f>
        <v>20203011225</v>
      </c>
      <c r="C359" s="4">
        <v>12</v>
      </c>
      <c r="D359" s="4">
        <v>25</v>
      </c>
      <c r="E359" s="4" t="s">
        <v>28</v>
      </c>
      <c r="F359" s="4" t="str">
        <f>"王萌"</f>
        <v>王萌</v>
      </c>
      <c r="G359" s="4" t="str">
        <f>"女"</f>
        <v>女</v>
      </c>
      <c r="H359" s="4" t="str">
        <f>"1990-02-07"</f>
        <v>1990-02-07</v>
      </c>
      <c r="I359" s="4">
        <v>74.9</v>
      </c>
      <c r="J359" s="5"/>
    </row>
    <row r="360" spans="1:10">
      <c r="A360" s="4">
        <v>356</v>
      </c>
      <c r="B360" s="4" t="str">
        <f>"20203011226"</f>
        <v>20203011226</v>
      </c>
      <c r="C360" s="4">
        <v>12</v>
      </c>
      <c r="D360" s="4">
        <v>26</v>
      </c>
      <c r="E360" s="4" t="s">
        <v>28</v>
      </c>
      <c r="F360" s="4" t="str">
        <f>"刘小洋"</f>
        <v>刘小洋</v>
      </c>
      <c r="G360" s="4" t="str">
        <f>"男"</f>
        <v>男</v>
      </c>
      <c r="H360" s="4" t="str">
        <f>"1992-05-10"</f>
        <v>1992-05-10</v>
      </c>
      <c r="I360" s="4" t="s">
        <v>12</v>
      </c>
      <c r="J360" s="5"/>
    </row>
    <row r="361" spans="1:10">
      <c r="A361" s="4">
        <v>357</v>
      </c>
      <c r="B361" s="4" t="str">
        <f>"20203011227"</f>
        <v>20203011227</v>
      </c>
      <c r="C361" s="4">
        <v>12</v>
      </c>
      <c r="D361" s="4">
        <v>27</v>
      </c>
      <c r="E361" s="4" t="s">
        <v>28</v>
      </c>
      <c r="F361" s="4" t="str">
        <f>"胡广奇"</f>
        <v>胡广奇</v>
      </c>
      <c r="G361" s="4" t="str">
        <f>"女"</f>
        <v>女</v>
      </c>
      <c r="H361" s="4" t="str">
        <f>"1991-02-04"</f>
        <v>1991-02-04</v>
      </c>
      <c r="I361" s="4">
        <v>69.2</v>
      </c>
      <c r="J361" s="5"/>
    </row>
    <row r="362" spans="1:10">
      <c r="A362" s="4">
        <v>358</v>
      </c>
      <c r="B362" s="4" t="str">
        <f>"20203011228"</f>
        <v>20203011228</v>
      </c>
      <c r="C362" s="4">
        <v>12</v>
      </c>
      <c r="D362" s="4">
        <v>28</v>
      </c>
      <c r="E362" s="4" t="s">
        <v>28</v>
      </c>
      <c r="F362" s="4" t="str">
        <f>"韩凌宵"</f>
        <v>韩凌宵</v>
      </c>
      <c r="G362" s="4" t="str">
        <f>"男"</f>
        <v>男</v>
      </c>
      <c r="H362" s="4" t="str">
        <f>"1990-08-02"</f>
        <v>1990-08-02</v>
      </c>
      <c r="I362" s="4">
        <v>50</v>
      </c>
      <c r="J362" s="5"/>
    </row>
    <row r="363" spans="1:10">
      <c r="A363" s="4">
        <v>359</v>
      </c>
      <c r="B363" s="4" t="str">
        <f>"20203011229"</f>
        <v>20203011229</v>
      </c>
      <c r="C363" s="4">
        <v>12</v>
      </c>
      <c r="D363" s="4">
        <v>29</v>
      </c>
      <c r="E363" s="4" t="s">
        <v>28</v>
      </c>
      <c r="F363" s="4" t="str">
        <f>"王祥伸"</f>
        <v>王祥伸</v>
      </c>
      <c r="G363" s="4" t="str">
        <f>"男"</f>
        <v>男</v>
      </c>
      <c r="H363" s="4" t="str">
        <f>"1990-03-16"</f>
        <v>1990-03-16</v>
      </c>
      <c r="I363" s="4">
        <v>66.9</v>
      </c>
      <c r="J363" s="5"/>
    </row>
    <row r="364" spans="1:10">
      <c r="A364" s="4">
        <v>360</v>
      </c>
      <c r="B364" s="4" t="str">
        <f>"20203011230"</f>
        <v>20203011230</v>
      </c>
      <c r="C364" s="4">
        <v>12</v>
      </c>
      <c r="D364" s="4">
        <v>30</v>
      </c>
      <c r="E364" s="4" t="s">
        <v>28</v>
      </c>
      <c r="F364" s="4" t="str">
        <f>"张克"</f>
        <v>张克</v>
      </c>
      <c r="G364" s="4" t="str">
        <f>"男"</f>
        <v>男</v>
      </c>
      <c r="H364" s="4" t="str">
        <f>"1991-06-03"</f>
        <v>1991-06-03</v>
      </c>
      <c r="I364" s="4">
        <v>50.8</v>
      </c>
      <c r="J364" s="5"/>
    </row>
    <row r="365" spans="1:10">
      <c r="A365" s="4">
        <v>361</v>
      </c>
      <c r="B365" s="4" t="str">
        <f>"20203011301"</f>
        <v>20203011301</v>
      </c>
      <c r="C365" s="4">
        <v>13</v>
      </c>
      <c r="D365" s="4">
        <v>1</v>
      </c>
      <c r="E365" s="4" t="s">
        <v>28</v>
      </c>
      <c r="F365" s="4" t="str">
        <f>"陈渝"</f>
        <v>陈渝</v>
      </c>
      <c r="G365" s="4" t="str">
        <f>"男"</f>
        <v>男</v>
      </c>
      <c r="H365" s="4" t="str">
        <f>"1995-11-04"</f>
        <v>1995-11-04</v>
      </c>
      <c r="I365" s="4" t="s">
        <v>12</v>
      </c>
      <c r="J365" s="5"/>
    </row>
    <row r="366" spans="1:10">
      <c r="A366" s="4">
        <v>362</v>
      </c>
      <c r="B366" s="4" t="str">
        <f>"20203011302"</f>
        <v>20203011302</v>
      </c>
      <c r="C366" s="4">
        <v>13</v>
      </c>
      <c r="D366" s="4">
        <v>2</v>
      </c>
      <c r="E366" s="4" t="s">
        <v>28</v>
      </c>
      <c r="F366" s="4" t="str">
        <f>"张立锦"</f>
        <v>张立锦</v>
      </c>
      <c r="G366" s="4" t="str">
        <f>"女"</f>
        <v>女</v>
      </c>
      <c r="H366" s="4" t="str">
        <f>"1996-12-28"</f>
        <v>1996-12-28</v>
      </c>
      <c r="I366" s="4" t="s">
        <v>12</v>
      </c>
      <c r="J366" s="5"/>
    </row>
    <row r="367" spans="1:10">
      <c r="A367" s="4">
        <v>363</v>
      </c>
      <c r="B367" s="4" t="str">
        <f>"20203011303"</f>
        <v>20203011303</v>
      </c>
      <c r="C367" s="4">
        <v>13</v>
      </c>
      <c r="D367" s="4">
        <v>3</v>
      </c>
      <c r="E367" s="4" t="s">
        <v>28</v>
      </c>
      <c r="F367" s="4" t="str">
        <f>"席茄平"</f>
        <v>席茄平</v>
      </c>
      <c r="G367" s="4" t="str">
        <f>"女"</f>
        <v>女</v>
      </c>
      <c r="H367" s="4" t="str">
        <f>"1997-07-02"</f>
        <v>1997-07-02</v>
      </c>
      <c r="I367" s="4" t="s">
        <v>12</v>
      </c>
      <c r="J367" s="5"/>
    </row>
    <row r="368" spans="1:10">
      <c r="A368" s="4">
        <v>364</v>
      </c>
      <c r="B368" s="4" t="str">
        <f>"20203011304"</f>
        <v>20203011304</v>
      </c>
      <c r="C368" s="4">
        <v>13</v>
      </c>
      <c r="D368" s="4">
        <v>4</v>
      </c>
      <c r="E368" s="4" t="s">
        <v>28</v>
      </c>
      <c r="F368" s="4" t="str">
        <f>"廖永奇"</f>
        <v>廖永奇</v>
      </c>
      <c r="G368" s="4" t="str">
        <f>"男"</f>
        <v>男</v>
      </c>
      <c r="H368" s="4" t="str">
        <f>"1992-07-13"</f>
        <v>1992-07-13</v>
      </c>
      <c r="I368" s="4">
        <v>48.4</v>
      </c>
      <c r="J368" s="5"/>
    </row>
    <row r="369" spans="1:10">
      <c r="A369" s="4">
        <v>365</v>
      </c>
      <c r="B369" s="4" t="str">
        <f>"20203011305"</f>
        <v>20203011305</v>
      </c>
      <c r="C369" s="4">
        <v>13</v>
      </c>
      <c r="D369" s="4">
        <v>5</v>
      </c>
      <c r="E369" s="4" t="s">
        <v>28</v>
      </c>
      <c r="F369" s="4" t="str">
        <f>"刘甲亮"</f>
        <v>刘甲亮</v>
      </c>
      <c r="G369" s="4" t="str">
        <f>"男"</f>
        <v>男</v>
      </c>
      <c r="H369" s="4" t="str">
        <f>"1997-10-10"</f>
        <v>1997-10-10</v>
      </c>
      <c r="I369" s="4">
        <v>68.4</v>
      </c>
      <c r="J369" s="5"/>
    </row>
    <row r="370" spans="1:10">
      <c r="A370" s="4">
        <v>366</v>
      </c>
      <c r="B370" s="4" t="str">
        <f>"20203011306"</f>
        <v>20203011306</v>
      </c>
      <c r="C370" s="4">
        <v>13</v>
      </c>
      <c r="D370" s="4">
        <v>6</v>
      </c>
      <c r="E370" s="4" t="s">
        <v>28</v>
      </c>
      <c r="F370" s="4" t="str">
        <f>"李辽亚"</f>
        <v>李辽亚</v>
      </c>
      <c r="G370" s="4" t="str">
        <f>"女"</f>
        <v>女</v>
      </c>
      <c r="H370" s="4" t="str">
        <f>"1990-12-15"</f>
        <v>1990-12-15</v>
      </c>
      <c r="I370" s="4">
        <v>61.8</v>
      </c>
      <c r="J370" s="5"/>
    </row>
    <row r="371" spans="1:10">
      <c r="A371" s="4">
        <v>367</v>
      </c>
      <c r="B371" s="4" t="str">
        <f>"20203011307"</f>
        <v>20203011307</v>
      </c>
      <c r="C371" s="4">
        <v>13</v>
      </c>
      <c r="D371" s="4">
        <v>7</v>
      </c>
      <c r="E371" s="4" t="s">
        <v>28</v>
      </c>
      <c r="F371" s="4" t="str">
        <f>"苏红宾"</f>
        <v>苏红宾</v>
      </c>
      <c r="G371" s="4" t="str">
        <f>"男"</f>
        <v>男</v>
      </c>
      <c r="H371" s="4" t="str">
        <f>"1990-06-06"</f>
        <v>1990-06-06</v>
      </c>
      <c r="I371" s="4">
        <v>44.9</v>
      </c>
      <c r="J371" s="5"/>
    </row>
    <row r="372" spans="1:10">
      <c r="A372" s="4">
        <v>368</v>
      </c>
      <c r="B372" s="4" t="str">
        <f>"20203011308"</f>
        <v>20203011308</v>
      </c>
      <c r="C372" s="4">
        <v>13</v>
      </c>
      <c r="D372" s="4">
        <v>8</v>
      </c>
      <c r="E372" s="4" t="s">
        <v>28</v>
      </c>
      <c r="F372" s="4" t="str">
        <f>"王景"</f>
        <v>王景</v>
      </c>
      <c r="G372" s="4" t="str">
        <f>"女"</f>
        <v>女</v>
      </c>
      <c r="H372" s="4" t="str">
        <f>"1995-09-01"</f>
        <v>1995-09-01</v>
      </c>
      <c r="I372" s="4" t="s">
        <v>12</v>
      </c>
      <c r="J372" s="5"/>
    </row>
    <row r="373" spans="1:10">
      <c r="A373" s="4">
        <v>369</v>
      </c>
      <c r="B373" s="4" t="str">
        <f>"20203011309"</f>
        <v>20203011309</v>
      </c>
      <c r="C373" s="4">
        <v>13</v>
      </c>
      <c r="D373" s="4">
        <v>9</v>
      </c>
      <c r="E373" s="4" t="s">
        <v>28</v>
      </c>
      <c r="F373" s="4" t="str">
        <f>"李鹏飞"</f>
        <v>李鹏飞</v>
      </c>
      <c r="G373" s="4" t="str">
        <f>"男"</f>
        <v>男</v>
      </c>
      <c r="H373" s="4" t="str">
        <f>"1995-10-29"</f>
        <v>1995-10-29</v>
      </c>
      <c r="I373" s="4" t="s">
        <v>12</v>
      </c>
      <c r="J373" s="5"/>
    </row>
    <row r="374" spans="1:10">
      <c r="A374" s="4">
        <v>370</v>
      </c>
      <c r="B374" s="4" t="str">
        <f>"20203011310"</f>
        <v>20203011310</v>
      </c>
      <c r="C374" s="4">
        <v>13</v>
      </c>
      <c r="D374" s="4">
        <v>10</v>
      </c>
      <c r="E374" s="4" t="s">
        <v>28</v>
      </c>
      <c r="F374" s="4" t="str">
        <f>"李准"</f>
        <v>李准</v>
      </c>
      <c r="G374" s="4" t="str">
        <f>"男"</f>
        <v>男</v>
      </c>
      <c r="H374" s="4" t="str">
        <f>"1994-10-15"</f>
        <v>1994-10-15</v>
      </c>
      <c r="I374" s="4">
        <v>42.6</v>
      </c>
      <c r="J374" s="5"/>
    </row>
    <row r="375" spans="1:10">
      <c r="A375" s="4">
        <v>371</v>
      </c>
      <c r="B375" s="4" t="str">
        <f>"20203011311"</f>
        <v>20203011311</v>
      </c>
      <c r="C375" s="4">
        <v>13</v>
      </c>
      <c r="D375" s="4">
        <v>11</v>
      </c>
      <c r="E375" s="4" t="s">
        <v>28</v>
      </c>
      <c r="F375" s="4" t="str">
        <f>"刘润田"</f>
        <v>刘润田</v>
      </c>
      <c r="G375" s="4" t="str">
        <f>"男"</f>
        <v>男</v>
      </c>
      <c r="H375" s="4" t="str">
        <f>"1998-04-15"</f>
        <v>1998-04-15</v>
      </c>
      <c r="I375" s="4">
        <v>57.4</v>
      </c>
      <c r="J375" s="5"/>
    </row>
    <row r="376" spans="1:10">
      <c r="A376" s="4">
        <v>372</v>
      </c>
      <c r="B376" s="4" t="str">
        <f>"20203011312"</f>
        <v>20203011312</v>
      </c>
      <c r="C376" s="4">
        <v>13</v>
      </c>
      <c r="D376" s="4">
        <v>12</v>
      </c>
      <c r="E376" s="4" t="s">
        <v>28</v>
      </c>
      <c r="F376" s="4" t="str">
        <f>"陈彬"</f>
        <v>陈彬</v>
      </c>
      <c r="G376" s="4" t="str">
        <f>"男"</f>
        <v>男</v>
      </c>
      <c r="H376" s="4" t="str">
        <f>"1995-08-29"</f>
        <v>1995-08-29</v>
      </c>
      <c r="I376" s="4" t="s">
        <v>12</v>
      </c>
      <c r="J376" s="5"/>
    </row>
    <row r="377" spans="1:10">
      <c r="A377" s="4">
        <v>373</v>
      </c>
      <c r="B377" s="4" t="str">
        <f>"20203011313"</f>
        <v>20203011313</v>
      </c>
      <c r="C377" s="4">
        <v>13</v>
      </c>
      <c r="D377" s="4">
        <v>13</v>
      </c>
      <c r="E377" s="4" t="s">
        <v>28</v>
      </c>
      <c r="F377" s="4" t="str">
        <f>"何丽君"</f>
        <v>何丽君</v>
      </c>
      <c r="G377" s="4" t="str">
        <f>"女"</f>
        <v>女</v>
      </c>
      <c r="H377" s="4" t="str">
        <f>"1995-10-17"</f>
        <v>1995-10-17</v>
      </c>
      <c r="I377" s="4" t="s">
        <v>12</v>
      </c>
      <c r="J377" s="5"/>
    </row>
    <row r="378" spans="1:10">
      <c r="A378" s="4">
        <v>374</v>
      </c>
      <c r="B378" s="4" t="str">
        <f>"20203011314"</f>
        <v>20203011314</v>
      </c>
      <c r="C378" s="4">
        <v>13</v>
      </c>
      <c r="D378" s="4">
        <v>14</v>
      </c>
      <c r="E378" s="4" t="s">
        <v>28</v>
      </c>
      <c r="F378" s="4" t="str">
        <f>"李兴"</f>
        <v>李兴</v>
      </c>
      <c r="G378" s="4" t="str">
        <f>"男"</f>
        <v>男</v>
      </c>
      <c r="H378" s="4" t="str">
        <f>"1990-06-10"</f>
        <v>1990-06-10</v>
      </c>
      <c r="I378" s="4">
        <v>59.1</v>
      </c>
      <c r="J378" s="5"/>
    </row>
    <row r="379" spans="1:10">
      <c r="A379" s="4">
        <v>375</v>
      </c>
      <c r="B379" s="4" t="str">
        <f>"20203011315"</f>
        <v>20203011315</v>
      </c>
      <c r="C379" s="4">
        <v>13</v>
      </c>
      <c r="D379" s="4">
        <v>15</v>
      </c>
      <c r="E379" s="4" t="s">
        <v>28</v>
      </c>
      <c r="F379" s="4" t="str">
        <f>"孟浩"</f>
        <v>孟浩</v>
      </c>
      <c r="G379" s="4" t="str">
        <f>"男"</f>
        <v>男</v>
      </c>
      <c r="H379" s="4" t="str">
        <f>"1992-04-07"</f>
        <v>1992-04-07</v>
      </c>
      <c r="I379" s="4">
        <v>63.2</v>
      </c>
      <c r="J379" s="5"/>
    </row>
    <row r="380" spans="1:10">
      <c r="A380" s="4">
        <v>376</v>
      </c>
      <c r="B380" s="4" t="str">
        <f>"20203011316"</f>
        <v>20203011316</v>
      </c>
      <c r="C380" s="4">
        <v>13</v>
      </c>
      <c r="D380" s="4">
        <v>16</v>
      </c>
      <c r="E380" s="4" t="s">
        <v>28</v>
      </c>
      <c r="F380" s="4" t="str">
        <f>"孙丽"</f>
        <v>孙丽</v>
      </c>
      <c r="G380" s="4" t="str">
        <f>"女"</f>
        <v>女</v>
      </c>
      <c r="H380" s="4" t="str">
        <f>"1990-10-01"</f>
        <v>1990-10-01</v>
      </c>
      <c r="I380" s="4" t="s">
        <v>12</v>
      </c>
      <c r="J380" s="5"/>
    </row>
    <row r="381" spans="1:10">
      <c r="A381" s="4">
        <v>377</v>
      </c>
      <c r="B381" s="4" t="str">
        <f>"20203011317"</f>
        <v>20203011317</v>
      </c>
      <c r="C381" s="4">
        <v>13</v>
      </c>
      <c r="D381" s="4">
        <v>17</v>
      </c>
      <c r="E381" s="4" t="s">
        <v>28</v>
      </c>
      <c r="F381" s="4" t="str">
        <f>"王蔚澔"</f>
        <v>王蔚澔</v>
      </c>
      <c r="G381" s="4" t="str">
        <f>"男"</f>
        <v>男</v>
      </c>
      <c r="H381" s="4" t="str">
        <f>"1994-12-04"</f>
        <v>1994-12-04</v>
      </c>
      <c r="I381" s="4">
        <v>52.1</v>
      </c>
      <c r="J381" s="5"/>
    </row>
    <row r="382" spans="1:10">
      <c r="A382" s="4">
        <v>378</v>
      </c>
      <c r="B382" s="4" t="str">
        <f>"20203011318"</f>
        <v>20203011318</v>
      </c>
      <c r="C382" s="4">
        <v>13</v>
      </c>
      <c r="D382" s="4">
        <v>18</v>
      </c>
      <c r="E382" s="4" t="s">
        <v>28</v>
      </c>
      <c r="F382" s="4" t="str">
        <f>"焦帅霖"</f>
        <v>焦帅霖</v>
      </c>
      <c r="G382" s="4" t="str">
        <f>"男"</f>
        <v>男</v>
      </c>
      <c r="H382" s="4" t="str">
        <f>"1993-12-29"</f>
        <v>1993-12-29</v>
      </c>
      <c r="I382" s="4">
        <v>52.1</v>
      </c>
      <c r="J382" s="5"/>
    </row>
    <row r="383" spans="1:10">
      <c r="A383" s="4">
        <v>379</v>
      </c>
      <c r="B383" s="4" t="str">
        <f>"20203011319"</f>
        <v>20203011319</v>
      </c>
      <c r="C383" s="4">
        <v>13</v>
      </c>
      <c r="D383" s="4">
        <v>19</v>
      </c>
      <c r="E383" s="4" t="s">
        <v>28</v>
      </c>
      <c r="F383" s="4" t="str">
        <f>"齐京干"</f>
        <v>齐京干</v>
      </c>
      <c r="G383" s="4" t="str">
        <f>"男"</f>
        <v>男</v>
      </c>
      <c r="H383" s="4" t="str">
        <f>"1990-08-09"</f>
        <v>1990-08-09</v>
      </c>
      <c r="I383" s="4">
        <v>42.4</v>
      </c>
      <c r="J383" s="5"/>
    </row>
    <row r="384" spans="1:10">
      <c r="A384" s="4">
        <v>380</v>
      </c>
      <c r="B384" s="4" t="str">
        <f>"20203011320"</f>
        <v>20203011320</v>
      </c>
      <c r="C384" s="4">
        <v>13</v>
      </c>
      <c r="D384" s="4">
        <v>20</v>
      </c>
      <c r="E384" s="4" t="s">
        <v>28</v>
      </c>
      <c r="F384" s="4" t="str">
        <f>"闫钟生"</f>
        <v>闫钟生</v>
      </c>
      <c r="G384" s="4" t="str">
        <f>"男"</f>
        <v>男</v>
      </c>
      <c r="H384" s="4" t="str">
        <f>"1992-12-16"</f>
        <v>1992-12-16</v>
      </c>
      <c r="I384" s="4" t="s">
        <v>12</v>
      </c>
      <c r="J384" s="5"/>
    </row>
    <row r="385" spans="1:10">
      <c r="A385" s="4">
        <v>381</v>
      </c>
      <c r="B385" s="4" t="str">
        <f>"20203111321"</f>
        <v>20203111321</v>
      </c>
      <c r="C385" s="4">
        <v>13</v>
      </c>
      <c r="D385" s="4">
        <v>21</v>
      </c>
      <c r="E385" s="4" t="s">
        <v>29</v>
      </c>
      <c r="F385" s="4" t="str">
        <f>"陈蓓蕾"</f>
        <v>陈蓓蕾</v>
      </c>
      <c r="G385" s="4" t="str">
        <f t="shared" ref="G385:G399" si="16">"女"</f>
        <v>女</v>
      </c>
      <c r="H385" s="4" t="str">
        <f>"1990-02-03"</f>
        <v>1990-02-03</v>
      </c>
      <c r="I385" s="4">
        <v>46.2</v>
      </c>
      <c r="J385" s="5"/>
    </row>
    <row r="386" spans="1:10">
      <c r="A386" s="4">
        <v>382</v>
      </c>
      <c r="B386" s="4" t="str">
        <f>"20203111322"</f>
        <v>20203111322</v>
      </c>
      <c r="C386" s="4">
        <v>13</v>
      </c>
      <c r="D386" s="4">
        <v>22</v>
      </c>
      <c r="E386" s="4" t="s">
        <v>29</v>
      </c>
      <c r="F386" s="4" t="str">
        <f>"崔艳芳"</f>
        <v>崔艳芳</v>
      </c>
      <c r="G386" s="4" t="str">
        <f t="shared" si="16"/>
        <v>女</v>
      </c>
      <c r="H386" s="4" t="str">
        <f>"1993-04-01"</f>
        <v>1993-04-01</v>
      </c>
      <c r="I386" s="4" t="s">
        <v>12</v>
      </c>
      <c r="J386" s="5"/>
    </row>
    <row r="387" spans="1:10">
      <c r="A387" s="4">
        <v>383</v>
      </c>
      <c r="B387" s="4" t="str">
        <f>"20203111323"</f>
        <v>20203111323</v>
      </c>
      <c r="C387" s="4">
        <v>13</v>
      </c>
      <c r="D387" s="4">
        <v>23</v>
      </c>
      <c r="E387" s="4" t="s">
        <v>29</v>
      </c>
      <c r="F387" s="4" t="str">
        <f>"连德英"</f>
        <v>连德英</v>
      </c>
      <c r="G387" s="4" t="str">
        <f t="shared" si="16"/>
        <v>女</v>
      </c>
      <c r="H387" s="4" t="str">
        <f>"1992-04-08"</f>
        <v>1992-04-08</v>
      </c>
      <c r="I387" s="4">
        <v>60.8</v>
      </c>
      <c r="J387" s="5"/>
    </row>
    <row r="388" spans="1:10">
      <c r="A388" s="4">
        <v>384</v>
      </c>
      <c r="B388" s="4" t="str">
        <f>"20203111324"</f>
        <v>20203111324</v>
      </c>
      <c r="C388" s="4">
        <v>13</v>
      </c>
      <c r="D388" s="4">
        <v>24</v>
      </c>
      <c r="E388" s="4" t="s">
        <v>29</v>
      </c>
      <c r="F388" s="4" t="str">
        <f>"王蕊"</f>
        <v>王蕊</v>
      </c>
      <c r="G388" s="4" t="str">
        <f t="shared" si="16"/>
        <v>女</v>
      </c>
      <c r="H388" s="4" t="str">
        <f>"1990-08-17"</f>
        <v>1990-08-17</v>
      </c>
      <c r="I388" s="4">
        <v>53.2</v>
      </c>
      <c r="J388" s="5"/>
    </row>
    <row r="389" spans="1:10">
      <c r="A389" s="4">
        <v>385</v>
      </c>
      <c r="B389" s="4" t="str">
        <f>"20203111325"</f>
        <v>20203111325</v>
      </c>
      <c r="C389" s="4">
        <v>13</v>
      </c>
      <c r="D389" s="4">
        <v>25</v>
      </c>
      <c r="E389" s="4" t="s">
        <v>29</v>
      </c>
      <c r="F389" s="4" t="str">
        <f>"张凯亚"</f>
        <v>张凯亚</v>
      </c>
      <c r="G389" s="4" t="str">
        <f t="shared" si="16"/>
        <v>女</v>
      </c>
      <c r="H389" s="4" t="str">
        <f>"1996-03-10"</f>
        <v>1996-03-10</v>
      </c>
      <c r="I389" s="4">
        <v>47</v>
      </c>
      <c r="J389" s="5"/>
    </row>
    <row r="390" spans="1:10">
      <c r="A390" s="4">
        <v>386</v>
      </c>
      <c r="B390" s="4" t="str">
        <f>"20203111326"</f>
        <v>20203111326</v>
      </c>
      <c r="C390" s="4">
        <v>13</v>
      </c>
      <c r="D390" s="4">
        <v>26</v>
      </c>
      <c r="E390" s="4" t="s">
        <v>29</v>
      </c>
      <c r="F390" s="4" t="str">
        <f>"魏爱武"</f>
        <v>魏爱武</v>
      </c>
      <c r="G390" s="4" t="str">
        <f t="shared" si="16"/>
        <v>女</v>
      </c>
      <c r="H390" s="4" t="str">
        <f>"1995-07-02"</f>
        <v>1995-07-02</v>
      </c>
      <c r="I390" s="4" t="s">
        <v>12</v>
      </c>
      <c r="J390" s="5"/>
    </row>
    <row r="391" spans="1:10">
      <c r="A391" s="4">
        <v>387</v>
      </c>
      <c r="B391" s="4" t="str">
        <f>"20203111327"</f>
        <v>20203111327</v>
      </c>
      <c r="C391" s="4">
        <v>13</v>
      </c>
      <c r="D391" s="4">
        <v>27</v>
      </c>
      <c r="E391" s="4" t="s">
        <v>29</v>
      </c>
      <c r="F391" s="4" t="str">
        <f>"任月梦"</f>
        <v>任月梦</v>
      </c>
      <c r="G391" s="4" t="str">
        <f t="shared" si="16"/>
        <v>女</v>
      </c>
      <c r="H391" s="4" t="str">
        <f>"1993-06-15"</f>
        <v>1993-06-15</v>
      </c>
      <c r="I391" s="4">
        <v>64.2</v>
      </c>
      <c r="J391" s="5"/>
    </row>
    <row r="392" spans="1:10">
      <c r="A392" s="4">
        <v>388</v>
      </c>
      <c r="B392" s="4" t="str">
        <f>"20203111328"</f>
        <v>20203111328</v>
      </c>
      <c r="C392" s="4">
        <v>13</v>
      </c>
      <c r="D392" s="4">
        <v>28</v>
      </c>
      <c r="E392" s="4" t="s">
        <v>29</v>
      </c>
      <c r="F392" s="4" t="str">
        <f>"张世玉"</f>
        <v>张世玉</v>
      </c>
      <c r="G392" s="4" t="str">
        <f t="shared" si="16"/>
        <v>女</v>
      </c>
      <c r="H392" s="4" t="str">
        <f>"1992-02-06"</f>
        <v>1992-02-06</v>
      </c>
      <c r="I392" s="4">
        <v>49.9</v>
      </c>
      <c r="J392" s="5"/>
    </row>
    <row r="393" spans="1:10">
      <c r="A393" s="4">
        <v>389</v>
      </c>
      <c r="B393" s="4" t="str">
        <f>"20203111329"</f>
        <v>20203111329</v>
      </c>
      <c r="C393" s="4">
        <v>13</v>
      </c>
      <c r="D393" s="4">
        <v>29</v>
      </c>
      <c r="E393" s="4" t="s">
        <v>29</v>
      </c>
      <c r="F393" s="4" t="str">
        <f>"靳芳"</f>
        <v>靳芳</v>
      </c>
      <c r="G393" s="4" t="str">
        <f t="shared" si="16"/>
        <v>女</v>
      </c>
      <c r="H393" s="4" t="str">
        <f>"1994-11-21"</f>
        <v>1994-11-21</v>
      </c>
      <c r="I393" s="4">
        <v>69.4</v>
      </c>
      <c r="J393" s="5"/>
    </row>
    <row r="394" spans="1:10">
      <c r="A394" s="4">
        <v>390</v>
      </c>
      <c r="B394" s="4" t="str">
        <f>"20203111330"</f>
        <v>20203111330</v>
      </c>
      <c r="C394" s="4">
        <v>13</v>
      </c>
      <c r="D394" s="4">
        <v>30</v>
      </c>
      <c r="E394" s="4" t="s">
        <v>29</v>
      </c>
      <c r="F394" s="4" t="str">
        <f>"李亚楠"</f>
        <v>李亚楠</v>
      </c>
      <c r="G394" s="4" t="str">
        <f t="shared" si="16"/>
        <v>女</v>
      </c>
      <c r="H394" s="4" t="str">
        <f>"1993-10-02"</f>
        <v>1993-10-02</v>
      </c>
      <c r="I394" s="4">
        <v>70.5</v>
      </c>
      <c r="J394" s="5"/>
    </row>
    <row r="395" spans="1:10">
      <c r="A395" s="4">
        <v>391</v>
      </c>
      <c r="B395" s="4" t="str">
        <f>"20203111401"</f>
        <v>20203111401</v>
      </c>
      <c r="C395" s="4">
        <v>14</v>
      </c>
      <c r="D395" s="4">
        <v>1</v>
      </c>
      <c r="E395" s="4" t="s">
        <v>29</v>
      </c>
      <c r="F395" s="4" t="str">
        <f>"闫少臻"</f>
        <v>闫少臻</v>
      </c>
      <c r="G395" s="4" t="str">
        <f t="shared" si="16"/>
        <v>女</v>
      </c>
      <c r="H395" s="4" t="str">
        <f>"1995-09-28"</f>
        <v>1995-09-28</v>
      </c>
      <c r="I395" s="4">
        <v>53.9</v>
      </c>
      <c r="J395" s="5"/>
    </row>
    <row r="396" spans="1:10">
      <c r="A396" s="4">
        <v>392</v>
      </c>
      <c r="B396" s="4" t="str">
        <f>"20203111402"</f>
        <v>20203111402</v>
      </c>
      <c r="C396" s="4">
        <v>14</v>
      </c>
      <c r="D396" s="4">
        <v>2</v>
      </c>
      <c r="E396" s="4" t="s">
        <v>29</v>
      </c>
      <c r="F396" s="4" t="str">
        <f>"赵安安"</f>
        <v>赵安安</v>
      </c>
      <c r="G396" s="4" t="str">
        <f t="shared" si="16"/>
        <v>女</v>
      </c>
      <c r="H396" s="4" t="str">
        <f>"1991-02-28"</f>
        <v>1991-02-28</v>
      </c>
      <c r="I396" s="4">
        <v>52.3</v>
      </c>
      <c r="J396" s="5"/>
    </row>
    <row r="397" spans="1:10">
      <c r="A397" s="4">
        <v>393</v>
      </c>
      <c r="B397" s="4" t="str">
        <f>"20203111403"</f>
        <v>20203111403</v>
      </c>
      <c r="C397" s="4">
        <v>14</v>
      </c>
      <c r="D397" s="4">
        <v>3</v>
      </c>
      <c r="E397" s="4" t="s">
        <v>29</v>
      </c>
      <c r="F397" s="4" t="str">
        <f>"冯凡"</f>
        <v>冯凡</v>
      </c>
      <c r="G397" s="4" t="str">
        <f t="shared" si="16"/>
        <v>女</v>
      </c>
      <c r="H397" s="4" t="str">
        <f>"1996-12-05"</f>
        <v>1996-12-05</v>
      </c>
      <c r="I397" s="4">
        <v>68.2</v>
      </c>
      <c r="J397" s="5"/>
    </row>
    <row r="398" spans="1:10">
      <c r="A398" s="4">
        <v>394</v>
      </c>
      <c r="B398" s="4" t="str">
        <f>"20203111404"</f>
        <v>20203111404</v>
      </c>
      <c r="C398" s="4">
        <v>14</v>
      </c>
      <c r="D398" s="4">
        <v>4</v>
      </c>
      <c r="E398" s="4" t="s">
        <v>29</v>
      </c>
      <c r="F398" s="4" t="str">
        <f>"聂会丽"</f>
        <v>聂会丽</v>
      </c>
      <c r="G398" s="4" t="str">
        <f t="shared" si="16"/>
        <v>女</v>
      </c>
      <c r="H398" s="4" t="str">
        <f>"1991-04-12"</f>
        <v>1991-04-12</v>
      </c>
      <c r="I398" s="4">
        <v>62.8</v>
      </c>
      <c r="J398" s="5"/>
    </row>
    <row r="399" spans="1:10">
      <c r="A399" s="4">
        <v>395</v>
      </c>
      <c r="B399" s="4" t="str">
        <f>"20203111405"</f>
        <v>20203111405</v>
      </c>
      <c r="C399" s="4">
        <v>14</v>
      </c>
      <c r="D399" s="4">
        <v>5</v>
      </c>
      <c r="E399" s="4" t="s">
        <v>29</v>
      </c>
      <c r="F399" s="4" t="str">
        <f>"王红娟"</f>
        <v>王红娟</v>
      </c>
      <c r="G399" s="4" t="str">
        <f t="shared" si="16"/>
        <v>女</v>
      </c>
      <c r="H399" s="4" t="str">
        <f>"1993-09-16"</f>
        <v>1993-09-16</v>
      </c>
      <c r="I399" s="4">
        <v>56.3</v>
      </c>
      <c r="J399" s="5"/>
    </row>
    <row r="400" spans="1:10">
      <c r="A400" s="4">
        <v>396</v>
      </c>
      <c r="B400" s="4" t="str">
        <f>"20203111406"</f>
        <v>20203111406</v>
      </c>
      <c r="C400" s="4">
        <v>14</v>
      </c>
      <c r="D400" s="4">
        <v>6</v>
      </c>
      <c r="E400" s="4" t="s">
        <v>29</v>
      </c>
      <c r="F400" s="4" t="str">
        <f>"晁子崴"</f>
        <v>晁子崴</v>
      </c>
      <c r="G400" s="4" t="str">
        <f>"男"</f>
        <v>男</v>
      </c>
      <c r="H400" s="4" t="str">
        <f>"1993-02-10"</f>
        <v>1993-02-10</v>
      </c>
      <c r="I400" s="4">
        <v>63.8</v>
      </c>
      <c r="J400" s="5"/>
    </row>
    <row r="401" spans="1:10">
      <c r="A401" s="4">
        <v>397</v>
      </c>
      <c r="B401" s="4" t="str">
        <f>"20203111407"</f>
        <v>20203111407</v>
      </c>
      <c r="C401" s="4">
        <v>14</v>
      </c>
      <c r="D401" s="4">
        <v>7</v>
      </c>
      <c r="E401" s="4" t="s">
        <v>29</v>
      </c>
      <c r="F401" s="4" t="str">
        <f>"杨帅"</f>
        <v>杨帅</v>
      </c>
      <c r="G401" s="4" t="str">
        <f>"女"</f>
        <v>女</v>
      </c>
      <c r="H401" s="4" t="str">
        <f>"1992-02-21"</f>
        <v>1992-02-21</v>
      </c>
      <c r="I401" s="4">
        <v>49</v>
      </c>
      <c r="J401" s="5"/>
    </row>
    <row r="402" spans="1:10">
      <c r="A402" s="4">
        <v>398</v>
      </c>
      <c r="B402" s="4" t="str">
        <f>"20203111408"</f>
        <v>20203111408</v>
      </c>
      <c r="C402" s="4">
        <v>14</v>
      </c>
      <c r="D402" s="4">
        <v>8</v>
      </c>
      <c r="E402" s="4" t="s">
        <v>29</v>
      </c>
      <c r="F402" s="4" t="str">
        <f>"夏钶琳"</f>
        <v>夏钶琳</v>
      </c>
      <c r="G402" s="4" t="str">
        <f>"女"</f>
        <v>女</v>
      </c>
      <c r="H402" s="4" t="str">
        <f>"1996-04-30"</f>
        <v>1996-04-30</v>
      </c>
      <c r="I402" s="4">
        <v>49.4</v>
      </c>
      <c r="J402" s="5"/>
    </row>
    <row r="403" spans="1:10">
      <c r="A403" s="4">
        <v>399</v>
      </c>
      <c r="B403" s="4" t="str">
        <f>"20203211409"</f>
        <v>20203211409</v>
      </c>
      <c r="C403" s="4">
        <v>14</v>
      </c>
      <c r="D403" s="4">
        <v>9</v>
      </c>
      <c r="E403" s="4" t="s">
        <v>30</v>
      </c>
      <c r="F403" s="4" t="str">
        <f>"刘晓宇"</f>
        <v>刘晓宇</v>
      </c>
      <c r="G403" s="4" t="str">
        <f>"女"</f>
        <v>女</v>
      </c>
      <c r="H403" s="4" t="str">
        <f>"1997-07-27"</f>
        <v>1997-07-27</v>
      </c>
      <c r="I403" s="4">
        <v>58</v>
      </c>
      <c r="J403" s="5"/>
    </row>
    <row r="404" spans="1:10">
      <c r="A404" s="4">
        <v>400</v>
      </c>
      <c r="B404" s="4" t="str">
        <f>"20203211410"</f>
        <v>20203211410</v>
      </c>
      <c r="C404" s="4">
        <v>14</v>
      </c>
      <c r="D404" s="4">
        <v>10</v>
      </c>
      <c r="E404" s="4" t="s">
        <v>30</v>
      </c>
      <c r="F404" s="4" t="str">
        <f>"张钧淼"</f>
        <v>张钧淼</v>
      </c>
      <c r="G404" s="4" t="str">
        <f>"女"</f>
        <v>女</v>
      </c>
      <c r="H404" s="4" t="str">
        <f>"1998-05-14"</f>
        <v>1998-05-14</v>
      </c>
      <c r="I404" s="4">
        <v>54.7</v>
      </c>
      <c r="J404" s="5"/>
    </row>
    <row r="405" spans="1:10">
      <c r="A405" s="4">
        <v>401</v>
      </c>
      <c r="B405" s="4" t="str">
        <f>"20203211411"</f>
        <v>20203211411</v>
      </c>
      <c r="C405" s="4">
        <v>14</v>
      </c>
      <c r="D405" s="4">
        <v>11</v>
      </c>
      <c r="E405" s="4" t="s">
        <v>30</v>
      </c>
      <c r="F405" s="4" t="str">
        <f>"张彦瑞"</f>
        <v>张彦瑞</v>
      </c>
      <c r="G405" s="4" t="str">
        <f>"女"</f>
        <v>女</v>
      </c>
      <c r="H405" s="4" t="str">
        <f>"1993-11-11"</f>
        <v>1993-11-11</v>
      </c>
      <c r="I405" s="4" t="s">
        <v>12</v>
      </c>
      <c r="J405" s="5"/>
    </row>
    <row r="406" spans="1:10">
      <c r="A406" s="4">
        <v>402</v>
      </c>
      <c r="B406" s="4" t="str">
        <f>"20203211412"</f>
        <v>20203211412</v>
      </c>
      <c r="C406" s="4">
        <v>14</v>
      </c>
      <c r="D406" s="4">
        <v>12</v>
      </c>
      <c r="E406" s="4" t="s">
        <v>30</v>
      </c>
      <c r="F406" s="4" t="str">
        <f>"易绍宇"</f>
        <v>易绍宇</v>
      </c>
      <c r="G406" s="4" t="str">
        <f>"男"</f>
        <v>男</v>
      </c>
      <c r="H406" s="4" t="str">
        <f>"1994-11-28"</f>
        <v>1994-11-28</v>
      </c>
      <c r="I406" s="4">
        <v>56.4</v>
      </c>
      <c r="J406" s="5"/>
    </row>
    <row r="407" spans="1:10">
      <c r="A407" s="4">
        <v>403</v>
      </c>
      <c r="B407" s="4" t="str">
        <f>"20203211413"</f>
        <v>20203211413</v>
      </c>
      <c r="C407" s="4">
        <v>14</v>
      </c>
      <c r="D407" s="4">
        <v>13</v>
      </c>
      <c r="E407" s="4" t="s">
        <v>30</v>
      </c>
      <c r="F407" s="4" t="str">
        <f>"陈雪凌"</f>
        <v>陈雪凌</v>
      </c>
      <c r="G407" s="4" t="str">
        <f>"女"</f>
        <v>女</v>
      </c>
      <c r="H407" s="4" t="str">
        <f>"1991-03-06"</f>
        <v>1991-03-06</v>
      </c>
      <c r="I407" s="4" t="s">
        <v>12</v>
      </c>
      <c r="J407" s="5"/>
    </row>
    <row r="408" spans="1:10">
      <c r="A408" s="4">
        <v>404</v>
      </c>
      <c r="B408" s="4" t="str">
        <f>"20203211414"</f>
        <v>20203211414</v>
      </c>
      <c r="C408" s="4">
        <v>14</v>
      </c>
      <c r="D408" s="4">
        <v>14</v>
      </c>
      <c r="E408" s="4" t="s">
        <v>30</v>
      </c>
      <c r="F408" s="4" t="str">
        <f>"袁延东"</f>
        <v>袁延东</v>
      </c>
      <c r="G408" s="4" t="str">
        <f>"男"</f>
        <v>男</v>
      </c>
      <c r="H408" s="4" t="str">
        <f>"1993-09-11"</f>
        <v>1993-09-11</v>
      </c>
      <c r="I408" s="4">
        <v>52.3</v>
      </c>
      <c r="J408" s="5"/>
    </row>
    <row r="409" spans="1:10">
      <c r="A409" s="4">
        <v>405</v>
      </c>
      <c r="B409" s="4" t="str">
        <f>"20203211415"</f>
        <v>20203211415</v>
      </c>
      <c r="C409" s="4">
        <v>14</v>
      </c>
      <c r="D409" s="4">
        <v>15</v>
      </c>
      <c r="E409" s="4" t="s">
        <v>30</v>
      </c>
      <c r="F409" s="4" t="str">
        <f>"刘容君"</f>
        <v>刘容君</v>
      </c>
      <c r="G409" s="4" t="str">
        <f>"女"</f>
        <v>女</v>
      </c>
      <c r="H409" s="4" t="str">
        <f>"1990-12-15"</f>
        <v>1990-12-15</v>
      </c>
      <c r="I409" s="4">
        <v>46</v>
      </c>
      <c r="J409" s="5"/>
    </row>
    <row r="410" spans="1:10">
      <c r="A410" s="4">
        <v>406</v>
      </c>
      <c r="B410" s="4" t="str">
        <f>"20203211416"</f>
        <v>20203211416</v>
      </c>
      <c r="C410" s="4">
        <v>14</v>
      </c>
      <c r="D410" s="4">
        <v>16</v>
      </c>
      <c r="E410" s="4" t="s">
        <v>30</v>
      </c>
      <c r="F410" s="4" t="str">
        <f>"高宁"</f>
        <v>高宁</v>
      </c>
      <c r="G410" s="4" t="str">
        <f>"男"</f>
        <v>男</v>
      </c>
      <c r="H410" s="4" t="str">
        <f>"1997-09-28"</f>
        <v>1997-09-28</v>
      </c>
      <c r="I410" s="4">
        <v>55.7</v>
      </c>
      <c r="J410" s="5"/>
    </row>
    <row r="411" spans="1:10">
      <c r="A411" s="4">
        <v>407</v>
      </c>
      <c r="B411" s="4" t="str">
        <f>"20203211417"</f>
        <v>20203211417</v>
      </c>
      <c r="C411" s="4">
        <v>14</v>
      </c>
      <c r="D411" s="4">
        <v>17</v>
      </c>
      <c r="E411" s="4" t="s">
        <v>30</v>
      </c>
      <c r="F411" s="4" t="str">
        <f>"孙紫嫣"</f>
        <v>孙紫嫣</v>
      </c>
      <c r="G411" s="4" t="str">
        <f t="shared" ref="G411:G423" si="17">"女"</f>
        <v>女</v>
      </c>
      <c r="H411" s="4" t="str">
        <f>"1998-09-19"</f>
        <v>1998-09-19</v>
      </c>
      <c r="I411" s="4">
        <v>67.2</v>
      </c>
      <c r="J411" s="5"/>
    </row>
    <row r="412" spans="1:10">
      <c r="A412" s="4">
        <v>408</v>
      </c>
      <c r="B412" s="4" t="str">
        <f>"20203211418"</f>
        <v>20203211418</v>
      </c>
      <c r="C412" s="4">
        <v>14</v>
      </c>
      <c r="D412" s="4">
        <v>18</v>
      </c>
      <c r="E412" s="4" t="s">
        <v>30</v>
      </c>
      <c r="F412" s="4" t="str">
        <f>"李婧"</f>
        <v>李婧</v>
      </c>
      <c r="G412" s="4" t="str">
        <f t="shared" si="17"/>
        <v>女</v>
      </c>
      <c r="H412" s="4" t="str">
        <f>"1992-06-20"</f>
        <v>1992-06-20</v>
      </c>
      <c r="I412" s="4">
        <v>55.7</v>
      </c>
      <c r="J412" s="5"/>
    </row>
    <row r="413" spans="1:10">
      <c r="A413" s="4">
        <v>409</v>
      </c>
      <c r="B413" s="4" t="str">
        <f>"20203211419"</f>
        <v>20203211419</v>
      </c>
      <c r="C413" s="4">
        <v>14</v>
      </c>
      <c r="D413" s="4">
        <v>19</v>
      </c>
      <c r="E413" s="4" t="s">
        <v>30</v>
      </c>
      <c r="F413" s="4" t="str">
        <f>"李怡涵"</f>
        <v>李怡涵</v>
      </c>
      <c r="G413" s="4" t="str">
        <f t="shared" si="17"/>
        <v>女</v>
      </c>
      <c r="H413" s="4" t="str">
        <f>"1997-04-01"</f>
        <v>1997-04-01</v>
      </c>
      <c r="I413" s="4" t="s">
        <v>12</v>
      </c>
      <c r="J413" s="5"/>
    </row>
    <row r="414" spans="1:10">
      <c r="A414" s="4">
        <v>410</v>
      </c>
      <c r="B414" s="4" t="str">
        <f>"20203211420"</f>
        <v>20203211420</v>
      </c>
      <c r="C414" s="4">
        <v>14</v>
      </c>
      <c r="D414" s="4">
        <v>20</v>
      </c>
      <c r="E414" s="4" t="s">
        <v>30</v>
      </c>
      <c r="F414" s="4" t="str">
        <f>"魏佳鑫"</f>
        <v>魏佳鑫</v>
      </c>
      <c r="G414" s="4" t="str">
        <f t="shared" si="17"/>
        <v>女</v>
      </c>
      <c r="H414" s="4" t="str">
        <f>"1995-03-08"</f>
        <v>1995-03-08</v>
      </c>
      <c r="I414" s="4">
        <v>47.3</v>
      </c>
      <c r="J414" s="5"/>
    </row>
    <row r="415" spans="1:10">
      <c r="A415" s="4">
        <v>411</v>
      </c>
      <c r="B415" s="4" t="str">
        <f>"20203211421"</f>
        <v>20203211421</v>
      </c>
      <c r="C415" s="4">
        <v>14</v>
      </c>
      <c r="D415" s="4">
        <v>21</v>
      </c>
      <c r="E415" s="4" t="s">
        <v>30</v>
      </c>
      <c r="F415" s="4" t="str">
        <f>"刘茜倩"</f>
        <v>刘茜倩</v>
      </c>
      <c r="G415" s="4" t="str">
        <f t="shared" si="17"/>
        <v>女</v>
      </c>
      <c r="H415" s="4" t="str">
        <f>"1994-06-11"</f>
        <v>1994-06-11</v>
      </c>
      <c r="I415" s="4">
        <v>55.2</v>
      </c>
      <c r="J415" s="5"/>
    </row>
    <row r="416" spans="1:10">
      <c r="A416" s="4">
        <v>412</v>
      </c>
      <c r="B416" s="4" t="str">
        <f>"20203211422"</f>
        <v>20203211422</v>
      </c>
      <c r="C416" s="4">
        <v>14</v>
      </c>
      <c r="D416" s="4">
        <v>22</v>
      </c>
      <c r="E416" s="4" t="s">
        <v>30</v>
      </c>
      <c r="F416" s="4" t="str">
        <f>"康静珂"</f>
        <v>康静珂</v>
      </c>
      <c r="G416" s="4" t="str">
        <f t="shared" si="17"/>
        <v>女</v>
      </c>
      <c r="H416" s="4" t="str">
        <f>"1997-03-04"</f>
        <v>1997-03-04</v>
      </c>
      <c r="I416" s="4" t="s">
        <v>12</v>
      </c>
      <c r="J416" s="5"/>
    </row>
    <row r="417" spans="1:10">
      <c r="A417" s="4">
        <v>413</v>
      </c>
      <c r="B417" s="4" t="str">
        <f>"20203211423"</f>
        <v>20203211423</v>
      </c>
      <c r="C417" s="4">
        <v>14</v>
      </c>
      <c r="D417" s="4">
        <v>23</v>
      </c>
      <c r="E417" s="4" t="s">
        <v>30</v>
      </c>
      <c r="F417" s="4" t="str">
        <f>"陈瑾"</f>
        <v>陈瑾</v>
      </c>
      <c r="G417" s="4" t="str">
        <f t="shared" si="17"/>
        <v>女</v>
      </c>
      <c r="H417" s="4" t="str">
        <f>"1998-05-19"</f>
        <v>1998-05-19</v>
      </c>
      <c r="I417" s="4" t="s">
        <v>12</v>
      </c>
      <c r="J417" s="5"/>
    </row>
    <row r="418" spans="1:10">
      <c r="A418" s="4">
        <v>414</v>
      </c>
      <c r="B418" s="4" t="str">
        <f>"20203211424"</f>
        <v>20203211424</v>
      </c>
      <c r="C418" s="4">
        <v>14</v>
      </c>
      <c r="D418" s="4">
        <v>24</v>
      </c>
      <c r="E418" s="4" t="s">
        <v>30</v>
      </c>
      <c r="F418" s="4" t="str">
        <f>"刘沛昱"</f>
        <v>刘沛昱</v>
      </c>
      <c r="G418" s="4" t="str">
        <f t="shared" si="17"/>
        <v>女</v>
      </c>
      <c r="H418" s="4" t="str">
        <f>"1997-11-09"</f>
        <v>1997-11-09</v>
      </c>
      <c r="I418" s="4" t="s">
        <v>12</v>
      </c>
      <c r="J418" s="5"/>
    </row>
    <row r="419" spans="1:10">
      <c r="A419" s="4">
        <v>415</v>
      </c>
      <c r="B419" s="4" t="str">
        <f>"20203211425"</f>
        <v>20203211425</v>
      </c>
      <c r="C419" s="4">
        <v>14</v>
      </c>
      <c r="D419" s="4">
        <v>25</v>
      </c>
      <c r="E419" s="4" t="s">
        <v>30</v>
      </c>
      <c r="F419" s="4" t="str">
        <f>"王聪聪"</f>
        <v>王聪聪</v>
      </c>
      <c r="G419" s="4" t="str">
        <f t="shared" si="17"/>
        <v>女</v>
      </c>
      <c r="H419" s="4" t="str">
        <f>"1991-10-30"</f>
        <v>1991-10-30</v>
      </c>
      <c r="I419" s="4" t="s">
        <v>12</v>
      </c>
      <c r="J419" s="5"/>
    </row>
    <row r="420" spans="1:10">
      <c r="A420" s="4">
        <v>416</v>
      </c>
      <c r="B420" s="4" t="str">
        <f>"20203211426"</f>
        <v>20203211426</v>
      </c>
      <c r="C420" s="4">
        <v>14</v>
      </c>
      <c r="D420" s="4">
        <v>26</v>
      </c>
      <c r="E420" s="4" t="s">
        <v>30</v>
      </c>
      <c r="F420" s="4" t="str">
        <f>"姬晚雨"</f>
        <v>姬晚雨</v>
      </c>
      <c r="G420" s="4" t="str">
        <f t="shared" si="17"/>
        <v>女</v>
      </c>
      <c r="H420" s="4" t="str">
        <f>"1995-10-23"</f>
        <v>1995-10-23</v>
      </c>
      <c r="I420" s="4" t="s">
        <v>12</v>
      </c>
      <c r="J420" s="5"/>
    </row>
    <row r="421" spans="1:10">
      <c r="A421" s="4">
        <v>417</v>
      </c>
      <c r="B421" s="4" t="str">
        <f>"20203211427"</f>
        <v>20203211427</v>
      </c>
      <c r="C421" s="4">
        <v>14</v>
      </c>
      <c r="D421" s="4">
        <v>27</v>
      </c>
      <c r="E421" s="4" t="s">
        <v>30</v>
      </c>
      <c r="F421" s="4" t="str">
        <f>"徐春惠"</f>
        <v>徐春惠</v>
      </c>
      <c r="G421" s="4" t="str">
        <f t="shared" si="17"/>
        <v>女</v>
      </c>
      <c r="H421" s="4" t="str">
        <f>"1996-02-23"</f>
        <v>1996-02-23</v>
      </c>
      <c r="I421" s="4">
        <v>57.4</v>
      </c>
      <c r="J421" s="5"/>
    </row>
    <row r="422" spans="1:10">
      <c r="A422" s="4">
        <v>418</v>
      </c>
      <c r="B422" s="4" t="str">
        <f>"20203211428"</f>
        <v>20203211428</v>
      </c>
      <c r="C422" s="4">
        <v>14</v>
      </c>
      <c r="D422" s="4">
        <v>28</v>
      </c>
      <c r="E422" s="4" t="s">
        <v>30</v>
      </c>
      <c r="F422" s="4" t="str">
        <f>"朱珊珊"</f>
        <v>朱珊珊</v>
      </c>
      <c r="G422" s="4" t="str">
        <f t="shared" si="17"/>
        <v>女</v>
      </c>
      <c r="H422" s="4" t="str">
        <f>"1996-02-12"</f>
        <v>1996-02-12</v>
      </c>
      <c r="I422" s="4">
        <v>51.4</v>
      </c>
      <c r="J422" s="5"/>
    </row>
    <row r="423" spans="1:10">
      <c r="A423" s="4">
        <v>419</v>
      </c>
      <c r="B423" s="4" t="str">
        <f>"20203211429"</f>
        <v>20203211429</v>
      </c>
      <c r="C423" s="4">
        <v>14</v>
      </c>
      <c r="D423" s="4">
        <v>29</v>
      </c>
      <c r="E423" s="4" t="s">
        <v>30</v>
      </c>
      <c r="F423" s="4" t="str">
        <f>"刘定一"</f>
        <v>刘定一</v>
      </c>
      <c r="G423" s="4" t="str">
        <f t="shared" si="17"/>
        <v>女</v>
      </c>
      <c r="H423" s="4" t="str">
        <f>"1998-10-23"</f>
        <v>1998-10-23</v>
      </c>
      <c r="I423" s="4" t="s">
        <v>12</v>
      </c>
      <c r="J423" s="5"/>
    </row>
    <row r="424" spans="1:10">
      <c r="A424" s="4">
        <v>420</v>
      </c>
      <c r="B424" s="4" t="str">
        <f>"20203211430"</f>
        <v>20203211430</v>
      </c>
      <c r="C424" s="4">
        <v>14</v>
      </c>
      <c r="D424" s="4">
        <v>30</v>
      </c>
      <c r="E424" s="4" t="s">
        <v>30</v>
      </c>
      <c r="F424" s="4" t="str">
        <f>"杨亚昆"</f>
        <v>杨亚昆</v>
      </c>
      <c r="G424" s="4" t="str">
        <f>"男"</f>
        <v>男</v>
      </c>
      <c r="H424" s="4" t="str">
        <f>"1991-10-04"</f>
        <v>1991-10-04</v>
      </c>
      <c r="I424" s="4">
        <v>70.5</v>
      </c>
      <c r="J424" s="5"/>
    </row>
    <row r="425" spans="1:10">
      <c r="A425" s="4">
        <v>421</v>
      </c>
      <c r="B425" s="4" t="str">
        <f>"20203211501"</f>
        <v>20203211501</v>
      </c>
      <c r="C425" s="4">
        <v>15</v>
      </c>
      <c r="D425" s="4">
        <v>1</v>
      </c>
      <c r="E425" s="4" t="s">
        <v>30</v>
      </c>
      <c r="F425" s="4" t="str">
        <f>"王张盂"</f>
        <v>王张盂</v>
      </c>
      <c r="G425" s="4" t="str">
        <f t="shared" ref="G425:G442" si="18">"女"</f>
        <v>女</v>
      </c>
      <c r="H425" s="4" t="str">
        <f>"1997-09-12"</f>
        <v>1997-09-12</v>
      </c>
      <c r="I425" s="4">
        <v>59.3</v>
      </c>
      <c r="J425" s="5"/>
    </row>
    <row r="426" spans="1:10">
      <c r="A426" s="4">
        <v>422</v>
      </c>
      <c r="B426" s="4" t="str">
        <f>"20203211502"</f>
        <v>20203211502</v>
      </c>
      <c r="C426" s="4">
        <v>15</v>
      </c>
      <c r="D426" s="4">
        <v>2</v>
      </c>
      <c r="E426" s="4" t="s">
        <v>30</v>
      </c>
      <c r="F426" s="4" t="str">
        <f>"张若凡"</f>
        <v>张若凡</v>
      </c>
      <c r="G426" s="4" t="str">
        <f t="shared" si="18"/>
        <v>女</v>
      </c>
      <c r="H426" s="4" t="str">
        <f>"1997-11-14"</f>
        <v>1997-11-14</v>
      </c>
      <c r="I426" s="4">
        <v>60</v>
      </c>
      <c r="J426" s="5"/>
    </row>
    <row r="427" spans="1:10">
      <c r="A427" s="4">
        <v>423</v>
      </c>
      <c r="B427" s="4" t="str">
        <f>"20203211503"</f>
        <v>20203211503</v>
      </c>
      <c r="C427" s="4">
        <v>15</v>
      </c>
      <c r="D427" s="4">
        <v>3</v>
      </c>
      <c r="E427" s="4" t="s">
        <v>30</v>
      </c>
      <c r="F427" s="4" t="str">
        <f>"刘丽君"</f>
        <v>刘丽君</v>
      </c>
      <c r="G427" s="4" t="str">
        <f t="shared" si="18"/>
        <v>女</v>
      </c>
      <c r="H427" s="4" t="str">
        <f>"1995-12-25"</f>
        <v>1995-12-25</v>
      </c>
      <c r="I427" s="4">
        <v>69.8</v>
      </c>
      <c r="J427" s="5"/>
    </row>
    <row r="428" spans="1:10">
      <c r="A428" s="4">
        <v>424</v>
      </c>
      <c r="B428" s="4" t="str">
        <f>"20203211504"</f>
        <v>20203211504</v>
      </c>
      <c r="C428" s="4">
        <v>15</v>
      </c>
      <c r="D428" s="4">
        <v>4</v>
      </c>
      <c r="E428" s="4" t="s">
        <v>30</v>
      </c>
      <c r="F428" s="4" t="str">
        <f>"尹悦"</f>
        <v>尹悦</v>
      </c>
      <c r="G428" s="4" t="str">
        <f t="shared" si="18"/>
        <v>女</v>
      </c>
      <c r="H428" s="4" t="str">
        <f>"1995-09-20"</f>
        <v>1995-09-20</v>
      </c>
      <c r="I428" s="4" t="s">
        <v>12</v>
      </c>
      <c r="J428" s="5"/>
    </row>
    <row r="429" spans="1:10">
      <c r="A429" s="4">
        <v>425</v>
      </c>
      <c r="B429" s="4" t="str">
        <f>"20203211505"</f>
        <v>20203211505</v>
      </c>
      <c r="C429" s="4">
        <v>15</v>
      </c>
      <c r="D429" s="4">
        <v>5</v>
      </c>
      <c r="E429" s="4" t="s">
        <v>30</v>
      </c>
      <c r="F429" s="4" t="str">
        <f>"郑果焕"</f>
        <v>郑果焕</v>
      </c>
      <c r="G429" s="4" t="str">
        <f t="shared" si="18"/>
        <v>女</v>
      </c>
      <c r="H429" s="4" t="str">
        <f>"1992-10-19"</f>
        <v>1992-10-19</v>
      </c>
      <c r="I429" s="4">
        <v>55</v>
      </c>
      <c r="J429" s="5"/>
    </row>
    <row r="430" spans="1:10">
      <c r="A430" s="4">
        <v>426</v>
      </c>
      <c r="B430" s="4" t="str">
        <f>"20203211506"</f>
        <v>20203211506</v>
      </c>
      <c r="C430" s="4">
        <v>15</v>
      </c>
      <c r="D430" s="4">
        <v>6</v>
      </c>
      <c r="E430" s="4" t="s">
        <v>30</v>
      </c>
      <c r="F430" s="4" t="str">
        <f>"宋菊展"</f>
        <v>宋菊展</v>
      </c>
      <c r="G430" s="4" t="str">
        <f t="shared" si="18"/>
        <v>女</v>
      </c>
      <c r="H430" s="4" t="str">
        <f>"1992-11-13"</f>
        <v>1992-11-13</v>
      </c>
      <c r="I430" s="4">
        <v>54.3</v>
      </c>
      <c r="J430" s="5"/>
    </row>
    <row r="431" spans="1:10">
      <c r="A431" s="4">
        <v>427</v>
      </c>
      <c r="B431" s="4" t="str">
        <f>"20203211507"</f>
        <v>20203211507</v>
      </c>
      <c r="C431" s="4">
        <v>15</v>
      </c>
      <c r="D431" s="4">
        <v>7</v>
      </c>
      <c r="E431" s="4" t="s">
        <v>30</v>
      </c>
      <c r="F431" s="4" t="str">
        <f>"仝鑫"</f>
        <v>仝鑫</v>
      </c>
      <c r="G431" s="4" t="str">
        <f t="shared" si="18"/>
        <v>女</v>
      </c>
      <c r="H431" s="4" t="str">
        <f>"1991-10-16"</f>
        <v>1991-10-16</v>
      </c>
      <c r="I431" s="4" t="s">
        <v>12</v>
      </c>
      <c r="J431" s="5"/>
    </row>
    <row r="432" spans="1:10">
      <c r="A432" s="4">
        <v>428</v>
      </c>
      <c r="B432" s="4" t="str">
        <f>"20203211508"</f>
        <v>20203211508</v>
      </c>
      <c r="C432" s="4">
        <v>15</v>
      </c>
      <c r="D432" s="4">
        <v>8</v>
      </c>
      <c r="E432" s="4" t="s">
        <v>30</v>
      </c>
      <c r="F432" s="4" t="str">
        <f>"黄亚男"</f>
        <v>黄亚男</v>
      </c>
      <c r="G432" s="4" t="str">
        <f t="shared" si="18"/>
        <v>女</v>
      </c>
      <c r="H432" s="4" t="str">
        <f>"1995-09-06"</f>
        <v>1995-09-06</v>
      </c>
      <c r="I432" s="4">
        <v>67.4</v>
      </c>
      <c r="J432" s="5"/>
    </row>
    <row r="433" spans="1:10">
      <c r="A433" s="4">
        <v>429</v>
      </c>
      <c r="B433" s="4" t="str">
        <f>"20203211509"</f>
        <v>20203211509</v>
      </c>
      <c r="C433" s="4">
        <v>15</v>
      </c>
      <c r="D433" s="4">
        <v>9</v>
      </c>
      <c r="E433" s="4" t="s">
        <v>30</v>
      </c>
      <c r="F433" s="4" t="str">
        <f>"刘青伟"</f>
        <v>刘青伟</v>
      </c>
      <c r="G433" s="4" t="str">
        <f t="shared" si="18"/>
        <v>女</v>
      </c>
      <c r="H433" s="4" t="str">
        <f>"1997-08-08"</f>
        <v>1997-08-08</v>
      </c>
      <c r="I433" s="4">
        <v>65.1</v>
      </c>
      <c r="J433" s="5"/>
    </row>
    <row r="434" spans="1:10">
      <c r="A434" s="4">
        <v>430</v>
      </c>
      <c r="B434" s="4" t="str">
        <f>"20203211510"</f>
        <v>20203211510</v>
      </c>
      <c r="C434" s="4">
        <v>15</v>
      </c>
      <c r="D434" s="4">
        <v>10</v>
      </c>
      <c r="E434" s="4" t="s">
        <v>30</v>
      </c>
      <c r="F434" s="4" t="str">
        <f>"李荣融"</f>
        <v>李荣融</v>
      </c>
      <c r="G434" s="4" t="str">
        <f t="shared" si="18"/>
        <v>女</v>
      </c>
      <c r="H434" s="4" t="str">
        <f>"1998-01-23"</f>
        <v>1998-01-23</v>
      </c>
      <c r="I434" s="4">
        <v>69.2</v>
      </c>
      <c r="J434" s="5"/>
    </row>
    <row r="435" spans="1:10">
      <c r="A435" s="4">
        <v>431</v>
      </c>
      <c r="B435" s="4" t="str">
        <f>"20203211511"</f>
        <v>20203211511</v>
      </c>
      <c r="C435" s="4">
        <v>15</v>
      </c>
      <c r="D435" s="4">
        <v>11</v>
      </c>
      <c r="E435" s="4" t="s">
        <v>30</v>
      </c>
      <c r="F435" s="4" t="str">
        <f>"徐倩"</f>
        <v>徐倩</v>
      </c>
      <c r="G435" s="4" t="str">
        <f t="shared" si="18"/>
        <v>女</v>
      </c>
      <c r="H435" s="4" t="str">
        <f>"1994-10-08"</f>
        <v>1994-10-08</v>
      </c>
      <c r="I435" s="4">
        <v>63</v>
      </c>
      <c r="J435" s="5"/>
    </row>
    <row r="436" spans="1:10">
      <c r="A436" s="4">
        <v>432</v>
      </c>
      <c r="B436" s="4" t="str">
        <f>"20203211512"</f>
        <v>20203211512</v>
      </c>
      <c r="C436" s="4">
        <v>15</v>
      </c>
      <c r="D436" s="4">
        <v>12</v>
      </c>
      <c r="E436" s="4" t="s">
        <v>30</v>
      </c>
      <c r="F436" s="4" t="str">
        <f>"齐莉君"</f>
        <v>齐莉君</v>
      </c>
      <c r="G436" s="4" t="str">
        <f t="shared" si="18"/>
        <v>女</v>
      </c>
      <c r="H436" s="4" t="str">
        <f>"1998-01-15"</f>
        <v>1998-01-15</v>
      </c>
      <c r="I436" s="4" t="s">
        <v>12</v>
      </c>
      <c r="J436" s="5"/>
    </row>
    <row r="437" spans="1:10">
      <c r="A437" s="4">
        <v>433</v>
      </c>
      <c r="B437" s="4" t="str">
        <f>"20203211513"</f>
        <v>20203211513</v>
      </c>
      <c r="C437" s="4">
        <v>15</v>
      </c>
      <c r="D437" s="4">
        <v>13</v>
      </c>
      <c r="E437" s="4" t="s">
        <v>30</v>
      </c>
      <c r="F437" s="4" t="str">
        <f>"张洋"</f>
        <v>张洋</v>
      </c>
      <c r="G437" s="4" t="str">
        <f t="shared" si="18"/>
        <v>女</v>
      </c>
      <c r="H437" s="4" t="str">
        <f>"1992-05-10"</f>
        <v>1992-05-10</v>
      </c>
      <c r="I437" s="4" t="s">
        <v>12</v>
      </c>
      <c r="J437" s="5"/>
    </row>
    <row r="438" spans="1:10">
      <c r="A438" s="4">
        <v>434</v>
      </c>
      <c r="B438" s="4" t="str">
        <f>"20203211514"</f>
        <v>20203211514</v>
      </c>
      <c r="C438" s="4">
        <v>15</v>
      </c>
      <c r="D438" s="4">
        <v>14</v>
      </c>
      <c r="E438" s="4" t="s">
        <v>30</v>
      </c>
      <c r="F438" s="4" t="str">
        <f>"张乾"</f>
        <v>张乾</v>
      </c>
      <c r="G438" s="4" t="str">
        <f t="shared" si="18"/>
        <v>女</v>
      </c>
      <c r="H438" s="4" t="str">
        <f>"1991-11-15"</f>
        <v>1991-11-15</v>
      </c>
      <c r="I438" s="4">
        <v>72.9</v>
      </c>
      <c r="J438" s="5"/>
    </row>
    <row r="439" spans="1:10">
      <c r="A439" s="4">
        <v>435</v>
      </c>
      <c r="B439" s="4" t="str">
        <f>"20203211515"</f>
        <v>20203211515</v>
      </c>
      <c r="C439" s="4">
        <v>15</v>
      </c>
      <c r="D439" s="4">
        <v>15</v>
      </c>
      <c r="E439" s="4" t="s">
        <v>30</v>
      </c>
      <c r="F439" s="4" t="str">
        <f>"姚娜"</f>
        <v>姚娜</v>
      </c>
      <c r="G439" s="4" t="str">
        <f t="shared" si="18"/>
        <v>女</v>
      </c>
      <c r="H439" s="4" t="str">
        <f>"1995-09-06"</f>
        <v>1995-09-06</v>
      </c>
      <c r="I439" s="4">
        <v>78.9</v>
      </c>
      <c r="J439" s="5"/>
    </row>
    <row r="440" spans="1:10">
      <c r="A440" s="4">
        <v>436</v>
      </c>
      <c r="B440" s="4" t="str">
        <f>"20203211516"</f>
        <v>20203211516</v>
      </c>
      <c r="C440" s="4">
        <v>15</v>
      </c>
      <c r="D440" s="4">
        <v>16</v>
      </c>
      <c r="E440" s="4" t="s">
        <v>30</v>
      </c>
      <c r="F440" s="4" t="str">
        <f>"高昂"</f>
        <v>高昂</v>
      </c>
      <c r="G440" s="4" t="str">
        <f t="shared" si="18"/>
        <v>女</v>
      </c>
      <c r="H440" s="4" t="str">
        <f>"1996-05-27"</f>
        <v>1996-05-27</v>
      </c>
      <c r="I440" s="4" t="s">
        <v>12</v>
      </c>
      <c r="J440" s="5"/>
    </row>
    <row r="441" spans="1:10">
      <c r="A441" s="4">
        <v>437</v>
      </c>
      <c r="B441" s="4" t="str">
        <f>"20203211517"</f>
        <v>20203211517</v>
      </c>
      <c r="C441" s="4">
        <v>15</v>
      </c>
      <c r="D441" s="4">
        <v>17</v>
      </c>
      <c r="E441" s="4" t="s">
        <v>30</v>
      </c>
      <c r="F441" s="4" t="str">
        <f>"段星羽"</f>
        <v>段星羽</v>
      </c>
      <c r="G441" s="4" t="str">
        <f t="shared" si="18"/>
        <v>女</v>
      </c>
      <c r="H441" s="4" t="str">
        <f>"1990-03-06"</f>
        <v>1990-03-06</v>
      </c>
      <c r="I441" s="4" t="s">
        <v>12</v>
      </c>
      <c r="J441" s="5"/>
    </row>
    <row r="442" spans="1:10">
      <c r="A442" s="4">
        <v>438</v>
      </c>
      <c r="B442" s="4" t="str">
        <f>"20203211518"</f>
        <v>20203211518</v>
      </c>
      <c r="C442" s="4">
        <v>15</v>
      </c>
      <c r="D442" s="4">
        <v>18</v>
      </c>
      <c r="E442" s="4" t="s">
        <v>30</v>
      </c>
      <c r="F442" s="4" t="str">
        <f>"唐慧颖"</f>
        <v>唐慧颖</v>
      </c>
      <c r="G442" s="4" t="str">
        <f t="shared" si="18"/>
        <v>女</v>
      </c>
      <c r="H442" s="4" t="str">
        <f>"1992-10-16"</f>
        <v>1992-10-16</v>
      </c>
      <c r="I442" s="4">
        <v>48.7</v>
      </c>
      <c r="J442" s="5"/>
    </row>
    <row r="443" spans="1:10">
      <c r="A443" s="4">
        <v>439</v>
      </c>
      <c r="B443" s="4" t="str">
        <f>"20203211519"</f>
        <v>20203211519</v>
      </c>
      <c r="C443" s="4">
        <v>15</v>
      </c>
      <c r="D443" s="4">
        <v>19</v>
      </c>
      <c r="E443" s="4" t="s">
        <v>30</v>
      </c>
      <c r="F443" s="4" t="str">
        <f>"王恩培"</f>
        <v>王恩培</v>
      </c>
      <c r="G443" s="4" t="str">
        <f>"男"</f>
        <v>男</v>
      </c>
      <c r="H443" s="4" t="str">
        <f>"1995-02-07"</f>
        <v>1995-02-07</v>
      </c>
      <c r="I443" s="4" t="s">
        <v>12</v>
      </c>
      <c r="J443" s="5"/>
    </row>
    <row r="444" spans="1:10">
      <c r="A444" s="4">
        <v>440</v>
      </c>
      <c r="B444" s="4" t="str">
        <f>"20203211520"</f>
        <v>20203211520</v>
      </c>
      <c r="C444" s="4">
        <v>15</v>
      </c>
      <c r="D444" s="4">
        <v>20</v>
      </c>
      <c r="E444" s="4" t="s">
        <v>30</v>
      </c>
      <c r="F444" s="4" t="str">
        <f>"孙逢源"</f>
        <v>孙逢源</v>
      </c>
      <c r="G444" s="4" t="str">
        <f t="shared" ref="G444:G452" si="19">"女"</f>
        <v>女</v>
      </c>
      <c r="H444" s="4" t="str">
        <f>"1996-11-12"</f>
        <v>1996-11-12</v>
      </c>
      <c r="I444" s="4">
        <v>65.7</v>
      </c>
      <c r="J444" s="5"/>
    </row>
    <row r="445" spans="1:10">
      <c r="A445" s="4">
        <v>441</v>
      </c>
      <c r="B445" s="4" t="str">
        <f>"20203311521"</f>
        <v>20203311521</v>
      </c>
      <c r="C445" s="4">
        <v>15</v>
      </c>
      <c r="D445" s="4">
        <v>21</v>
      </c>
      <c r="E445" s="4" t="s">
        <v>31</v>
      </c>
      <c r="F445" s="4" t="str">
        <f>"胡开鋆"</f>
        <v>胡开鋆</v>
      </c>
      <c r="G445" s="4" t="str">
        <f t="shared" si="19"/>
        <v>女</v>
      </c>
      <c r="H445" s="4" t="str">
        <f>"1996-02-27"</f>
        <v>1996-02-27</v>
      </c>
      <c r="I445" s="4" t="s">
        <v>12</v>
      </c>
      <c r="J445" s="5"/>
    </row>
    <row r="446" spans="1:10">
      <c r="A446" s="4">
        <v>442</v>
      </c>
      <c r="B446" s="4" t="str">
        <f>"20203311522"</f>
        <v>20203311522</v>
      </c>
      <c r="C446" s="4">
        <v>15</v>
      </c>
      <c r="D446" s="4">
        <v>22</v>
      </c>
      <c r="E446" s="4" t="s">
        <v>31</v>
      </c>
      <c r="F446" s="4" t="str">
        <f>"刘亚楠"</f>
        <v>刘亚楠</v>
      </c>
      <c r="G446" s="4" t="str">
        <f t="shared" si="19"/>
        <v>女</v>
      </c>
      <c r="H446" s="4" t="str">
        <f>"1991-02-02"</f>
        <v>1991-02-02</v>
      </c>
      <c r="I446" s="4">
        <v>68.7</v>
      </c>
      <c r="J446" s="5"/>
    </row>
    <row r="447" spans="1:10">
      <c r="A447" s="4">
        <v>443</v>
      </c>
      <c r="B447" s="4" t="str">
        <f>"20203311523"</f>
        <v>20203311523</v>
      </c>
      <c r="C447" s="4">
        <v>15</v>
      </c>
      <c r="D447" s="4">
        <v>23</v>
      </c>
      <c r="E447" s="4" t="s">
        <v>31</v>
      </c>
      <c r="F447" s="4" t="str">
        <f>"侯志雪"</f>
        <v>侯志雪</v>
      </c>
      <c r="G447" s="4" t="str">
        <f t="shared" si="19"/>
        <v>女</v>
      </c>
      <c r="H447" s="4" t="str">
        <f>"1996-11-21"</f>
        <v>1996-11-21</v>
      </c>
      <c r="I447" s="4" t="s">
        <v>12</v>
      </c>
      <c r="J447" s="5"/>
    </row>
    <row r="448" spans="1:10">
      <c r="A448" s="4">
        <v>444</v>
      </c>
      <c r="B448" s="4" t="str">
        <f>"20203311524"</f>
        <v>20203311524</v>
      </c>
      <c r="C448" s="4">
        <v>15</v>
      </c>
      <c r="D448" s="4">
        <v>24</v>
      </c>
      <c r="E448" s="4" t="s">
        <v>31</v>
      </c>
      <c r="F448" s="4" t="str">
        <f>"李娟"</f>
        <v>李娟</v>
      </c>
      <c r="G448" s="4" t="str">
        <f t="shared" si="19"/>
        <v>女</v>
      </c>
      <c r="H448" s="4" t="str">
        <f>"1992-08-19"</f>
        <v>1992-08-19</v>
      </c>
      <c r="I448" s="4">
        <v>55.7</v>
      </c>
      <c r="J448" s="5"/>
    </row>
    <row r="449" spans="1:10">
      <c r="A449" s="4">
        <v>445</v>
      </c>
      <c r="B449" s="4" t="str">
        <f>"20203311525"</f>
        <v>20203311525</v>
      </c>
      <c r="C449" s="4">
        <v>15</v>
      </c>
      <c r="D449" s="4">
        <v>25</v>
      </c>
      <c r="E449" s="4" t="s">
        <v>31</v>
      </c>
      <c r="F449" s="4" t="str">
        <f>"张杰"</f>
        <v>张杰</v>
      </c>
      <c r="G449" s="4" t="str">
        <f t="shared" si="19"/>
        <v>女</v>
      </c>
      <c r="H449" s="4" t="str">
        <f>"1995-10-21"</f>
        <v>1995-10-21</v>
      </c>
      <c r="I449" s="4">
        <v>68.4</v>
      </c>
      <c r="J449" s="5"/>
    </row>
    <row r="450" spans="1:10">
      <c r="A450" s="4">
        <v>446</v>
      </c>
      <c r="B450" s="4" t="str">
        <f>"20203311526"</f>
        <v>20203311526</v>
      </c>
      <c r="C450" s="4">
        <v>15</v>
      </c>
      <c r="D450" s="4">
        <v>26</v>
      </c>
      <c r="E450" s="4" t="s">
        <v>31</v>
      </c>
      <c r="F450" s="4" t="str">
        <f>"周聪"</f>
        <v>周聪</v>
      </c>
      <c r="G450" s="4" t="str">
        <f t="shared" si="19"/>
        <v>女</v>
      </c>
      <c r="H450" s="4" t="str">
        <f>"1993-12-25"</f>
        <v>1993-12-25</v>
      </c>
      <c r="I450" s="4">
        <v>67.8</v>
      </c>
      <c r="J450" s="5"/>
    </row>
    <row r="451" spans="1:10">
      <c r="A451" s="4">
        <v>447</v>
      </c>
      <c r="B451" s="4" t="str">
        <f>"20203311527"</f>
        <v>20203311527</v>
      </c>
      <c r="C451" s="4">
        <v>15</v>
      </c>
      <c r="D451" s="4">
        <v>27</v>
      </c>
      <c r="E451" s="4" t="s">
        <v>31</v>
      </c>
      <c r="F451" s="4" t="str">
        <f>"张佩"</f>
        <v>张佩</v>
      </c>
      <c r="G451" s="4" t="str">
        <f t="shared" si="19"/>
        <v>女</v>
      </c>
      <c r="H451" s="4" t="str">
        <f>"1994-06-10"</f>
        <v>1994-06-10</v>
      </c>
      <c r="I451" s="4">
        <v>64</v>
      </c>
      <c r="J451" s="5"/>
    </row>
    <row r="452" spans="1:10">
      <c r="A452" s="4">
        <v>448</v>
      </c>
      <c r="B452" s="4" t="str">
        <f>"20203311528"</f>
        <v>20203311528</v>
      </c>
      <c r="C452" s="4">
        <v>15</v>
      </c>
      <c r="D452" s="4">
        <v>28</v>
      </c>
      <c r="E452" s="4" t="s">
        <v>31</v>
      </c>
      <c r="F452" s="4" t="str">
        <f>"朱江堃"</f>
        <v>朱江堃</v>
      </c>
      <c r="G452" s="4" t="str">
        <f t="shared" si="19"/>
        <v>女</v>
      </c>
      <c r="H452" s="4" t="str">
        <f>"1992-05-22"</f>
        <v>1992-05-22</v>
      </c>
      <c r="I452" s="4">
        <v>61.3</v>
      </c>
      <c r="J452" s="5"/>
    </row>
    <row r="453" spans="1:10">
      <c r="A453" s="4">
        <v>449</v>
      </c>
      <c r="B453" s="4" t="str">
        <f>"20203311529"</f>
        <v>20203311529</v>
      </c>
      <c r="C453" s="4">
        <v>15</v>
      </c>
      <c r="D453" s="4">
        <v>29</v>
      </c>
      <c r="E453" s="4" t="s">
        <v>31</v>
      </c>
      <c r="F453" s="4" t="str">
        <f>"高智勇"</f>
        <v>高智勇</v>
      </c>
      <c r="G453" s="4" t="str">
        <f>"男"</f>
        <v>男</v>
      </c>
      <c r="H453" s="4" t="str">
        <f>"1991-09-28"</f>
        <v>1991-09-28</v>
      </c>
      <c r="I453" s="4">
        <v>61.4</v>
      </c>
      <c r="J453" s="5"/>
    </row>
    <row r="454" spans="1:10">
      <c r="A454" s="4">
        <v>450</v>
      </c>
      <c r="B454" s="4" t="str">
        <f>"20203311530"</f>
        <v>20203311530</v>
      </c>
      <c r="C454" s="4">
        <v>15</v>
      </c>
      <c r="D454" s="4">
        <v>30</v>
      </c>
      <c r="E454" s="4" t="s">
        <v>31</v>
      </c>
      <c r="F454" s="4" t="str">
        <f>"施彦茹"</f>
        <v>施彦茹</v>
      </c>
      <c r="G454" s="4" t="str">
        <f t="shared" ref="G454:G482" si="20">"女"</f>
        <v>女</v>
      </c>
      <c r="H454" s="4" t="str">
        <f>"1991-04-23"</f>
        <v>1991-04-23</v>
      </c>
      <c r="I454" s="4">
        <v>72.5</v>
      </c>
      <c r="J454" s="5"/>
    </row>
    <row r="455" spans="1:10">
      <c r="A455" s="4">
        <v>451</v>
      </c>
      <c r="B455" s="4" t="str">
        <f>"20203311601"</f>
        <v>20203311601</v>
      </c>
      <c r="C455" s="4">
        <v>16</v>
      </c>
      <c r="D455" s="4">
        <v>1</v>
      </c>
      <c r="E455" s="4" t="s">
        <v>31</v>
      </c>
      <c r="F455" s="4" t="str">
        <f>"王梦姣"</f>
        <v>王梦姣</v>
      </c>
      <c r="G455" s="4" t="str">
        <f t="shared" si="20"/>
        <v>女</v>
      </c>
      <c r="H455" s="4" t="str">
        <f>"1993-07-02"</f>
        <v>1993-07-02</v>
      </c>
      <c r="I455" s="4">
        <v>64.4</v>
      </c>
      <c r="J455" s="5"/>
    </row>
    <row r="456" spans="1:10">
      <c r="A456" s="4">
        <v>452</v>
      </c>
      <c r="B456" s="4" t="str">
        <f>"20203311602"</f>
        <v>20203311602</v>
      </c>
      <c r="C456" s="4">
        <v>16</v>
      </c>
      <c r="D456" s="4">
        <v>2</v>
      </c>
      <c r="E456" s="4" t="s">
        <v>31</v>
      </c>
      <c r="F456" s="4" t="str">
        <f>"薛园园"</f>
        <v>薛园园</v>
      </c>
      <c r="G456" s="4" t="str">
        <f t="shared" si="20"/>
        <v>女</v>
      </c>
      <c r="H456" s="4" t="str">
        <f>"1996-05-29"</f>
        <v>1996-05-29</v>
      </c>
      <c r="I456" s="4">
        <v>55.8</v>
      </c>
      <c r="J456" s="5"/>
    </row>
    <row r="457" spans="1:10">
      <c r="A457" s="4">
        <v>453</v>
      </c>
      <c r="B457" s="4" t="str">
        <f>"20203311603"</f>
        <v>20203311603</v>
      </c>
      <c r="C457" s="4">
        <v>16</v>
      </c>
      <c r="D457" s="4">
        <v>3</v>
      </c>
      <c r="E457" s="4" t="s">
        <v>31</v>
      </c>
      <c r="F457" s="4" t="str">
        <f>"杨显现"</f>
        <v>杨显现</v>
      </c>
      <c r="G457" s="4" t="str">
        <f t="shared" si="20"/>
        <v>女</v>
      </c>
      <c r="H457" s="4" t="str">
        <f>"1991-10-10"</f>
        <v>1991-10-10</v>
      </c>
      <c r="I457" s="4">
        <v>66.8</v>
      </c>
      <c r="J457" s="5"/>
    </row>
    <row r="458" spans="1:10">
      <c r="A458" s="4">
        <v>454</v>
      </c>
      <c r="B458" s="4" t="str">
        <f>"20203311604"</f>
        <v>20203311604</v>
      </c>
      <c r="C458" s="4">
        <v>16</v>
      </c>
      <c r="D458" s="4">
        <v>4</v>
      </c>
      <c r="E458" s="4" t="s">
        <v>31</v>
      </c>
      <c r="F458" s="4" t="str">
        <f>"赵申杉"</f>
        <v>赵申杉</v>
      </c>
      <c r="G458" s="4" t="str">
        <f t="shared" si="20"/>
        <v>女</v>
      </c>
      <c r="H458" s="4" t="str">
        <f>"1992-11-26"</f>
        <v>1992-11-26</v>
      </c>
      <c r="I458" s="4" t="s">
        <v>12</v>
      </c>
      <c r="J458" s="5"/>
    </row>
    <row r="459" spans="1:10">
      <c r="A459" s="4">
        <v>455</v>
      </c>
      <c r="B459" s="4" t="str">
        <f>"20203311605"</f>
        <v>20203311605</v>
      </c>
      <c r="C459" s="4">
        <v>16</v>
      </c>
      <c r="D459" s="4">
        <v>5</v>
      </c>
      <c r="E459" s="4" t="s">
        <v>31</v>
      </c>
      <c r="F459" s="4" t="str">
        <f>"马香丽"</f>
        <v>马香丽</v>
      </c>
      <c r="G459" s="4" t="str">
        <f t="shared" si="20"/>
        <v>女</v>
      </c>
      <c r="H459" s="4" t="str">
        <f>"1997-01-20"</f>
        <v>1997-01-20</v>
      </c>
      <c r="I459" s="4">
        <v>51.7</v>
      </c>
      <c r="J459" s="5"/>
    </row>
    <row r="460" spans="1:10">
      <c r="A460" s="4">
        <v>456</v>
      </c>
      <c r="B460" s="4" t="str">
        <f>"20203311606"</f>
        <v>20203311606</v>
      </c>
      <c r="C460" s="4">
        <v>16</v>
      </c>
      <c r="D460" s="4">
        <v>6</v>
      </c>
      <c r="E460" s="4" t="s">
        <v>31</v>
      </c>
      <c r="F460" s="4" t="str">
        <f>"张晓"</f>
        <v>张晓</v>
      </c>
      <c r="G460" s="4" t="str">
        <f t="shared" si="20"/>
        <v>女</v>
      </c>
      <c r="H460" s="4" t="str">
        <f>"1990-11-11"</f>
        <v>1990-11-11</v>
      </c>
      <c r="I460" s="4" t="s">
        <v>12</v>
      </c>
      <c r="J460" s="5"/>
    </row>
    <row r="461" spans="1:10">
      <c r="A461" s="4">
        <v>457</v>
      </c>
      <c r="B461" s="4" t="str">
        <f>"20203311607"</f>
        <v>20203311607</v>
      </c>
      <c r="C461" s="4">
        <v>16</v>
      </c>
      <c r="D461" s="4">
        <v>7</v>
      </c>
      <c r="E461" s="4" t="s">
        <v>31</v>
      </c>
      <c r="F461" s="4" t="str">
        <f>"刘盈"</f>
        <v>刘盈</v>
      </c>
      <c r="G461" s="4" t="str">
        <f t="shared" si="20"/>
        <v>女</v>
      </c>
      <c r="H461" s="4" t="str">
        <f>"1997-02-20"</f>
        <v>1997-02-20</v>
      </c>
      <c r="I461" s="4" t="s">
        <v>12</v>
      </c>
      <c r="J461" s="5"/>
    </row>
    <row r="462" spans="1:10">
      <c r="A462" s="4">
        <v>458</v>
      </c>
      <c r="B462" s="4" t="str">
        <f>"20203311608"</f>
        <v>20203311608</v>
      </c>
      <c r="C462" s="4">
        <v>16</v>
      </c>
      <c r="D462" s="4">
        <v>8</v>
      </c>
      <c r="E462" s="4" t="s">
        <v>31</v>
      </c>
      <c r="F462" s="4" t="str">
        <f>"闫乐"</f>
        <v>闫乐</v>
      </c>
      <c r="G462" s="4" t="str">
        <f t="shared" si="20"/>
        <v>女</v>
      </c>
      <c r="H462" s="4" t="str">
        <f>"1992-02-15"</f>
        <v>1992-02-15</v>
      </c>
      <c r="I462" s="4">
        <v>53</v>
      </c>
      <c r="J462" s="5"/>
    </row>
    <row r="463" spans="1:10">
      <c r="A463" s="4">
        <v>459</v>
      </c>
      <c r="B463" s="4" t="str">
        <f>"20203311609"</f>
        <v>20203311609</v>
      </c>
      <c r="C463" s="4">
        <v>16</v>
      </c>
      <c r="D463" s="4">
        <v>9</v>
      </c>
      <c r="E463" s="4" t="s">
        <v>31</v>
      </c>
      <c r="F463" s="4" t="str">
        <f>"王亚虹"</f>
        <v>王亚虹</v>
      </c>
      <c r="G463" s="4" t="str">
        <f t="shared" si="20"/>
        <v>女</v>
      </c>
      <c r="H463" s="4" t="str">
        <f>"1995-08-25"</f>
        <v>1995-08-25</v>
      </c>
      <c r="I463" s="4">
        <v>61.1</v>
      </c>
      <c r="J463" s="5"/>
    </row>
    <row r="464" spans="1:10">
      <c r="A464" s="4">
        <v>460</v>
      </c>
      <c r="B464" s="4" t="str">
        <f>"20203311610"</f>
        <v>20203311610</v>
      </c>
      <c r="C464" s="4">
        <v>16</v>
      </c>
      <c r="D464" s="4">
        <v>10</v>
      </c>
      <c r="E464" s="4" t="s">
        <v>31</v>
      </c>
      <c r="F464" s="4" t="str">
        <f>"张黎晨"</f>
        <v>张黎晨</v>
      </c>
      <c r="G464" s="4" t="str">
        <f t="shared" si="20"/>
        <v>女</v>
      </c>
      <c r="H464" s="4" t="str">
        <f>"1996-04-12"</f>
        <v>1996-04-12</v>
      </c>
      <c r="I464" s="4">
        <v>51.8</v>
      </c>
      <c r="J464" s="5"/>
    </row>
    <row r="465" spans="1:10">
      <c r="A465" s="4">
        <v>461</v>
      </c>
      <c r="B465" s="4" t="str">
        <f>"20203311611"</f>
        <v>20203311611</v>
      </c>
      <c r="C465" s="4">
        <v>16</v>
      </c>
      <c r="D465" s="4">
        <v>11</v>
      </c>
      <c r="E465" s="4" t="s">
        <v>31</v>
      </c>
      <c r="F465" s="4" t="str">
        <f>"朱少华"</f>
        <v>朱少华</v>
      </c>
      <c r="G465" s="4" t="str">
        <f t="shared" si="20"/>
        <v>女</v>
      </c>
      <c r="H465" s="4" t="str">
        <f>"1990-01-02"</f>
        <v>1990-01-02</v>
      </c>
      <c r="I465" s="4">
        <v>68.1</v>
      </c>
      <c r="J465" s="5"/>
    </row>
    <row r="466" spans="1:10">
      <c r="A466" s="4">
        <v>462</v>
      </c>
      <c r="B466" s="4" t="str">
        <f>"20205111612"</f>
        <v>20205111612</v>
      </c>
      <c r="C466" s="4">
        <v>16</v>
      </c>
      <c r="D466" s="4">
        <v>12</v>
      </c>
      <c r="E466" s="4" t="s">
        <v>32</v>
      </c>
      <c r="F466" s="4" t="str">
        <f>"吕柔锦"</f>
        <v>吕柔锦</v>
      </c>
      <c r="G466" s="4" t="str">
        <f t="shared" si="20"/>
        <v>女</v>
      </c>
      <c r="H466" s="4" t="str">
        <f>"1996-04-18"</f>
        <v>1996-04-18</v>
      </c>
      <c r="I466" s="4">
        <v>75.9</v>
      </c>
      <c r="J466" s="5"/>
    </row>
    <row r="467" spans="1:10">
      <c r="A467" s="4">
        <v>463</v>
      </c>
      <c r="B467" s="4" t="str">
        <f>"20205111613"</f>
        <v>20205111613</v>
      </c>
      <c r="C467" s="4">
        <v>16</v>
      </c>
      <c r="D467" s="4">
        <v>13</v>
      </c>
      <c r="E467" s="4" t="s">
        <v>32</v>
      </c>
      <c r="F467" s="4" t="str">
        <f>"李姗"</f>
        <v>李姗</v>
      </c>
      <c r="G467" s="4" t="str">
        <f t="shared" si="20"/>
        <v>女</v>
      </c>
      <c r="H467" s="4" t="str">
        <f>"1995-06-06"</f>
        <v>1995-06-06</v>
      </c>
      <c r="I467" s="4">
        <v>79.4</v>
      </c>
      <c r="J467" s="5"/>
    </row>
    <row r="468" spans="1:10">
      <c r="A468" s="4">
        <v>464</v>
      </c>
      <c r="B468" s="4" t="str">
        <f>"20205111614"</f>
        <v>20205111614</v>
      </c>
      <c r="C468" s="4">
        <v>16</v>
      </c>
      <c r="D468" s="4">
        <v>14</v>
      </c>
      <c r="E468" s="4" t="s">
        <v>32</v>
      </c>
      <c r="F468" s="4" t="str">
        <f>"金徐萌"</f>
        <v>金徐萌</v>
      </c>
      <c r="G468" s="4" t="str">
        <f t="shared" si="20"/>
        <v>女</v>
      </c>
      <c r="H468" s="4" t="str">
        <f>"1996-06-13"</f>
        <v>1996-06-13</v>
      </c>
      <c r="I468" s="4">
        <v>70.7</v>
      </c>
      <c r="J468" s="5"/>
    </row>
    <row r="469" spans="1:10">
      <c r="A469" s="4">
        <v>465</v>
      </c>
      <c r="B469" s="4" t="str">
        <f>"20205111615"</f>
        <v>20205111615</v>
      </c>
      <c r="C469" s="4">
        <v>16</v>
      </c>
      <c r="D469" s="4">
        <v>15</v>
      </c>
      <c r="E469" s="4" t="s">
        <v>32</v>
      </c>
      <c r="F469" s="4" t="str">
        <f>"马菲蔓"</f>
        <v>马菲蔓</v>
      </c>
      <c r="G469" s="4" t="str">
        <f t="shared" si="20"/>
        <v>女</v>
      </c>
      <c r="H469" s="4" t="str">
        <f>"1998-09-07"</f>
        <v>1998-09-07</v>
      </c>
      <c r="I469" s="4" t="s">
        <v>12</v>
      </c>
      <c r="J469" s="5"/>
    </row>
    <row r="470" spans="1:10">
      <c r="A470" s="4">
        <v>466</v>
      </c>
      <c r="B470" s="4" t="str">
        <f>"20205111616"</f>
        <v>20205111616</v>
      </c>
      <c r="C470" s="4">
        <v>16</v>
      </c>
      <c r="D470" s="4">
        <v>16</v>
      </c>
      <c r="E470" s="4" t="s">
        <v>32</v>
      </c>
      <c r="F470" s="4" t="str">
        <f>"王萍"</f>
        <v>王萍</v>
      </c>
      <c r="G470" s="4" t="str">
        <f t="shared" si="20"/>
        <v>女</v>
      </c>
      <c r="H470" s="4" t="str">
        <f>"1996-08-07"</f>
        <v>1996-08-07</v>
      </c>
      <c r="I470" s="4">
        <v>70.8</v>
      </c>
      <c r="J470" s="5"/>
    </row>
    <row r="471" spans="1:10">
      <c r="A471" s="4">
        <v>467</v>
      </c>
      <c r="B471" s="4" t="str">
        <f>"20205111617"</f>
        <v>20205111617</v>
      </c>
      <c r="C471" s="4">
        <v>16</v>
      </c>
      <c r="D471" s="4">
        <v>17</v>
      </c>
      <c r="E471" s="4" t="s">
        <v>32</v>
      </c>
      <c r="F471" s="4" t="str">
        <f>"司淼淼"</f>
        <v>司淼淼</v>
      </c>
      <c r="G471" s="4" t="str">
        <f t="shared" si="20"/>
        <v>女</v>
      </c>
      <c r="H471" s="4" t="str">
        <f>"1998-03-19"</f>
        <v>1998-03-19</v>
      </c>
      <c r="I471" s="4" t="s">
        <v>12</v>
      </c>
      <c r="J471" s="5"/>
    </row>
    <row r="472" spans="1:10">
      <c r="A472" s="4">
        <v>468</v>
      </c>
      <c r="B472" s="4" t="str">
        <f>"20205111618"</f>
        <v>20205111618</v>
      </c>
      <c r="C472" s="4">
        <v>16</v>
      </c>
      <c r="D472" s="4">
        <v>18</v>
      </c>
      <c r="E472" s="4" t="s">
        <v>32</v>
      </c>
      <c r="F472" s="4" t="str">
        <f>"徐玉珠"</f>
        <v>徐玉珠</v>
      </c>
      <c r="G472" s="4" t="str">
        <f t="shared" si="20"/>
        <v>女</v>
      </c>
      <c r="H472" s="4" t="str">
        <f>"1998-03-29"</f>
        <v>1998-03-29</v>
      </c>
      <c r="I472" s="4">
        <v>72.5</v>
      </c>
      <c r="J472" s="5"/>
    </row>
    <row r="473" spans="1:10">
      <c r="A473" s="4">
        <v>469</v>
      </c>
      <c r="B473" s="4" t="str">
        <f>"20205111619"</f>
        <v>20205111619</v>
      </c>
      <c r="C473" s="4">
        <v>16</v>
      </c>
      <c r="D473" s="4">
        <v>19</v>
      </c>
      <c r="E473" s="4" t="s">
        <v>32</v>
      </c>
      <c r="F473" s="4" t="str">
        <f>"田青泉"</f>
        <v>田青泉</v>
      </c>
      <c r="G473" s="4" t="str">
        <f t="shared" si="20"/>
        <v>女</v>
      </c>
      <c r="H473" s="4" t="str">
        <f>"1998-08-07"</f>
        <v>1998-08-07</v>
      </c>
      <c r="I473" s="4">
        <v>64.8</v>
      </c>
      <c r="J473" s="5"/>
    </row>
    <row r="474" spans="1:10">
      <c r="A474" s="4">
        <v>470</v>
      </c>
      <c r="B474" s="4" t="str">
        <f>"20205111620"</f>
        <v>20205111620</v>
      </c>
      <c r="C474" s="4">
        <v>16</v>
      </c>
      <c r="D474" s="4">
        <v>20</v>
      </c>
      <c r="E474" s="4" t="s">
        <v>32</v>
      </c>
      <c r="F474" s="4" t="str">
        <f>"曹新建"</f>
        <v>曹新建</v>
      </c>
      <c r="G474" s="4" t="str">
        <f t="shared" si="20"/>
        <v>女</v>
      </c>
      <c r="H474" s="4" t="str">
        <f>"1997-06-08"</f>
        <v>1997-06-08</v>
      </c>
      <c r="I474" s="4">
        <v>76.5</v>
      </c>
      <c r="J474" s="5"/>
    </row>
    <row r="475" spans="1:10">
      <c r="A475" s="4">
        <v>471</v>
      </c>
      <c r="B475" s="4" t="str">
        <f>"20205111621"</f>
        <v>20205111621</v>
      </c>
      <c r="C475" s="4">
        <v>16</v>
      </c>
      <c r="D475" s="4">
        <v>21</v>
      </c>
      <c r="E475" s="4" t="s">
        <v>32</v>
      </c>
      <c r="F475" s="4" t="str">
        <f>"史亚蒙"</f>
        <v>史亚蒙</v>
      </c>
      <c r="G475" s="4" t="str">
        <f t="shared" si="20"/>
        <v>女</v>
      </c>
      <c r="H475" s="4" t="str">
        <f>"1992-05-10"</f>
        <v>1992-05-10</v>
      </c>
      <c r="I475" s="4" t="s">
        <v>12</v>
      </c>
      <c r="J475" s="5"/>
    </row>
    <row r="476" spans="1:10">
      <c r="A476" s="4">
        <v>472</v>
      </c>
      <c r="B476" s="4" t="str">
        <f>"20205111622"</f>
        <v>20205111622</v>
      </c>
      <c r="C476" s="4">
        <v>16</v>
      </c>
      <c r="D476" s="4">
        <v>22</v>
      </c>
      <c r="E476" s="4" t="s">
        <v>32</v>
      </c>
      <c r="F476" s="4" t="str">
        <f>"李林"</f>
        <v>李林</v>
      </c>
      <c r="G476" s="4" t="str">
        <f t="shared" si="20"/>
        <v>女</v>
      </c>
      <c r="H476" s="4" t="str">
        <f>"1997-10-22"</f>
        <v>1997-10-22</v>
      </c>
      <c r="I476" s="4">
        <v>64.5</v>
      </c>
      <c r="J476" s="5"/>
    </row>
    <row r="477" spans="1:10">
      <c r="A477" s="4">
        <v>473</v>
      </c>
      <c r="B477" s="4" t="str">
        <f>"20205111623"</f>
        <v>20205111623</v>
      </c>
      <c r="C477" s="4">
        <v>16</v>
      </c>
      <c r="D477" s="4">
        <v>23</v>
      </c>
      <c r="E477" s="4" t="s">
        <v>32</v>
      </c>
      <c r="F477" s="4" t="str">
        <f>"安爽"</f>
        <v>安爽</v>
      </c>
      <c r="G477" s="4" t="str">
        <f t="shared" si="20"/>
        <v>女</v>
      </c>
      <c r="H477" s="4" t="str">
        <f>"1995-09-15"</f>
        <v>1995-09-15</v>
      </c>
      <c r="I477" s="4">
        <v>58.4</v>
      </c>
      <c r="J477" s="5"/>
    </row>
    <row r="478" spans="1:10">
      <c r="A478" s="4">
        <v>474</v>
      </c>
      <c r="B478" s="4" t="str">
        <f>"20205111624"</f>
        <v>20205111624</v>
      </c>
      <c r="C478" s="4">
        <v>16</v>
      </c>
      <c r="D478" s="4">
        <v>24</v>
      </c>
      <c r="E478" s="4" t="s">
        <v>32</v>
      </c>
      <c r="F478" s="4" t="str">
        <f>"李萌林"</f>
        <v>李萌林</v>
      </c>
      <c r="G478" s="4" t="str">
        <f t="shared" si="20"/>
        <v>女</v>
      </c>
      <c r="H478" s="4" t="str">
        <f>"1998-03-11"</f>
        <v>1998-03-11</v>
      </c>
      <c r="I478" s="4" t="s">
        <v>12</v>
      </c>
      <c r="J478" s="5"/>
    </row>
    <row r="479" spans="1:10">
      <c r="A479" s="4">
        <v>475</v>
      </c>
      <c r="B479" s="4" t="str">
        <f>"20205111625"</f>
        <v>20205111625</v>
      </c>
      <c r="C479" s="4">
        <v>16</v>
      </c>
      <c r="D479" s="4">
        <v>25</v>
      </c>
      <c r="E479" s="4" t="s">
        <v>32</v>
      </c>
      <c r="F479" s="4" t="str">
        <f>"崔冰冰"</f>
        <v>崔冰冰</v>
      </c>
      <c r="G479" s="4" t="str">
        <f t="shared" si="20"/>
        <v>女</v>
      </c>
      <c r="H479" s="4" t="str">
        <f>"1996-02-18"</f>
        <v>1996-02-18</v>
      </c>
      <c r="I479" s="4" t="s">
        <v>12</v>
      </c>
      <c r="J479" s="5"/>
    </row>
    <row r="480" spans="1:10">
      <c r="A480" s="4">
        <v>476</v>
      </c>
      <c r="B480" s="4" t="str">
        <f>"20205111626"</f>
        <v>20205111626</v>
      </c>
      <c r="C480" s="4">
        <v>16</v>
      </c>
      <c r="D480" s="4">
        <v>26</v>
      </c>
      <c r="E480" s="4" t="s">
        <v>32</v>
      </c>
      <c r="F480" s="4" t="str">
        <f>"黄雷"</f>
        <v>黄雷</v>
      </c>
      <c r="G480" s="4" t="str">
        <f t="shared" si="20"/>
        <v>女</v>
      </c>
      <c r="H480" s="4" t="str">
        <f>"1997-03-06"</f>
        <v>1997-03-06</v>
      </c>
      <c r="I480" s="4">
        <v>71.9</v>
      </c>
      <c r="J480" s="5"/>
    </row>
    <row r="481" spans="1:10">
      <c r="A481" s="4">
        <v>477</v>
      </c>
      <c r="B481" s="4" t="str">
        <f>"20205111627"</f>
        <v>20205111627</v>
      </c>
      <c r="C481" s="4">
        <v>16</v>
      </c>
      <c r="D481" s="4">
        <v>27</v>
      </c>
      <c r="E481" s="4" t="s">
        <v>32</v>
      </c>
      <c r="F481" s="4" t="str">
        <f>"张萌"</f>
        <v>张萌</v>
      </c>
      <c r="G481" s="4" t="str">
        <f t="shared" si="20"/>
        <v>女</v>
      </c>
      <c r="H481" s="4" t="str">
        <f>"1997-08-19"</f>
        <v>1997-08-19</v>
      </c>
      <c r="I481" s="4">
        <v>58.8</v>
      </c>
      <c r="J481" s="5"/>
    </row>
    <row r="482" spans="1:10">
      <c r="A482" s="4">
        <v>478</v>
      </c>
      <c r="B482" s="4" t="str">
        <f>"20205111628"</f>
        <v>20205111628</v>
      </c>
      <c r="C482" s="4">
        <v>16</v>
      </c>
      <c r="D482" s="4">
        <v>28</v>
      </c>
      <c r="E482" s="4" t="s">
        <v>32</v>
      </c>
      <c r="F482" s="4" t="str">
        <f>"高聪聪"</f>
        <v>高聪聪</v>
      </c>
      <c r="G482" s="4" t="str">
        <f t="shared" si="20"/>
        <v>女</v>
      </c>
      <c r="H482" s="4" t="str">
        <f>"1996-11-20"</f>
        <v>1996-11-20</v>
      </c>
      <c r="I482" s="4" t="s">
        <v>12</v>
      </c>
      <c r="J482" s="5"/>
    </row>
    <row r="483" spans="1:10">
      <c r="A483" s="4">
        <v>479</v>
      </c>
      <c r="B483" s="4" t="str">
        <f>"20205111629"</f>
        <v>20205111629</v>
      </c>
      <c r="C483" s="4">
        <v>16</v>
      </c>
      <c r="D483" s="4">
        <v>29</v>
      </c>
      <c r="E483" s="4" t="s">
        <v>32</v>
      </c>
      <c r="F483" s="4" t="str">
        <f>"冯震"</f>
        <v>冯震</v>
      </c>
      <c r="G483" s="4" t="str">
        <f>"男"</f>
        <v>男</v>
      </c>
      <c r="H483" s="4" t="str">
        <f>"1995-08-06"</f>
        <v>1995-08-06</v>
      </c>
      <c r="I483" s="4">
        <v>64.1</v>
      </c>
      <c r="J483" s="5"/>
    </row>
    <row r="484" spans="1:10">
      <c r="A484" s="4">
        <v>480</v>
      </c>
      <c r="B484" s="4" t="str">
        <f>"20205111630"</f>
        <v>20205111630</v>
      </c>
      <c r="C484" s="4">
        <v>16</v>
      </c>
      <c r="D484" s="4">
        <v>30</v>
      </c>
      <c r="E484" s="4" t="s">
        <v>32</v>
      </c>
      <c r="F484" s="4" t="str">
        <f>"冉梦瑶"</f>
        <v>冉梦瑶</v>
      </c>
      <c r="G484" s="4" t="str">
        <f>"女"</f>
        <v>女</v>
      </c>
      <c r="H484" s="4" t="str">
        <f>"1996-11-19"</f>
        <v>1996-11-19</v>
      </c>
      <c r="I484" s="4">
        <v>60.4</v>
      </c>
      <c r="J484" s="5"/>
    </row>
    <row r="485" spans="1:10">
      <c r="A485" s="4">
        <v>481</v>
      </c>
      <c r="B485" s="4" t="str">
        <f>"20205111701"</f>
        <v>20205111701</v>
      </c>
      <c r="C485" s="4">
        <v>17</v>
      </c>
      <c r="D485" s="4">
        <v>1</v>
      </c>
      <c r="E485" s="4" t="s">
        <v>32</v>
      </c>
      <c r="F485" s="4" t="str">
        <f>"郭红"</f>
        <v>郭红</v>
      </c>
      <c r="G485" s="4" t="str">
        <f>"女"</f>
        <v>女</v>
      </c>
      <c r="H485" s="4" t="str">
        <f>"1995-06-13"</f>
        <v>1995-06-13</v>
      </c>
      <c r="I485" s="4">
        <v>86.2</v>
      </c>
      <c r="J485" s="5"/>
    </row>
    <row r="486" spans="1:10">
      <c r="A486" s="4">
        <v>482</v>
      </c>
      <c r="B486" s="4" t="str">
        <f>"20205111702"</f>
        <v>20205111702</v>
      </c>
      <c r="C486" s="4">
        <v>17</v>
      </c>
      <c r="D486" s="4">
        <v>2</v>
      </c>
      <c r="E486" s="4" t="s">
        <v>32</v>
      </c>
      <c r="F486" s="4" t="str">
        <f>"徐姗姗"</f>
        <v>徐姗姗</v>
      </c>
      <c r="G486" s="4" t="str">
        <f>"女"</f>
        <v>女</v>
      </c>
      <c r="H486" s="4" t="str">
        <f>"1997-07-13"</f>
        <v>1997-07-13</v>
      </c>
      <c r="I486" s="4">
        <v>71.9</v>
      </c>
      <c r="J486" s="5"/>
    </row>
    <row r="487" spans="1:10">
      <c r="A487" s="4">
        <v>483</v>
      </c>
      <c r="B487" s="4" t="str">
        <f>"20205111703"</f>
        <v>20205111703</v>
      </c>
      <c r="C487" s="4">
        <v>17</v>
      </c>
      <c r="D487" s="4">
        <v>3</v>
      </c>
      <c r="E487" s="4" t="s">
        <v>32</v>
      </c>
      <c r="F487" s="4" t="str">
        <f>"荣新丽"</f>
        <v>荣新丽</v>
      </c>
      <c r="G487" s="4" t="str">
        <f>"女"</f>
        <v>女</v>
      </c>
      <c r="H487" s="4" t="str">
        <f>"1999-03-17"</f>
        <v>1999-03-17</v>
      </c>
      <c r="I487" s="4" t="s">
        <v>12</v>
      </c>
      <c r="J487" s="5"/>
    </row>
    <row r="488" spans="1:10">
      <c r="A488" s="4">
        <v>484</v>
      </c>
      <c r="B488" s="4" t="str">
        <f>"20205111704"</f>
        <v>20205111704</v>
      </c>
      <c r="C488" s="4">
        <v>17</v>
      </c>
      <c r="D488" s="4">
        <v>4</v>
      </c>
      <c r="E488" s="4" t="s">
        <v>32</v>
      </c>
      <c r="F488" s="4" t="str">
        <f>"李诗尧"</f>
        <v>李诗尧</v>
      </c>
      <c r="G488" s="4" t="str">
        <f>"男"</f>
        <v>男</v>
      </c>
      <c r="H488" s="4" t="str">
        <f>"1998-02-11"</f>
        <v>1998-02-11</v>
      </c>
      <c r="I488" s="4">
        <v>56.1</v>
      </c>
      <c r="J488" s="5"/>
    </row>
    <row r="489" spans="1:10">
      <c r="A489" s="4">
        <v>485</v>
      </c>
      <c r="B489" s="4" t="str">
        <f>"20205111705"</f>
        <v>20205111705</v>
      </c>
      <c r="C489" s="4">
        <v>17</v>
      </c>
      <c r="D489" s="4">
        <v>5</v>
      </c>
      <c r="E489" s="4" t="s">
        <v>32</v>
      </c>
      <c r="F489" s="4" t="str">
        <f>"闫孟珂"</f>
        <v>闫孟珂</v>
      </c>
      <c r="G489" s="4" t="str">
        <f>"女"</f>
        <v>女</v>
      </c>
      <c r="H489" s="4" t="str">
        <f>"1999-03-20"</f>
        <v>1999-03-20</v>
      </c>
      <c r="I489" s="4">
        <v>66.8</v>
      </c>
      <c r="J489" s="5"/>
    </row>
    <row r="490" spans="1:10">
      <c r="A490" s="4">
        <v>486</v>
      </c>
      <c r="B490" s="4" t="str">
        <f>"20205111706"</f>
        <v>20205111706</v>
      </c>
      <c r="C490" s="4">
        <v>17</v>
      </c>
      <c r="D490" s="4">
        <v>6</v>
      </c>
      <c r="E490" s="4" t="s">
        <v>32</v>
      </c>
      <c r="F490" s="4" t="str">
        <f>"李潘"</f>
        <v>李潘</v>
      </c>
      <c r="G490" s="4" t="str">
        <f>"女"</f>
        <v>女</v>
      </c>
      <c r="H490" s="4" t="str">
        <f>"1991-10-14"</f>
        <v>1991-10-14</v>
      </c>
      <c r="I490" s="4">
        <v>58.1</v>
      </c>
      <c r="J490" s="5"/>
    </row>
    <row r="491" spans="1:10">
      <c r="A491" s="4">
        <v>487</v>
      </c>
      <c r="B491" s="4" t="str">
        <f>"20205111707"</f>
        <v>20205111707</v>
      </c>
      <c r="C491" s="4">
        <v>17</v>
      </c>
      <c r="D491" s="4">
        <v>7</v>
      </c>
      <c r="E491" s="4" t="s">
        <v>32</v>
      </c>
      <c r="F491" s="4" t="str">
        <f>"王银河"</f>
        <v>王银河</v>
      </c>
      <c r="G491" s="4" t="str">
        <f>"女"</f>
        <v>女</v>
      </c>
      <c r="H491" s="4" t="str">
        <f>"1996-06-29"</f>
        <v>1996-06-29</v>
      </c>
      <c r="I491" s="4">
        <v>73.9</v>
      </c>
      <c r="J491" s="5"/>
    </row>
    <row r="492" spans="1:10">
      <c r="A492" s="4">
        <v>488</v>
      </c>
      <c r="B492" s="4" t="str">
        <f>"20205111708"</f>
        <v>20205111708</v>
      </c>
      <c r="C492" s="4">
        <v>17</v>
      </c>
      <c r="D492" s="4">
        <v>8</v>
      </c>
      <c r="E492" s="4" t="s">
        <v>32</v>
      </c>
      <c r="F492" s="4" t="str">
        <f>"仵晓静"</f>
        <v>仵晓静</v>
      </c>
      <c r="G492" s="4" t="str">
        <f>"女"</f>
        <v>女</v>
      </c>
      <c r="H492" s="4" t="str">
        <f>"1997-09-26"</f>
        <v>1997-09-26</v>
      </c>
      <c r="I492" s="4" t="s">
        <v>12</v>
      </c>
      <c r="J492" s="5"/>
    </row>
    <row r="493" spans="1:10">
      <c r="A493" s="4">
        <v>489</v>
      </c>
      <c r="B493" s="4" t="str">
        <f>"20205111709"</f>
        <v>20205111709</v>
      </c>
      <c r="C493" s="4">
        <v>17</v>
      </c>
      <c r="D493" s="4">
        <v>9</v>
      </c>
      <c r="E493" s="4" t="s">
        <v>32</v>
      </c>
      <c r="F493" s="4" t="str">
        <f>"张凌晨"</f>
        <v>张凌晨</v>
      </c>
      <c r="G493" s="4" t="str">
        <f>"男"</f>
        <v>男</v>
      </c>
      <c r="H493" s="4" t="str">
        <f>"1994-04-21"</f>
        <v>1994-04-21</v>
      </c>
      <c r="I493" s="4">
        <v>78.2</v>
      </c>
      <c r="J493" s="5"/>
    </row>
    <row r="494" spans="1:10">
      <c r="A494" s="4">
        <v>490</v>
      </c>
      <c r="B494" s="4" t="str">
        <f>"20205111710"</f>
        <v>20205111710</v>
      </c>
      <c r="C494" s="4">
        <v>17</v>
      </c>
      <c r="D494" s="4">
        <v>10</v>
      </c>
      <c r="E494" s="4" t="s">
        <v>32</v>
      </c>
      <c r="F494" s="4" t="str">
        <f>"王芊文"</f>
        <v>王芊文</v>
      </c>
      <c r="G494" s="4" t="str">
        <f t="shared" ref="G494:G526" si="21">"女"</f>
        <v>女</v>
      </c>
      <c r="H494" s="4" t="str">
        <f>"1997-07-13"</f>
        <v>1997-07-13</v>
      </c>
      <c r="I494" s="4" t="s">
        <v>12</v>
      </c>
      <c r="J494" s="5"/>
    </row>
    <row r="495" spans="1:10">
      <c r="A495" s="4">
        <v>491</v>
      </c>
      <c r="B495" s="4" t="str">
        <f>"20205111711"</f>
        <v>20205111711</v>
      </c>
      <c r="C495" s="4">
        <v>17</v>
      </c>
      <c r="D495" s="4">
        <v>11</v>
      </c>
      <c r="E495" s="4" t="s">
        <v>32</v>
      </c>
      <c r="F495" s="4" t="str">
        <f>"芦晨洋"</f>
        <v>芦晨洋</v>
      </c>
      <c r="G495" s="4" t="str">
        <f t="shared" si="21"/>
        <v>女</v>
      </c>
      <c r="H495" s="4" t="str">
        <f>"1998-08-25"</f>
        <v>1998-08-25</v>
      </c>
      <c r="I495" s="4">
        <v>67.5</v>
      </c>
      <c r="J495" s="5"/>
    </row>
    <row r="496" spans="1:10">
      <c r="A496" s="4">
        <v>492</v>
      </c>
      <c r="B496" s="4" t="str">
        <f>"20205111712"</f>
        <v>20205111712</v>
      </c>
      <c r="C496" s="4">
        <v>17</v>
      </c>
      <c r="D496" s="4">
        <v>12</v>
      </c>
      <c r="E496" s="4" t="s">
        <v>32</v>
      </c>
      <c r="F496" s="4" t="str">
        <f>"王俊梓"</f>
        <v>王俊梓</v>
      </c>
      <c r="G496" s="4" t="str">
        <f t="shared" si="21"/>
        <v>女</v>
      </c>
      <c r="H496" s="4" t="str">
        <f>"1998-02-22"</f>
        <v>1998-02-22</v>
      </c>
      <c r="I496" s="4">
        <v>68</v>
      </c>
      <c r="J496" s="5"/>
    </row>
    <row r="497" spans="1:10">
      <c r="A497" s="4">
        <v>493</v>
      </c>
      <c r="B497" s="4" t="str">
        <f>"20205111713"</f>
        <v>20205111713</v>
      </c>
      <c r="C497" s="4">
        <v>17</v>
      </c>
      <c r="D497" s="4">
        <v>13</v>
      </c>
      <c r="E497" s="4" t="s">
        <v>32</v>
      </c>
      <c r="F497" s="4" t="str">
        <f>"陈园园"</f>
        <v>陈园园</v>
      </c>
      <c r="G497" s="4" t="str">
        <f t="shared" si="21"/>
        <v>女</v>
      </c>
      <c r="H497" s="4" t="str">
        <f>"1998-05-21"</f>
        <v>1998-05-21</v>
      </c>
      <c r="I497" s="4" t="s">
        <v>12</v>
      </c>
      <c r="J497" s="5"/>
    </row>
    <row r="498" spans="1:10">
      <c r="A498" s="4">
        <v>494</v>
      </c>
      <c r="B498" s="4" t="str">
        <f>"20205111714"</f>
        <v>20205111714</v>
      </c>
      <c r="C498" s="4">
        <v>17</v>
      </c>
      <c r="D498" s="4">
        <v>14</v>
      </c>
      <c r="E498" s="4" t="s">
        <v>32</v>
      </c>
      <c r="F498" s="4" t="str">
        <f>"孙瑞旭"</f>
        <v>孙瑞旭</v>
      </c>
      <c r="G498" s="4" t="str">
        <f t="shared" si="21"/>
        <v>女</v>
      </c>
      <c r="H498" s="4" t="str">
        <f>"1995-11-08"</f>
        <v>1995-11-08</v>
      </c>
      <c r="I498" s="4" t="s">
        <v>12</v>
      </c>
      <c r="J498" s="5"/>
    </row>
    <row r="499" spans="1:10">
      <c r="A499" s="4">
        <v>495</v>
      </c>
      <c r="B499" s="4" t="str">
        <f>"20205111715"</f>
        <v>20205111715</v>
      </c>
      <c r="C499" s="4">
        <v>17</v>
      </c>
      <c r="D499" s="4">
        <v>15</v>
      </c>
      <c r="E499" s="4" t="s">
        <v>32</v>
      </c>
      <c r="F499" s="4" t="str">
        <f>"乔丽"</f>
        <v>乔丽</v>
      </c>
      <c r="G499" s="4" t="str">
        <f t="shared" si="21"/>
        <v>女</v>
      </c>
      <c r="H499" s="4" t="str">
        <f>"1995-10-07"</f>
        <v>1995-10-07</v>
      </c>
      <c r="I499" s="4" t="s">
        <v>12</v>
      </c>
      <c r="J499" s="5"/>
    </row>
    <row r="500" spans="1:10">
      <c r="A500" s="4">
        <v>496</v>
      </c>
      <c r="B500" s="4" t="str">
        <f>"20205111716"</f>
        <v>20205111716</v>
      </c>
      <c r="C500" s="4">
        <v>17</v>
      </c>
      <c r="D500" s="4">
        <v>16</v>
      </c>
      <c r="E500" s="4" t="s">
        <v>32</v>
      </c>
      <c r="F500" s="4" t="str">
        <f>"张洒"</f>
        <v>张洒</v>
      </c>
      <c r="G500" s="4" t="str">
        <f t="shared" si="21"/>
        <v>女</v>
      </c>
      <c r="H500" s="4" t="str">
        <f>"1996-05-21"</f>
        <v>1996-05-21</v>
      </c>
      <c r="I500" s="4">
        <v>82.8</v>
      </c>
      <c r="J500" s="5"/>
    </row>
    <row r="501" spans="1:10">
      <c r="A501" s="4">
        <v>497</v>
      </c>
      <c r="B501" s="4" t="str">
        <f>"20205111717"</f>
        <v>20205111717</v>
      </c>
      <c r="C501" s="4">
        <v>17</v>
      </c>
      <c r="D501" s="4">
        <v>17</v>
      </c>
      <c r="E501" s="4" t="s">
        <v>32</v>
      </c>
      <c r="F501" s="4" t="str">
        <f>"刘培"</f>
        <v>刘培</v>
      </c>
      <c r="G501" s="4" t="str">
        <f t="shared" si="21"/>
        <v>女</v>
      </c>
      <c r="H501" s="4" t="str">
        <f>"1997-08-07"</f>
        <v>1997-08-07</v>
      </c>
      <c r="I501" s="4" t="s">
        <v>12</v>
      </c>
      <c r="J501" s="5"/>
    </row>
    <row r="502" spans="1:10">
      <c r="A502" s="4">
        <v>498</v>
      </c>
      <c r="B502" s="4" t="str">
        <f>"20205111718"</f>
        <v>20205111718</v>
      </c>
      <c r="C502" s="4">
        <v>17</v>
      </c>
      <c r="D502" s="4">
        <v>18</v>
      </c>
      <c r="E502" s="4" t="s">
        <v>32</v>
      </c>
      <c r="F502" s="4" t="str">
        <f>"崔盼盼"</f>
        <v>崔盼盼</v>
      </c>
      <c r="G502" s="4" t="str">
        <f t="shared" si="21"/>
        <v>女</v>
      </c>
      <c r="H502" s="4" t="str">
        <f>"1998-12-02"</f>
        <v>1998-12-02</v>
      </c>
      <c r="I502" s="4" t="s">
        <v>12</v>
      </c>
      <c r="J502" s="5"/>
    </row>
    <row r="503" spans="1:10">
      <c r="A503" s="4">
        <v>499</v>
      </c>
      <c r="B503" s="4" t="str">
        <f>"20205111719"</f>
        <v>20205111719</v>
      </c>
      <c r="C503" s="4">
        <v>17</v>
      </c>
      <c r="D503" s="4">
        <v>19</v>
      </c>
      <c r="E503" s="4" t="s">
        <v>32</v>
      </c>
      <c r="F503" s="4" t="str">
        <f>"杨婕"</f>
        <v>杨婕</v>
      </c>
      <c r="G503" s="4" t="str">
        <f t="shared" si="21"/>
        <v>女</v>
      </c>
      <c r="H503" s="4" t="str">
        <f>"1998-12-20"</f>
        <v>1998-12-20</v>
      </c>
      <c r="I503" s="4">
        <v>65.1</v>
      </c>
      <c r="J503" s="5"/>
    </row>
    <row r="504" spans="1:10">
      <c r="A504" s="4">
        <v>500</v>
      </c>
      <c r="B504" s="4" t="str">
        <f>"20205111720"</f>
        <v>20205111720</v>
      </c>
      <c r="C504" s="4">
        <v>17</v>
      </c>
      <c r="D504" s="4">
        <v>20</v>
      </c>
      <c r="E504" s="4" t="s">
        <v>32</v>
      </c>
      <c r="F504" s="4" t="str">
        <f>"乔思会"</f>
        <v>乔思会</v>
      </c>
      <c r="G504" s="4" t="str">
        <f t="shared" si="21"/>
        <v>女</v>
      </c>
      <c r="H504" s="4" t="str">
        <f>"1997-09-28"</f>
        <v>1997-09-28</v>
      </c>
      <c r="I504" s="4" t="s">
        <v>12</v>
      </c>
      <c r="J504" s="5"/>
    </row>
    <row r="505" spans="1:10">
      <c r="A505" s="4">
        <v>501</v>
      </c>
      <c r="B505" s="4" t="str">
        <f>"20205111721"</f>
        <v>20205111721</v>
      </c>
      <c r="C505" s="4">
        <v>17</v>
      </c>
      <c r="D505" s="4">
        <v>21</v>
      </c>
      <c r="E505" s="4" t="s">
        <v>32</v>
      </c>
      <c r="F505" s="4" t="str">
        <f>"黄超男"</f>
        <v>黄超男</v>
      </c>
      <c r="G505" s="4" t="str">
        <f t="shared" si="21"/>
        <v>女</v>
      </c>
      <c r="H505" s="4" t="str">
        <f>"1998-10-24"</f>
        <v>1998-10-24</v>
      </c>
      <c r="I505" s="4">
        <v>77.2</v>
      </c>
      <c r="J505" s="5"/>
    </row>
    <row r="506" spans="1:10">
      <c r="A506" s="4">
        <v>502</v>
      </c>
      <c r="B506" s="4" t="str">
        <f>"20205111722"</f>
        <v>20205111722</v>
      </c>
      <c r="C506" s="4">
        <v>17</v>
      </c>
      <c r="D506" s="4">
        <v>22</v>
      </c>
      <c r="E506" s="4" t="s">
        <v>32</v>
      </c>
      <c r="F506" s="4" t="str">
        <f>"王琳"</f>
        <v>王琳</v>
      </c>
      <c r="G506" s="4" t="str">
        <f t="shared" si="21"/>
        <v>女</v>
      </c>
      <c r="H506" s="4" t="str">
        <f>"1998-09-09"</f>
        <v>1998-09-09</v>
      </c>
      <c r="I506" s="4">
        <v>70</v>
      </c>
      <c r="J506" s="5"/>
    </row>
    <row r="507" spans="1:10">
      <c r="A507" s="4">
        <v>503</v>
      </c>
      <c r="B507" s="4" t="str">
        <f>"20205111723"</f>
        <v>20205111723</v>
      </c>
      <c r="C507" s="4">
        <v>17</v>
      </c>
      <c r="D507" s="4">
        <v>23</v>
      </c>
      <c r="E507" s="4" t="s">
        <v>32</v>
      </c>
      <c r="F507" s="4" t="str">
        <f>"王昭文"</f>
        <v>王昭文</v>
      </c>
      <c r="G507" s="4" t="str">
        <f t="shared" si="21"/>
        <v>女</v>
      </c>
      <c r="H507" s="4" t="str">
        <f>"1998-08-19"</f>
        <v>1998-08-19</v>
      </c>
      <c r="I507" s="4" t="s">
        <v>12</v>
      </c>
      <c r="J507" s="5"/>
    </row>
    <row r="508" spans="1:10">
      <c r="A508" s="4">
        <v>504</v>
      </c>
      <c r="B508" s="4" t="str">
        <f>"20205111724"</f>
        <v>20205111724</v>
      </c>
      <c r="C508" s="4">
        <v>17</v>
      </c>
      <c r="D508" s="4">
        <v>24</v>
      </c>
      <c r="E508" s="4" t="s">
        <v>32</v>
      </c>
      <c r="F508" s="4" t="str">
        <f>"盛慧"</f>
        <v>盛慧</v>
      </c>
      <c r="G508" s="4" t="str">
        <f t="shared" si="21"/>
        <v>女</v>
      </c>
      <c r="H508" s="4" t="str">
        <f>"1997-05-30"</f>
        <v>1997-05-30</v>
      </c>
      <c r="I508" s="4">
        <v>75.6</v>
      </c>
      <c r="J508" s="5"/>
    </row>
    <row r="509" spans="1:10">
      <c r="A509" s="4">
        <v>505</v>
      </c>
      <c r="B509" s="4" t="str">
        <f>"20205111725"</f>
        <v>20205111725</v>
      </c>
      <c r="C509" s="4">
        <v>17</v>
      </c>
      <c r="D509" s="4">
        <v>25</v>
      </c>
      <c r="E509" s="4" t="s">
        <v>32</v>
      </c>
      <c r="F509" s="4" t="str">
        <f>"秦阳"</f>
        <v>秦阳</v>
      </c>
      <c r="G509" s="4" t="str">
        <f t="shared" si="21"/>
        <v>女</v>
      </c>
      <c r="H509" s="4" t="str">
        <f>"1999-01-09"</f>
        <v>1999-01-09</v>
      </c>
      <c r="I509" s="4">
        <v>67.1</v>
      </c>
      <c r="J509" s="5"/>
    </row>
    <row r="510" spans="1:10">
      <c r="A510" s="4">
        <v>506</v>
      </c>
      <c r="B510" s="4" t="str">
        <f>"20205111726"</f>
        <v>20205111726</v>
      </c>
      <c r="C510" s="4">
        <v>17</v>
      </c>
      <c r="D510" s="4">
        <v>26</v>
      </c>
      <c r="E510" s="4" t="s">
        <v>32</v>
      </c>
      <c r="F510" s="4" t="str">
        <f>"邓金燕"</f>
        <v>邓金燕</v>
      </c>
      <c r="G510" s="4" t="str">
        <f t="shared" si="21"/>
        <v>女</v>
      </c>
      <c r="H510" s="4" t="str">
        <f>"1996-11-25"</f>
        <v>1996-11-25</v>
      </c>
      <c r="I510" s="4" t="s">
        <v>12</v>
      </c>
      <c r="J510" s="5"/>
    </row>
    <row r="511" spans="1:10">
      <c r="A511" s="4">
        <v>507</v>
      </c>
      <c r="B511" s="4" t="str">
        <f>"20205111727"</f>
        <v>20205111727</v>
      </c>
      <c r="C511" s="4">
        <v>17</v>
      </c>
      <c r="D511" s="4">
        <v>27</v>
      </c>
      <c r="E511" s="4" t="s">
        <v>32</v>
      </c>
      <c r="F511" s="4" t="str">
        <f>"陈毅纳"</f>
        <v>陈毅纳</v>
      </c>
      <c r="G511" s="4" t="str">
        <f t="shared" si="21"/>
        <v>女</v>
      </c>
      <c r="H511" s="4" t="str">
        <f>"1998-02-16"</f>
        <v>1998-02-16</v>
      </c>
      <c r="I511" s="4">
        <v>63.1</v>
      </c>
      <c r="J511" s="5"/>
    </row>
    <row r="512" spans="1:10">
      <c r="A512" s="4">
        <v>508</v>
      </c>
      <c r="B512" s="4" t="str">
        <f>"20205111728"</f>
        <v>20205111728</v>
      </c>
      <c r="C512" s="4">
        <v>17</v>
      </c>
      <c r="D512" s="4">
        <v>28</v>
      </c>
      <c r="E512" s="4" t="s">
        <v>32</v>
      </c>
      <c r="F512" s="4" t="str">
        <f>"周新宇"</f>
        <v>周新宇</v>
      </c>
      <c r="G512" s="4" t="str">
        <f t="shared" si="21"/>
        <v>女</v>
      </c>
      <c r="H512" s="4" t="str">
        <f>"1996-03-03"</f>
        <v>1996-03-03</v>
      </c>
      <c r="I512" s="4">
        <v>73.9</v>
      </c>
      <c r="J512" s="5"/>
    </row>
    <row r="513" spans="1:10">
      <c r="A513" s="4">
        <v>509</v>
      </c>
      <c r="B513" s="4" t="str">
        <f>"20205111729"</f>
        <v>20205111729</v>
      </c>
      <c r="C513" s="4">
        <v>17</v>
      </c>
      <c r="D513" s="4">
        <v>29</v>
      </c>
      <c r="E513" s="4" t="s">
        <v>32</v>
      </c>
      <c r="F513" s="4" t="str">
        <f>"姬道欣"</f>
        <v>姬道欣</v>
      </c>
      <c r="G513" s="4" t="str">
        <f t="shared" si="21"/>
        <v>女</v>
      </c>
      <c r="H513" s="4" t="str">
        <f>"1996-11-12"</f>
        <v>1996-11-12</v>
      </c>
      <c r="I513" s="4">
        <v>53</v>
      </c>
      <c r="J513" s="5"/>
    </row>
    <row r="514" spans="1:10">
      <c r="A514" s="4">
        <v>510</v>
      </c>
      <c r="B514" s="4" t="str">
        <f>"20205111730"</f>
        <v>20205111730</v>
      </c>
      <c r="C514" s="4">
        <v>17</v>
      </c>
      <c r="D514" s="4">
        <v>30</v>
      </c>
      <c r="E514" s="4" t="s">
        <v>32</v>
      </c>
      <c r="F514" s="4" t="str">
        <f>"王孟遥"</f>
        <v>王孟遥</v>
      </c>
      <c r="G514" s="4" t="str">
        <f t="shared" si="21"/>
        <v>女</v>
      </c>
      <c r="H514" s="4" t="str">
        <f>"1995-11-04"</f>
        <v>1995-11-04</v>
      </c>
      <c r="I514" s="4" t="s">
        <v>12</v>
      </c>
      <c r="J514" s="5"/>
    </row>
    <row r="515" spans="1:10">
      <c r="A515" s="4">
        <v>511</v>
      </c>
      <c r="B515" s="4" t="str">
        <f>"20205111801"</f>
        <v>20205111801</v>
      </c>
      <c r="C515" s="4">
        <v>18</v>
      </c>
      <c r="D515" s="4">
        <v>1</v>
      </c>
      <c r="E515" s="4" t="s">
        <v>32</v>
      </c>
      <c r="F515" s="4" t="str">
        <f>"武雪"</f>
        <v>武雪</v>
      </c>
      <c r="G515" s="4" t="str">
        <f t="shared" si="21"/>
        <v>女</v>
      </c>
      <c r="H515" s="4" t="str">
        <f>"1998-03-19"</f>
        <v>1998-03-19</v>
      </c>
      <c r="I515" s="4" t="s">
        <v>12</v>
      </c>
      <c r="J515" s="5"/>
    </row>
    <row r="516" spans="1:10">
      <c r="A516" s="4">
        <v>512</v>
      </c>
      <c r="B516" s="4" t="str">
        <f>"20205111802"</f>
        <v>20205111802</v>
      </c>
      <c r="C516" s="4">
        <v>18</v>
      </c>
      <c r="D516" s="4">
        <v>2</v>
      </c>
      <c r="E516" s="4" t="s">
        <v>32</v>
      </c>
      <c r="F516" s="4" t="str">
        <f>"杨梦楠"</f>
        <v>杨梦楠</v>
      </c>
      <c r="G516" s="4" t="str">
        <f t="shared" si="21"/>
        <v>女</v>
      </c>
      <c r="H516" s="4" t="str">
        <f>"1998-03-30"</f>
        <v>1998-03-30</v>
      </c>
      <c r="I516" s="4">
        <v>62.4</v>
      </c>
      <c r="J516" s="5"/>
    </row>
    <row r="517" spans="1:10">
      <c r="A517" s="4">
        <v>513</v>
      </c>
      <c r="B517" s="4" t="str">
        <f>"20205111803"</f>
        <v>20205111803</v>
      </c>
      <c r="C517" s="4">
        <v>18</v>
      </c>
      <c r="D517" s="4">
        <v>3</v>
      </c>
      <c r="E517" s="4" t="s">
        <v>32</v>
      </c>
      <c r="F517" s="4" t="str">
        <f>"赵艳鑫"</f>
        <v>赵艳鑫</v>
      </c>
      <c r="G517" s="4" t="str">
        <f t="shared" si="21"/>
        <v>女</v>
      </c>
      <c r="H517" s="4" t="str">
        <f>"1998-10-21"</f>
        <v>1998-10-21</v>
      </c>
      <c r="I517" s="4">
        <v>56.2</v>
      </c>
      <c r="J517" s="5"/>
    </row>
    <row r="518" spans="1:10">
      <c r="A518" s="4">
        <v>514</v>
      </c>
      <c r="B518" s="4" t="str">
        <f>"20205111804"</f>
        <v>20205111804</v>
      </c>
      <c r="C518" s="4">
        <v>18</v>
      </c>
      <c r="D518" s="4">
        <v>4</v>
      </c>
      <c r="E518" s="4" t="s">
        <v>32</v>
      </c>
      <c r="F518" s="4" t="str">
        <f>"王子美"</f>
        <v>王子美</v>
      </c>
      <c r="G518" s="4" t="str">
        <f t="shared" si="21"/>
        <v>女</v>
      </c>
      <c r="H518" s="4" t="str">
        <f>"1996-02-01"</f>
        <v>1996-02-01</v>
      </c>
      <c r="I518" s="4" t="s">
        <v>12</v>
      </c>
      <c r="J518" s="5"/>
    </row>
    <row r="519" spans="1:10">
      <c r="A519" s="4">
        <v>515</v>
      </c>
      <c r="B519" s="4" t="str">
        <f>"20205111805"</f>
        <v>20205111805</v>
      </c>
      <c r="C519" s="4">
        <v>18</v>
      </c>
      <c r="D519" s="4">
        <v>5</v>
      </c>
      <c r="E519" s="4" t="s">
        <v>32</v>
      </c>
      <c r="F519" s="4" t="str">
        <f>"李晓艳"</f>
        <v>李晓艳</v>
      </c>
      <c r="G519" s="4" t="str">
        <f t="shared" si="21"/>
        <v>女</v>
      </c>
      <c r="H519" s="4" t="str">
        <f>"1995-03-23"</f>
        <v>1995-03-23</v>
      </c>
      <c r="I519" s="4">
        <v>70.7</v>
      </c>
      <c r="J519" s="5"/>
    </row>
    <row r="520" spans="1:10">
      <c r="A520" s="4">
        <v>516</v>
      </c>
      <c r="B520" s="4" t="str">
        <f>"20205111806"</f>
        <v>20205111806</v>
      </c>
      <c r="C520" s="4">
        <v>18</v>
      </c>
      <c r="D520" s="4">
        <v>6</v>
      </c>
      <c r="E520" s="4" t="s">
        <v>32</v>
      </c>
      <c r="F520" s="4" t="str">
        <f>"刘桐均"</f>
        <v>刘桐均</v>
      </c>
      <c r="G520" s="4" t="str">
        <f t="shared" si="21"/>
        <v>女</v>
      </c>
      <c r="H520" s="4" t="str">
        <f>"1998-10-05"</f>
        <v>1998-10-05</v>
      </c>
      <c r="I520" s="4">
        <v>63.8</v>
      </c>
      <c r="J520" s="5"/>
    </row>
    <row r="521" spans="1:10">
      <c r="A521" s="4">
        <v>517</v>
      </c>
      <c r="B521" s="4" t="str">
        <f>"20205111807"</f>
        <v>20205111807</v>
      </c>
      <c r="C521" s="4">
        <v>18</v>
      </c>
      <c r="D521" s="4">
        <v>7</v>
      </c>
      <c r="E521" s="4" t="s">
        <v>32</v>
      </c>
      <c r="F521" s="4" t="str">
        <f>"王香盈"</f>
        <v>王香盈</v>
      </c>
      <c r="G521" s="4" t="str">
        <f t="shared" si="21"/>
        <v>女</v>
      </c>
      <c r="H521" s="4" t="str">
        <f>"1996-08-01"</f>
        <v>1996-08-01</v>
      </c>
      <c r="I521" s="4">
        <v>42.5</v>
      </c>
      <c r="J521" s="5"/>
    </row>
    <row r="522" spans="1:10">
      <c r="A522" s="4">
        <v>518</v>
      </c>
      <c r="B522" s="4" t="str">
        <f>"20205111808"</f>
        <v>20205111808</v>
      </c>
      <c r="C522" s="4">
        <v>18</v>
      </c>
      <c r="D522" s="4">
        <v>8</v>
      </c>
      <c r="E522" s="4" t="s">
        <v>32</v>
      </c>
      <c r="F522" s="4" t="str">
        <f>"姜峰"</f>
        <v>姜峰</v>
      </c>
      <c r="G522" s="4" t="str">
        <f t="shared" si="21"/>
        <v>女</v>
      </c>
      <c r="H522" s="4" t="str">
        <f>"1998-03-08"</f>
        <v>1998-03-08</v>
      </c>
      <c r="I522" s="4">
        <v>48</v>
      </c>
      <c r="J522" s="5"/>
    </row>
    <row r="523" spans="1:10">
      <c r="A523" s="4">
        <v>519</v>
      </c>
      <c r="B523" s="4" t="str">
        <f>"20205111809"</f>
        <v>20205111809</v>
      </c>
      <c r="C523" s="4">
        <v>18</v>
      </c>
      <c r="D523" s="4">
        <v>9</v>
      </c>
      <c r="E523" s="4" t="s">
        <v>32</v>
      </c>
      <c r="F523" s="4" t="str">
        <f>"付起"</f>
        <v>付起</v>
      </c>
      <c r="G523" s="4" t="str">
        <f t="shared" si="21"/>
        <v>女</v>
      </c>
      <c r="H523" s="4" t="str">
        <f>"1995-08-01"</f>
        <v>1995-08-01</v>
      </c>
      <c r="I523" s="4" t="s">
        <v>12</v>
      </c>
      <c r="J523" s="5"/>
    </row>
    <row r="524" spans="1:10">
      <c r="A524" s="4">
        <v>520</v>
      </c>
      <c r="B524" s="4" t="str">
        <f>"20205111810"</f>
        <v>20205111810</v>
      </c>
      <c r="C524" s="4">
        <v>18</v>
      </c>
      <c r="D524" s="4">
        <v>10</v>
      </c>
      <c r="E524" s="4" t="s">
        <v>32</v>
      </c>
      <c r="F524" s="4" t="str">
        <f>"谢方良"</f>
        <v>谢方良</v>
      </c>
      <c r="G524" s="4" t="str">
        <f t="shared" si="21"/>
        <v>女</v>
      </c>
      <c r="H524" s="4" t="str">
        <f>"1997-04-01"</f>
        <v>1997-04-01</v>
      </c>
      <c r="I524" s="4" t="s">
        <v>12</v>
      </c>
      <c r="J524" s="5"/>
    </row>
    <row r="525" spans="1:10">
      <c r="A525" s="4">
        <v>521</v>
      </c>
      <c r="B525" s="4" t="str">
        <f>"20205111811"</f>
        <v>20205111811</v>
      </c>
      <c r="C525" s="4">
        <v>18</v>
      </c>
      <c r="D525" s="4">
        <v>11</v>
      </c>
      <c r="E525" s="4" t="s">
        <v>32</v>
      </c>
      <c r="F525" s="4" t="str">
        <f>"李珊珊"</f>
        <v>李珊珊</v>
      </c>
      <c r="G525" s="4" t="str">
        <f t="shared" si="21"/>
        <v>女</v>
      </c>
      <c r="H525" s="4" t="str">
        <f>"1998-08-27"</f>
        <v>1998-08-27</v>
      </c>
      <c r="I525" s="4" t="s">
        <v>12</v>
      </c>
      <c r="J525" s="5"/>
    </row>
    <row r="526" spans="1:10">
      <c r="A526" s="4">
        <v>522</v>
      </c>
      <c r="B526" s="4" t="str">
        <f>"20205111812"</f>
        <v>20205111812</v>
      </c>
      <c r="C526" s="4">
        <v>18</v>
      </c>
      <c r="D526" s="4">
        <v>12</v>
      </c>
      <c r="E526" s="4" t="s">
        <v>32</v>
      </c>
      <c r="F526" s="4" t="str">
        <f>"白雪"</f>
        <v>白雪</v>
      </c>
      <c r="G526" s="4" t="str">
        <f t="shared" si="21"/>
        <v>女</v>
      </c>
      <c r="H526" s="4" t="str">
        <f>"1996-02-15"</f>
        <v>1996-02-15</v>
      </c>
      <c r="I526" s="4" t="s">
        <v>12</v>
      </c>
      <c r="J526" s="5"/>
    </row>
    <row r="527" spans="1:10">
      <c r="A527" s="4">
        <v>523</v>
      </c>
      <c r="B527" s="4" t="str">
        <f>"20205111813"</f>
        <v>20205111813</v>
      </c>
      <c r="C527" s="4">
        <v>18</v>
      </c>
      <c r="D527" s="4">
        <v>13</v>
      </c>
      <c r="E527" s="4" t="s">
        <v>32</v>
      </c>
      <c r="F527" s="4" t="str">
        <f>"何源"</f>
        <v>何源</v>
      </c>
      <c r="G527" s="4" t="str">
        <f>"男"</f>
        <v>男</v>
      </c>
      <c r="H527" s="4" t="str">
        <f>"1997-07-14"</f>
        <v>1997-07-14</v>
      </c>
      <c r="I527" s="4">
        <v>70.8</v>
      </c>
      <c r="J527" s="5"/>
    </row>
    <row r="528" spans="1:10">
      <c r="A528" s="4">
        <v>524</v>
      </c>
      <c r="B528" s="4" t="str">
        <f>"20205111814"</f>
        <v>20205111814</v>
      </c>
      <c r="C528" s="4">
        <v>18</v>
      </c>
      <c r="D528" s="4">
        <v>14</v>
      </c>
      <c r="E528" s="4" t="s">
        <v>32</v>
      </c>
      <c r="F528" s="4" t="str">
        <f>"刘洋婷"</f>
        <v>刘洋婷</v>
      </c>
      <c r="G528" s="4" t="str">
        <f t="shared" ref="G528:G533" si="22">"女"</f>
        <v>女</v>
      </c>
      <c r="H528" s="4" t="str">
        <f>"1998-08-10"</f>
        <v>1998-08-10</v>
      </c>
      <c r="I528" s="4">
        <v>66</v>
      </c>
      <c r="J528" s="5"/>
    </row>
    <row r="529" spans="1:10">
      <c r="A529" s="4">
        <v>525</v>
      </c>
      <c r="B529" s="4" t="str">
        <f>"20205111815"</f>
        <v>20205111815</v>
      </c>
      <c r="C529" s="4">
        <v>18</v>
      </c>
      <c r="D529" s="4">
        <v>15</v>
      </c>
      <c r="E529" s="4" t="s">
        <v>32</v>
      </c>
      <c r="F529" s="4" t="str">
        <f>"曹梦冰"</f>
        <v>曹梦冰</v>
      </c>
      <c r="G529" s="4" t="str">
        <f t="shared" si="22"/>
        <v>女</v>
      </c>
      <c r="H529" s="4" t="str">
        <f>"1996-10-25"</f>
        <v>1996-10-25</v>
      </c>
      <c r="I529" s="4">
        <v>52</v>
      </c>
      <c r="J529" s="5"/>
    </row>
    <row r="530" spans="1:10">
      <c r="A530" s="4">
        <v>526</v>
      </c>
      <c r="B530" s="4" t="str">
        <f>"20205111816"</f>
        <v>20205111816</v>
      </c>
      <c r="C530" s="4">
        <v>18</v>
      </c>
      <c r="D530" s="4">
        <v>16</v>
      </c>
      <c r="E530" s="4" t="s">
        <v>32</v>
      </c>
      <c r="F530" s="4" t="str">
        <f>"龙朝霞"</f>
        <v>龙朝霞</v>
      </c>
      <c r="G530" s="4" t="str">
        <f t="shared" si="22"/>
        <v>女</v>
      </c>
      <c r="H530" s="4" t="str">
        <f>"1996-06-25"</f>
        <v>1996-06-25</v>
      </c>
      <c r="I530" s="4">
        <v>66.3</v>
      </c>
      <c r="J530" s="5"/>
    </row>
    <row r="531" spans="1:10">
      <c r="A531" s="4">
        <v>527</v>
      </c>
      <c r="B531" s="4" t="str">
        <f>"20205111817"</f>
        <v>20205111817</v>
      </c>
      <c r="C531" s="4">
        <v>18</v>
      </c>
      <c r="D531" s="4">
        <v>17</v>
      </c>
      <c r="E531" s="4" t="s">
        <v>32</v>
      </c>
      <c r="F531" s="4" t="str">
        <f>"梁婷"</f>
        <v>梁婷</v>
      </c>
      <c r="G531" s="4" t="str">
        <f t="shared" si="22"/>
        <v>女</v>
      </c>
      <c r="H531" s="4" t="str">
        <f>"1997-08-07"</f>
        <v>1997-08-07</v>
      </c>
      <c r="I531" s="4" t="s">
        <v>12</v>
      </c>
      <c r="J531" s="5"/>
    </row>
    <row r="532" spans="1:10">
      <c r="A532" s="4">
        <v>528</v>
      </c>
      <c r="B532" s="4" t="str">
        <f>"20205111818"</f>
        <v>20205111818</v>
      </c>
      <c r="C532" s="4">
        <v>18</v>
      </c>
      <c r="D532" s="4">
        <v>18</v>
      </c>
      <c r="E532" s="4" t="s">
        <v>32</v>
      </c>
      <c r="F532" s="4" t="str">
        <f>"张铂璇"</f>
        <v>张铂璇</v>
      </c>
      <c r="G532" s="4" t="str">
        <f t="shared" si="22"/>
        <v>女</v>
      </c>
      <c r="H532" s="4" t="str">
        <f>"1997-05-24"</f>
        <v>1997-05-24</v>
      </c>
      <c r="I532" s="4" t="s">
        <v>12</v>
      </c>
      <c r="J532" s="5"/>
    </row>
    <row r="533" spans="1:10">
      <c r="A533" s="4">
        <v>529</v>
      </c>
      <c r="B533" s="4" t="str">
        <f>"20205111819"</f>
        <v>20205111819</v>
      </c>
      <c r="C533" s="4">
        <v>18</v>
      </c>
      <c r="D533" s="4">
        <v>19</v>
      </c>
      <c r="E533" s="4" t="s">
        <v>32</v>
      </c>
      <c r="F533" s="4" t="str">
        <f>"梁萌萌"</f>
        <v>梁萌萌</v>
      </c>
      <c r="G533" s="4" t="str">
        <f t="shared" si="22"/>
        <v>女</v>
      </c>
      <c r="H533" s="4" t="str">
        <f>"1999-12-05"</f>
        <v>1999-12-05</v>
      </c>
      <c r="I533" s="4" t="s">
        <v>12</v>
      </c>
      <c r="J533" s="5"/>
    </row>
    <row r="534" spans="1:10">
      <c r="A534" s="4">
        <v>530</v>
      </c>
      <c r="B534" s="4" t="str">
        <f>"20205111820"</f>
        <v>20205111820</v>
      </c>
      <c r="C534" s="4">
        <v>18</v>
      </c>
      <c r="D534" s="4">
        <v>20</v>
      </c>
      <c r="E534" s="4" t="s">
        <v>32</v>
      </c>
      <c r="F534" s="4" t="str">
        <f>"王锦涛"</f>
        <v>王锦涛</v>
      </c>
      <c r="G534" s="4" t="str">
        <f>"男"</f>
        <v>男</v>
      </c>
      <c r="H534" s="4" t="str">
        <f>"1997-12-15"</f>
        <v>1997-12-15</v>
      </c>
      <c r="I534" s="4">
        <v>69.4</v>
      </c>
      <c r="J534" s="5"/>
    </row>
    <row r="535" spans="1:10">
      <c r="A535" s="4">
        <v>531</v>
      </c>
      <c r="B535" s="4" t="str">
        <f>"20205111821"</f>
        <v>20205111821</v>
      </c>
      <c r="C535" s="4">
        <v>18</v>
      </c>
      <c r="D535" s="4">
        <v>21</v>
      </c>
      <c r="E535" s="4" t="s">
        <v>32</v>
      </c>
      <c r="F535" s="4" t="str">
        <f>"卢二婷"</f>
        <v>卢二婷</v>
      </c>
      <c r="G535" s="4" t="str">
        <f>"女"</f>
        <v>女</v>
      </c>
      <c r="H535" s="4" t="str">
        <f>"1991-12-26"</f>
        <v>1991-12-26</v>
      </c>
      <c r="I535" s="4" t="s">
        <v>12</v>
      </c>
      <c r="J535" s="5"/>
    </row>
    <row r="536" spans="1:10">
      <c r="A536" s="4">
        <v>532</v>
      </c>
      <c r="B536" s="4" t="str">
        <f>"20205111822"</f>
        <v>20205111822</v>
      </c>
      <c r="C536" s="4">
        <v>18</v>
      </c>
      <c r="D536" s="4">
        <v>22</v>
      </c>
      <c r="E536" s="4" t="s">
        <v>32</v>
      </c>
      <c r="F536" s="4" t="str">
        <f>"潘若琳"</f>
        <v>潘若琳</v>
      </c>
      <c r="G536" s="4" t="str">
        <f>"女"</f>
        <v>女</v>
      </c>
      <c r="H536" s="4" t="str">
        <f>"1996-09-17"</f>
        <v>1996-09-17</v>
      </c>
      <c r="I536" s="4" t="s">
        <v>12</v>
      </c>
      <c r="J536" s="5"/>
    </row>
    <row r="537" spans="1:10">
      <c r="A537" s="4">
        <v>533</v>
      </c>
      <c r="B537" s="4" t="str">
        <f>"20205111823"</f>
        <v>20205111823</v>
      </c>
      <c r="C537" s="4">
        <v>18</v>
      </c>
      <c r="D537" s="4">
        <v>23</v>
      </c>
      <c r="E537" s="4" t="s">
        <v>32</v>
      </c>
      <c r="F537" s="4" t="str">
        <f>"兰建洋"</f>
        <v>兰建洋</v>
      </c>
      <c r="G537" s="4" t="str">
        <f>"男"</f>
        <v>男</v>
      </c>
      <c r="H537" s="4" t="str">
        <f>"1995-05-10"</f>
        <v>1995-05-10</v>
      </c>
      <c r="I537" s="4" t="s">
        <v>12</v>
      </c>
      <c r="J537" s="5"/>
    </row>
    <row r="538" spans="1:10">
      <c r="A538" s="4">
        <v>534</v>
      </c>
      <c r="B538" s="4" t="str">
        <f>"20205111824"</f>
        <v>20205111824</v>
      </c>
      <c r="C538" s="4">
        <v>18</v>
      </c>
      <c r="D538" s="4">
        <v>24</v>
      </c>
      <c r="E538" s="4" t="s">
        <v>32</v>
      </c>
      <c r="F538" s="4" t="str">
        <f>"杨贺霞"</f>
        <v>杨贺霞</v>
      </c>
      <c r="G538" s="4" t="str">
        <f>"女"</f>
        <v>女</v>
      </c>
      <c r="H538" s="4" t="str">
        <f>"1993-01-11"</f>
        <v>1993-01-11</v>
      </c>
      <c r="I538" s="4">
        <v>60.9</v>
      </c>
      <c r="J538" s="5"/>
    </row>
    <row r="539" spans="1:10">
      <c r="A539" s="4">
        <v>535</v>
      </c>
      <c r="B539" s="4" t="str">
        <f>"20205111825"</f>
        <v>20205111825</v>
      </c>
      <c r="C539" s="4">
        <v>18</v>
      </c>
      <c r="D539" s="4">
        <v>25</v>
      </c>
      <c r="E539" s="4" t="s">
        <v>32</v>
      </c>
      <c r="F539" s="4" t="str">
        <f>"张上"</f>
        <v>张上</v>
      </c>
      <c r="G539" s="4" t="str">
        <f>"男"</f>
        <v>男</v>
      </c>
      <c r="H539" s="4" t="str">
        <f>"1997-05-03"</f>
        <v>1997-05-03</v>
      </c>
      <c r="I539" s="4">
        <v>54.3</v>
      </c>
      <c r="J539" s="5"/>
    </row>
    <row r="540" spans="1:10">
      <c r="A540" s="4">
        <v>536</v>
      </c>
      <c r="B540" s="4" t="str">
        <f>"20205111826"</f>
        <v>20205111826</v>
      </c>
      <c r="C540" s="4">
        <v>18</v>
      </c>
      <c r="D540" s="4">
        <v>26</v>
      </c>
      <c r="E540" s="4" t="s">
        <v>32</v>
      </c>
      <c r="F540" s="4" t="str">
        <f>"郭媛媛"</f>
        <v>郭媛媛</v>
      </c>
      <c r="G540" s="4" t="str">
        <f t="shared" ref="G540:G545" si="23">"女"</f>
        <v>女</v>
      </c>
      <c r="H540" s="4" t="str">
        <f>"1999-01-03"</f>
        <v>1999-01-03</v>
      </c>
      <c r="I540" s="4">
        <v>70.1</v>
      </c>
      <c r="J540" s="5"/>
    </row>
    <row r="541" spans="1:10">
      <c r="A541" s="4">
        <v>537</v>
      </c>
      <c r="B541" s="4" t="str">
        <f>"20205111827"</f>
        <v>20205111827</v>
      </c>
      <c r="C541" s="4">
        <v>18</v>
      </c>
      <c r="D541" s="4">
        <v>27</v>
      </c>
      <c r="E541" s="4" t="s">
        <v>32</v>
      </c>
      <c r="F541" s="4" t="str">
        <f>"闫升"</f>
        <v>闫升</v>
      </c>
      <c r="G541" s="4" t="str">
        <f t="shared" si="23"/>
        <v>女</v>
      </c>
      <c r="H541" s="4" t="str">
        <f>"1997-04-17"</f>
        <v>1997-04-17</v>
      </c>
      <c r="I541" s="4">
        <v>65.5</v>
      </c>
      <c r="J541" s="5"/>
    </row>
    <row r="542" spans="1:10">
      <c r="A542" s="4">
        <v>538</v>
      </c>
      <c r="B542" s="4" t="str">
        <f>"20205111828"</f>
        <v>20205111828</v>
      </c>
      <c r="C542" s="4">
        <v>18</v>
      </c>
      <c r="D542" s="4">
        <v>28</v>
      </c>
      <c r="E542" s="4" t="s">
        <v>32</v>
      </c>
      <c r="F542" s="4" t="str">
        <f>"王霜"</f>
        <v>王霜</v>
      </c>
      <c r="G542" s="4" t="str">
        <f t="shared" si="23"/>
        <v>女</v>
      </c>
      <c r="H542" s="4" t="str">
        <f>"1996-10-02"</f>
        <v>1996-10-02</v>
      </c>
      <c r="I542" s="4">
        <v>58</v>
      </c>
      <c r="J542" s="5"/>
    </row>
    <row r="543" spans="1:10">
      <c r="A543" s="4">
        <v>539</v>
      </c>
      <c r="B543" s="4" t="str">
        <f>"20205111829"</f>
        <v>20205111829</v>
      </c>
      <c r="C543" s="4">
        <v>18</v>
      </c>
      <c r="D543" s="4">
        <v>29</v>
      </c>
      <c r="E543" s="4" t="s">
        <v>32</v>
      </c>
      <c r="F543" s="4" t="str">
        <f>"雷锐"</f>
        <v>雷锐</v>
      </c>
      <c r="G543" s="4" t="str">
        <f t="shared" si="23"/>
        <v>女</v>
      </c>
      <c r="H543" s="4" t="str">
        <f>"1998-10-26"</f>
        <v>1998-10-26</v>
      </c>
      <c r="I543" s="4" t="s">
        <v>12</v>
      </c>
      <c r="J543" s="5"/>
    </row>
    <row r="544" spans="1:10">
      <c r="A544" s="4">
        <v>540</v>
      </c>
      <c r="B544" s="4" t="str">
        <f>"20205111830"</f>
        <v>20205111830</v>
      </c>
      <c r="C544" s="4">
        <v>18</v>
      </c>
      <c r="D544" s="4">
        <v>30</v>
      </c>
      <c r="E544" s="4" t="s">
        <v>32</v>
      </c>
      <c r="F544" s="4" t="str">
        <f>"王锐"</f>
        <v>王锐</v>
      </c>
      <c r="G544" s="4" t="str">
        <f t="shared" si="23"/>
        <v>女</v>
      </c>
      <c r="H544" s="4" t="str">
        <f>"1997-06-01"</f>
        <v>1997-06-01</v>
      </c>
      <c r="I544" s="4" t="s">
        <v>12</v>
      </c>
      <c r="J544" s="5"/>
    </row>
    <row r="545" spans="1:10">
      <c r="A545" s="4">
        <v>541</v>
      </c>
      <c r="B545" s="4" t="str">
        <f>"20205211901"</f>
        <v>20205211901</v>
      </c>
      <c r="C545" s="4">
        <v>19</v>
      </c>
      <c r="D545" s="4">
        <v>1</v>
      </c>
      <c r="E545" s="4" t="s">
        <v>33</v>
      </c>
      <c r="F545" s="4" t="str">
        <f>"王珂"</f>
        <v>王珂</v>
      </c>
      <c r="G545" s="4" t="str">
        <f t="shared" si="23"/>
        <v>女</v>
      </c>
      <c r="H545" s="4" t="str">
        <f>"1996-10-27"</f>
        <v>1996-10-27</v>
      </c>
      <c r="I545" s="4">
        <v>26.1</v>
      </c>
      <c r="J545" s="5"/>
    </row>
    <row r="546" spans="1:10">
      <c r="A546" s="4">
        <v>542</v>
      </c>
      <c r="B546" s="4" t="str">
        <f>"20205211902"</f>
        <v>20205211902</v>
      </c>
      <c r="C546" s="4">
        <v>19</v>
      </c>
      <c r="D546" s="4">
        <v>2</v>
      </c>
      <c r="E546" s="4" t="s">
        <v>33</v>
      </c>
      <c r="F546" s="4" t="str">
        <f>"王琨博"</f>
        <v>王琨博</v>
      </c>
      <c r="G546" s="4" t="str">
        <f>"男"</f>
        <v>男</v>
      </c>
      <c r="H546" s="4" t="str">
        <f>"1995-11-23"</f>
        <v>1995-11-23</v>
      </c>
      <c r="I546" s="4">
        <v>83.6</v>
      </c>
      <c r="J546" s="5"/>
    </row>
    <row r="547" spans="1:10">
      <c r="A547" s="4">
        <v>543</v>
      </c>
      <c r="B547" s="4" t="str">
        <f>"20205211903"</f>
        <v>20205211903</v>
      </c>
      <c r="C547" s="4">
        <v>19</v>
      </c>
      <c r="D547" s="4">
        <v>3</v>
      </c>
      <c r="E547" s="4" t="s">
        <v>33</v>
      </c>
      <c r="F547" s="4" t="str">
        <f>"庄冰"</f>
        <v>庄冰</v>
      </c>
      <c r="G547" s="4" t="str">
        <f>"女"</f>
        <v>女</v>
      </c>
      <c r="H547" s="4" t="str">
        <f>"1998-09-25"</f>
        <v>1998-09-25</v>
      </c>
      <c r="I547" s="4">
        <v>67.2</v>
      </c>
      <c r="J547" s="5"/>
    </row>
    <row r="548" spans="1:10">
      <c r="A548" s="4">
        <v>544</v>
      </c>
      <c r="B548" s="4" t="str">
        <f>"20205211904"</f>
        <v>20205211904</v>
      </c>
      <c r="C548" s="4">
        <v>19</v>
      </c>
      <c r="D548" s="4">
        <v>4</v>
      </c>
      <c r="E548" s="4" t="s">
        <v>33</v>
      </c>
      <c r="F548" s="4" t="str">
        <f>"路阳"</f>
        <v>路阳</v>
      </c>
      <c r="G548" s="4" t="str">
        <f>"女"</f>
        <v>女</v>
      </c>
      <c r="H548" s="4" t="str">
        <f>"1995-06-23"</f>
        <v>1995-06-23</v>
      </c>
      <c r="I548" s="4">
        <v>68.8</v>
      </c>
      <c r="J548" s="5"/>
    </row>
    <row r="549" spans="1:10">
      <c r="A549" s="4">
        <v>545</v>
      </c>
      <c r="B549" s="4" t="str">
        <f>"20205211905"</f>
        <v>20205211905</v>
      </c>
      <c r="C549" s="4">
        <v>19</v>
      </c>
      <c r="D549" s="4">
        <v>5</v>
      </c>
      <c r="E549" s="4" t="s">
        <v>33</v>
      </c>
      <c r="F549" s="4" t="str">
        <f>"何莹莹"</f>
        <v>何莹莹</v>
      </c>
      <c r="G549" s="4" t="str">
        <f>"女"</f>
        <v>女</v>
      </c>
      <c r="H549" s="4" t="str">
        <f>"1994-01-21"</f>
        <v>1994-01-21</v>
      </c>
      <c r="I549" s="4">
        <v>68.6</v>
      </c>
      <c r="J549" s="5"/>
    </row>
    <row r="550" spans="1:10">
      <c r="A550" s="4">
        <v>546</v>
      </c>
      <c r="B550" s="4" t="str">
        <f>"20205211906"</f>
        <v>20205211906</v>
      </c>
      <c r="C550" s="4">
        <v>19</v>
      </c>
      <c r="D550" s="4">
        <v>6</v>
      </c>
      <c r="E550" s="4" t="s">
        <v>33</v>
      </c>
      <c r="F550" s="4" t="str">
        <f>"黄勤"</f>
        <v>黄勤</v>
      </c>
      <c r="G550" s="4" t="str">
        <f>"男"</f>
        <v>男</v>
      </c>
      <c r="H550" s="4" t="str">
        <f>"1997-01-10"</f>
        <v>1997-01-10</v>
      </c>
      <c r="I550" s="4">
        <v>49.7</v>
      </c>
      <c r="J550" s="5"/>
    </row>
    <row r="551" spans="1:10">
      <c r="A551" s="4">
        <v>547</v>
      </c>
      <c r="B551" s="4" t="str">
        <f>"20205211907"</f>
        <v>20205211907</v>
      </c>
      <c r="C551" s="4">
        <v>19</v>
      </c>
      <c r="D551" s="4">
        <v>7</v>
      </c>
      <c r="E551" s="4" t="s">
        <v>33</v>
      </c>
      <c r="F551" s="4" t="str">
        <f>"任良涛"</f>
        <v>任良涛</v>
      </c>
      <c r="G551" s="4" t="str">
        <f>"男"</f>
        <v>男</v>
      </c>
      <c r="H551" s="4" t="str">
        <f>"1998-03-23"</f>
        <v>1998-03-23</v>
      </c>
      <c r="I551" s="4">
        <v>60.7</v>
      </c>
      <c r="J551" s="5"/>
    </row>
    <row r="552" spans="1:10">
      <c r="A552" s="4">
        <v>548</v>
      </c>
      <c r="B552" s="4" t="str">
        <f>"20205211908"</f>
        <v>20205211908</v>
      </c>
      <c r="C552" s="4">
        <v>19</v>
      </c>
      <c r="D552" s="4">
        <v>8</v>
      </c>
      <c r="E552" s="4" t="s">
        <v>33</v>
      </c>
      <c r="F552" s="4" t="str">
        <f>"杨阳"</f>
        <v>杨阳</v>
      </c>
      <c r="G552" s="4" t="str">
        <f t="shared" ref="G552:G562" si="24">"女"</f>
        <v>女</v>
      </c>
      <c r="H552" s="4" t="str">
        <f>"1996-09-24"</f>
        <v>1996-09-24</v>
      </c>
      <c r="I552" s="4" t="s">
        <v>12</v>
      </c>
      <c r="J552" s="5"/>
    </row>
    <row r="553" spans="1:10">
      <c r="A553" s="4">
        <v>549</v>
      </c>
      <c r="B553" s="4" t="str">
        <f>"20205211909"</f>
        <v>20205211909</v>
      </c>
      <c r="C553" s="4">
        <v>19</v>
      </c>
      <c r="D553" s="4">
        <v>9</v>
      </c>
      <c r="E553" s="4" t="s">
        <v>33</v>
      </c>
      <c r="F553" s="4" t="str">
        <f>"张春燕"</f>
        <v>张春燕</v>
      </c>
      <c r="G553" s="4" t="str">
        <f t="shared" si="24"/>
        <v>女</v>
      </c>
      <c r="H553" s="4" t="str">
        <f>"1996-02-03"</f>
        <v>1996-02-03</v>
      </c>
      <c r="I553" s="4" t="s">
        <v>12</v>
      </c>
      <c r="J553" s="5"/>
    </row>
    <row r="554" spans="1:10">
      <c r="A554" s="4">
        <v>550</v>
      </c>
      <c r="B554" s="4" t="str">
        <f>"20205211910"</f>
        <v>20205211910</v>
      </c>
      <c r="C554" s="4">
        <v>19</v>
      </c>
      <c r="D554" s="4">
        <v>10</v>
      </c>
      <c r="E554" s="4" t="s">
        <v>33</v>
      </c>
      <c r="F554" s="4" t="str">
        <f>"刘亚鑫"</f>
        <v>刘亚鑫</v>
      </c>
      <c r="G554" s="4" t="str">
        <f t="shared" si="24"/>
        <v>女</v>
      </c>
      <c r="H554" s="4" t="str">
        <f>"1996-12-27"</f>
        <v>1996-12-27</v>
      </c>
      <c r="I554" s="4">
        <v>74.5</v>
      </c>
      <c r="J554" s="5"/>
    </row>
    <row r="555" spans="1:10">
      <c r="A555" s="4">
        <v>551</v>
      </c>
      <c r="B555" s="4" t="str">
        <f>"20205211911"</f>
        <v>20205211911</v>
      </c>
      <c r="C555" s="4">
        <v>19</v>
      </c>
      <c r="D555" s="4">
        <v>11</v>
      </c>
      <c r="E555" s="4" t="s">
        <v>33</v>
      </c>
      <c r="F555" s="4" t="str">
        <f>"周倩"</f>
        <v>周倩</v>
      </c>
      <c r="G555" s="4" t="str">
        <f t="shared" si="24"/>
        <v>女</v>
      </c>
      <c r="H555" s="4" t="str">
        <f>"1998-06-05"</f>
        <v>1998-06-05</v>
      </c>
      <c r="I555" s="4" t="s">
        <v>12</v>
      </c>
      <c r="J555" s="5"/>
    </row>
    <row r="556" spans="1:10">
      <c r="A556" s="4">
        <v>552</v>
      </c>
      <c r="B556" s="4" t="str">
        <f>"20205211912"</f>
        <v>20205211912</v>
      </c>
      <c r="C556" s="4">
        <v>19</v>
      </c>
      <c r="D556" s="4">
        <v>12</v>
      </c>
      <c r="E556" s="4" t="s">
        <v>33</v>
      </c>
      <c r="F556" s="4" t="str">
        <f>"张轶萍"</f>
        <v>张轶萍</v>
      </c>
      <c r="G556" s="4" t="str">
        <f t="shared" si="24"/>
        <v>女</v>
      </c>
      <c r="H556" s="4" t="str">
        <f>"1996-03-06"</f>
        <v>1996-03-06</v>
      </c>
      <c r="I556" s="4" t="s">
        <v>12</v>
      </c>
      <c r="J556" s="5"/>
    </row>
    <row r="557" spans="1:10">
      <c r="A557" s="4">
        <v>553</v>
      </c>
      <c r="B557" s="4" t="str">
        <f>"20205211913"</f>
        <v>20205211913</v>
      </c>
      <c r="C557" s="4">
        <v>19</v>
      </c>
      <c r="D557" s="4">
        <v>13</v>
      </c>
      <c r="E557" s="4" t="s">
        <v>33</v>
      </c>
      <c r="F557" s="4" t="str">
        <f>"郭玲"</f>
        <v>郭玲</v>
      </c>
      <c r="G557" s="4" t="str">
        <f t="shared" si="24"/>
        <v>女</v>
      </c>
      <c r="H557" s="4" t="str">
        <f>"1998-07-17"</f>
        <v>1998-07-17</v>
      </c>
      <c r="I557" s="4">
        <v>60.7</v>
      </c>
      <c r="J557" s="5"/>
    </row>
    <row r="558" spans="1:10">
      <c r="A558" s="4">
        <v>554</v>
      </c>
      <c r="B558" s="4" t="str">
        <f>"20205211914"</f>
        <v>20205211914</v>
      </c>
      <c r="C558" s="4">
        <v>19</v>
      </c>
      <c r="D558" s="4">
        <v>14</v>
      </c>
      <c r="E558" s="4" t="s">
        <v>33</v>
      </c>
      <c r="F558" s="4" t="str">
        <f>"孙小丹"</f>
        <v>孙小丹</v>
      </c>
      <c r="G558" s="4" t="str">
        <f t="shared" si="24"/>
        <v>女</v>
      </c>
      <c r="H558" s="4" t="str">
        <f>"1997-03-29"</f>
        <v>1997-03-29</v>
      </c>
      <c r="I558" s="4" t="s">
        <v>12</v>
      </c>
      <c r="J558" s="5"/>
    </row>
    <row r="559" spans="1:10">
      <c r="A559" s="4">
        <v>555</v>
      </c>
      <c r="B559" s="4" t="str">
        <f>"20205211915"</f>
        <v>20205211915</v>
      </c>
      <c r="C559" s="4">
        <v>19</v>
      </c>
      <c r="D559" s="4">
        <v>15</v>
      </c>
      <c r="E559" s="4" t="s">
        <v>33</v>
      </c>
      <c r="F559" s="4" t="str">
        <f>"刘洁"</f>
        <v>刘洁</v>
      </c>
      <c r="G559" s="4" t="str">
        <f t="shared" si="24"/>
        <v>女</v>
      </c>
      <c r="H559" s="4" t="str">
        <f>"1996-07-04"</f>
        <v>1996-07-04</v>
      </c>
      <c r="I559" s="4">
        <v>75.9</v>
      </c>
      <c r="J559" s="5"/>
    </row>
    <row r="560" spans="1:10">
      <c r="A560" s="4">
        <v>556</v>
      </c>
      <c r="B560" s="4" t="str">
        <f>"20205211916"</f>
        <v>20205211916</v>
      </c>
      <c r="C560" s="4">
        <v>19</v>
      </c>
      <c r="D560" s="4">
        <v>16</v>
      </c>
      <c r="E560" s="4" t="s">
        <v>33</v>
      </c>
      <c r="F560" s="4" t="str">
        <f>"王振梅"</f>
        <v>王振梅</v>
      </c>
      <c r="G560" s="4" t="str">
        <f t="shared" si="24"/>
        <v>女</v>
      </c>
      <c r="H560" s="4" t="str">
        <f>"1997-11-13"</f>
        <v>1997-11-13</v>
      </c>
      <c r="I560" s="4">
        <v>56.3</v>
      </c>
      <c r="J560" s="5"/>
    </row>
    <row r="561" spans="1:10">
      <c r="A561" s="4">
        <v>557</v>
      </c>
      <c r="B561" s="4" t="str">
        <f>"20205211917"</f>
        <v>20205211917</v>
      </c>
      <c r="C561" s="4">
        <v>19</v>
      </c>
      <c r="D561" s="4">
        <v>17</v>
      </c>
      <c r="E561" s="4" t="s">
        <v>33</v>
      </c>
      <c r="F561" s="4" t="str">
        <f>"杨营"</f>
        <v>杨营</v>
      </c>
      <c r="G561" s="4" t="str">
        <f t="shared" si="24"/>
        <v>女</v>
      </c>
      <c r="H561" s="4" t="str">
        <f>"1996-09-10"</f>
        <v>1996-09-10</v>
      </c>
      <c r="I561" s="4">
        <v>58.7</v>
      </c>
      <c r="J561" s="5"/>
    </row>
    <row r="562" spans="1:10">
      <c r="A562" s="4">
        <v>558</v>
      </c>
      <c r="B562" s="4" t="str">
        <f>"20205211918"</f>
        <v>20205211918</v>
      </c>
      <c r="C562" s="4">
        <v>19</v>
      </c>
      <c r="D562" s="4">
        <v>18</v>
      </c>
      <c r="E562" s="4" t="s">
        <v>33</v>
      </c>
      <c r="F562" s="4" t="str">
        <f>"郑瑜"</f>
        <v>郑瑜</v>
      </c>
      <c r="G562" s="4" t="str">
        <f t="shared" si="24"/>
        <v>女</v>
      </c>
      <c r="H562" s="4" t="str">
        <f>"1997-12-21"</f>
        <v>1997-12-21</v>
      </c>
      <c r="I562" s="4">
        <v>78.9</v>
      </c>
      <c r="J562" s="5"/>
    </row>
    <row r="563" spans="1:10">
      <c r="A563" s="4">
        <v>559</v>
      </c>
      <c r="B563" s="4" t="str">
        <f>"20205211919"</f>
        <v>20205211919</v>
      </c>
      <c r="C563" s="4">
        <v>19</v>
      </c>
      <c r="D563" s="4">
        <v>19</v>
      </c>
      <c r="E563" s="4" t="s">
        <v>33</v>
      </c>
      <c r="F563" s="4" t="str">
        <f>"崔文鼎"</f>
        <v>崔文鼎</v>
      </c>
      <c r="G563" s="4" t="str">
        <f>"男"</f>
        <v>男</v>
      </c>
      <c r="H563" s="4" t="str">
        <f>"1996-12-21"</f>
        <v>1996-12-21</v>
      </c>
      <c r="I563" s="4">
        <v>58.7</v>
      </c>
      <c r="J563" s="5"/>
    </row>
    <row r="564" spans="1:10">
      <c r="A564" s="4">
        <v>560</v>
      </c>
      <c r="B564" s="4" t="str">
        <f>"20205211920"</f>
        <v>20205211920</v>
      </c>
      <c r="C564" s="4">
        <v>19</v>
      </c>
      <c r="D564" s="4">
        <v>20</v>
      </c>
      <c r="E564" s="4" t="s">
        <v>33</v>
      </c>
      <c r="F564" s="4" t="str">
        <f>"马璐瑶"</f>
        <v>马璐瑶</v>
      </c>
      <c r="G564" s="4" t="str">
        <f>"女"</f>
        <v>女</v>
      </c>
      <c r="H564" s="4" t="str">
        <f>"1996-06-07"</f>
        <v>1996-06-07</v>
      </c>
      <c r="I564" s="4">
        <v>61.5</v>
      </c>
      <c r="J564" s="5"/>
    </row>
    <row r="565" spans="1:10">
      <c r="A565" s="4">
        <v>561</v>
      </c>
      <c r="B565" s="4" t="str">
        <f>"20205211921"</f>
        <v>20205211921</v>
      </c>
      <c r="C565" s="4">
        <v>19</v>
      </c>
      <c r="D565" s="4">
        <v>21</v>
      </c>
      <c r="E565" s="4" t="s">
        <v>33</v>
      </c>
      <c r="F565" s="4" t="str">
        <f>"张珊"</f>
        <v>张珊</v>
      </c>
      <c r="G565" s="4" t="str">
        <f>"女"</f>
        <v>女</v>
      </c>
      <c r="H565" s="4" t="str">
        <f>"1997-05-02"</f>
        <v>1997-05-02</v>
      </c>
      <c r="I565" s="4">
        <v>75.5</v>
      </c>
      <c r="J565" s="5"/>
    </row>
    <row r="566" spans="1:10">
      <c r="A566" s="4">
        <v>562</v>
      </c>
      <c r="B566" s="4" t="str">
        <f>"20205211922"</f>
        <v>20205211922</v>
      </c>
      <c r="C566" s="4">
        <v>19</v>
      </c>
      <c r="D566" s="4">
        <v>22</v>
      </c>
      <c r="E566" s="4" t="s">
        <v>33</v>
      </c>
      <c r="F566" s="4" t="str">
        <f>"胡雪阳"</f>
        <v>胡雪阳</v>
      </c>
      <c r="G566" s="4" t="str">
        <f>"女"</f>
        <v>女</v>
      </c>
      <c r="H566" s="4" t="str">
        <f>"1995-03-08"</f>
        <v>1995-03-08</v>
      </c>
      <c r="I566" s="4">
        <v>54.8</v>
      </c>
      <c r="J566" s="5"/>
    </row>
    <row r="567" spans="1:10">
      <c r="A567" s="4">
        <v>563</v>
      </c>
      <c r="B567" s="4" t="str">
        <f>"20205211923"</f>
        <v>20205211923</v>
      </c>
      <c r="C567" s="4">
        <v>19</v>
      </c>
      <c r="D567" s="4">
        <v>23</v>
      </c>
      <c r="E567" s="4" t="s">
        <v>33</v>
      </c>
      <c r="F567" s="4" t="str">
        <f>"张莹"</f>
        <v>张莹</v>
      </c>
      <c r="G567" s="4" t="str">
        <f>"女"</f>
        <v>女</v>
      </c>
      <c r="H567" s="4" t="str">
        <f>"1995-10-05"</f>
        <v>1995-10-05</v>
      </c>
      <c r="I567" s="4">
        <v>61.4</v>
      </c>
      <c r="J567" s="5"/>
    </row>
    <row r="568" spans="1:10">
      <c r="A568" s="4">
        <v>564</v>
      </c>
      <c r="B568" s="4" t="str">
        <f>"20205211924"</f>
        <v>20205211924</v>
      </c>
      <c r="C568" s="4">
        <v>19</v>
      </c>
      <c r="D568" s="4">
        <v>24</v>
      </c>
      <c r="E568" s="4" t="s">
        <v>33</v>
      </c>
      <c r="F568" s="4" t="str">
        <f>"张丽丽"</f>
        <v>张丽丽</v>
      </c>
      <c r="G568" s="4" t="str">
        <f>"女"</f>
        <v>女</v>
      </c>
      <c r="H568" s="4" t="str">
        <f>"1992-07-23"</f>
        <v>1992-07-23</v>
      </c>
      <c r="I568" s="4">
        <v>58.7</v>
      </c>
      <c r="J568" s="5"/>
    </row>
    <row r="569" spans="1:10">
      <c r="A569" s="4">
        <v>565</v>
      </c>
      <c r="B569" s="4" t="str">
        <f>"20205211925"</f>
        <v>20205211925</v>
      </c>
      <c r="C569" s="4">
        <v>19</v>
      </c>
      <c r="D569" s="4">
        <v>25</v>
      </c>
      <c r="E569" s="4" t="s">
        <v>33</v>
      </c>
      <c r="F569" s="4" t="str">
        <f>"王平帅"</f>
        <v>王平帅</v>
      </c>
      <c r="G569" s="4" t="str">
        <f>"男"</f>
        <v>男</v>
      </c>
      <c r="H569" s="4" t="str">
        <f>"1994-01-10"</f>
        <v>1994-01-10</v>
      </c>
      <c r="I569" s="4">
        <v>59.5</v>
      </c>
      <c r="J569" s="5"/>
    </row>
    <row r="570" spans="1:10">
      <c r="A570" s="4">
        <v>566</v>
      </c>
      <c r="B570" s="4" t="str">
        <f>"20205211926"</f>
        <v>20205211926</v>
      </c>
      <c r="C570" s="4">
        <v>19</v>
      </c>
      <c r="D570" s="4">
        <v>26</v>
      </c>
      <c r="E570" s="4" t="s">
        <v>33</v>
      </c>
      <c r="F570" s="4" t="str">
        <f>"袁凤婉"</f>
        <v>袁凤婉</v>
      </c>
      <c r="G570" s="4" t="str">
        <f>"女"</f>
        <v>女</v>
      </c>
      <c r="H570" s="4" t="str">
        <f>"1996-07-26"</f>
        <v>1996-07-26</v>
      </c>
      <c r="I570" s="4">
        <v>68.1</v>
      </c>
      <c r="J570" s="5"/>
    </row>
    <row r="571" spans="1:10">
      <c r="A571" s="4">
        <v>567</v>
      </c>
      <c r="B571" s="4" t="str">
        <f>"20205211927"</f>
        <v>20205211927</v>
      </c>
      <c r="C571" s="4">
        <v>19</v>
      </c>
      <c r="D571" s="4">
        <v>27</v>
      </c>
      <c r="E571" s="4" t="s">
        <v>33</v>
      </c>
      <c r="F571" s="4" t="str">
        <f>"李伟"</f>
        <v>李伟</v>
      </c>
      <c r="G571" s="4" t="str">
        <f>"女"</f>
        <v>女</v>
      </c>
      <c r="H571" s="4" t="str">
        <f>"1996-08-27"</f>
        <v>1996-08-27</v>
      </c>
      <c r="I571" s="4">
        <v>70.5</v>
      </c>
      <c r="J571" s="5"/>
    </row>
    <row r="572" spans="1:10">
      <c r="A572" s="4">
        <v>568</v>
      </c>
      <c r="B572" s="4" t="str">
        <f>"20205211928"</f>
        <v>20205211928</v>
      </c>
      <c r="C572" s="4">
        <v>19</v>
      </c>
      <c r="D572" s="4">
        <v>28</v>
      </c>
      <c r="E572" s="4" t="s">
        <v>33</v>
      </c>
      <c r="F572" s="4" t="str">
        <f>"邹园珂"</f>
        <v>邹园珂</v>
      </c>
      <c r="G572" s="4" t="str">
        <f>"女"</f>
        <v>女</v>
      </c>
      <c r="H572" s="4" t="str">
        <f>"1997-10-17"</f>
        <v>1997-10-17</v>
      </c>
      <c r="I572" s="4">
        <v>69.2</v>
      </c>
      <c r="J572" s="5"/>
    </row>
    <row r="573" spans="1:10">
      <c r="A573" s="4">
        <v>569</v>
      </c>
      <c r="B573" s="4" t="str">
        <f>"20205211929"</f>
        <v>20205211929</v>
      </c>
      <c r="C573" s="4">
        <v>19</v>
      </c>
      <c r="D573" s="4">
        <v>29</v>
      </c>
      <c r="E573" s="4" t="s">
        <v>33</v>
      </c>
      <c r="F573" s="4" t="str">
        <f>"牛经文"</f>
        <v>牛经文</v>
      </c>
      <c r="G573" s="4" t="str">
        <f>"男"</f>
        <v>男</v>
      </c>
      <c r="H573" s="4" t="str">
        <f>"1994-12-02"</f>
        <v>1994-12-02</v>
      </c>
      <c r="I573" s="4" t="s">
        <v>12</v>
      </c>
      <c r="J573" s="5"/>
    </row>
    <row r="574" spans="1:10">
      <c r="A574" s="4">
        <v>570</v>
      </c>
      <c r="B574" s="4" t="str">
        <f>"20205211930"</f>
        <v>20205211930</v>
      </c>
      <c r="C574" s="4">
        <v>19</v>
      </c>
      <c r="D574" s="4">
        <v>30</v>
      </c>
      <c r="E574" s="4" t="s">
        <v>33</v>
      </c>
      <c r="F574" s="4" t="str">
        <f>"刘磊"</f>
        <v>刘磊</v>
      </c>
      <c r="G574" s="4" t="str">
        <f>"男"</f>
        <v>男</v>
      </c>
      <c r="H574" s="4" t="str">
        <f>"1996-07-15"</f>
        <v>1996-07-15</v>
      </c>
      <c r="I574" s="4">
        <v>58.8</v>
      </c>
      <c r="J574" s="5"/>
    </row>
    <row r="575" spans="1:10">
      <c r="A575" s="4">
        <v>571</v>
      </c>
      <c r="B575" s="4" t="str">
        <f>"20205212001"</f>
        <v>20205212001</v>
      </c>
      <c r="C575" s="4">
        <v>20</v>
      </c>
      <c r="D575" s="4">
        <v>1</v>
      </c>
      <c r="E575" s="4" t="s">
        <v>33</v>
      </c>
      <c r="F575" s="4" t="str">
        <f>"常蒙蒙"</f>
        <v>常蒙蒙</v>
      </c>
      <c r="G575" s="4" t="str">
        <f>"女"</f>
        <v>女</v>
      </c>
      <c r="H575" s="4" t="str">
        <f>"1993-07-19"</f>
        <v>1993-07-19</v>
      </c>
      <c r="I575" s="4">
        <v>57.7</v>
      </c>
      <c r="J575" s="5"/>
    </row>
    <row r="576" spans="1:10">
      <c r="A576" s="4">
        <v>572</v>
      </c>
      <c r="B576" s="4" t="str">
        <f>"20205212002"</f>
        <v>20205212002</v>
      </c>
      <c r="C576" s="4">
        <v>20</v>
      </c>
      <c r="D576" s="4">
        <v>2</v>
      </c>
      <c r="E576" s="4" t="s">
        <v>33</v>
      </c>
      <c r="F576" s="4" t="str">
        <f>"段爽"</f>
        <v>段爽</v>
      </c>
      <c r="G576" s="4" t="str">
        <f>"男"</f>
        <v>男</v>
      </c>
      <c r="H576" s="4" t="str">
        <f>"1996-12-14"</f>
        <v>1996-12-14</v>
      </c>
      <c r="I576" s="4">
        <v>62.8</v>
      </c>
      <c r="J576" s="5"/>
    </row>
    <row r="577" spans="1:10">
      <c r="A577" s="4">
        <v>573</v>
      </c>
      <c r="B577" s="4" t="str">
        <f>"20205212003"</f>
        <v>20205212003</v>
      </c>
      <c r="C577" s="4">
        <v>20</v>
      </c>
      <c r="D577" s="4">
        <v>3</v>
      </c>
      <c r="E577" s="4" t="s">
        <v>33</v>
      </c>
      <c r="F577" s="4" t="str">
        <f>"靳承铭"</f>
        <v>靳承铭</v>
      </c>
      <c r="G577" s="4" t="str">
        <f t="shared" ref="G577:G582" si="25">"女"</f>
        <v>女</v>
      </c>
      <c r="H577" s="4" t="str">
        <f>"1998-09-15"</f>
        <v>1998-09-15</v>
      </c>
      <c r="I577" s="4" t="s">
        <v>12</v>
      </c>
      <c r="J577" s="5"/>
    </row>
    <row r="578" spans="1:10">
      <c r="A578" s="4">
        <v>574</v>
      </c>
      <c r="B578" s="4" t="str">
        <f>"20205212004"</f>
        <v>20205212004</v>
      </c>
      <c r="C578" s="4">
        <v>20</v>
      </c>
      <c r="D578" s="4">
        <v>4</v>
      </c>
      <c r="E578" s="4" t="s">
        <v>33</v>
      </c>
      <c r="F578" s="4" t="str">
        <f>"陈艳晓"</f>
        <v>陈艳晓</v>
      </c>
      <c r="G578" s="4" t="str">
        <f t="shared" si="25"/>
        <v>女</v>
      </c>
      <c r="H578" s="4" t="str">
        <f>"1993-12-22"</f>
        <v>1993-12-22</v>
      </c>
      <c r="I578" s="4" t="s">
        <v>12</v>
      </c>
      <c r="J578" s="5"/>
    </row>
    <row r="579" spans="1:10">
      <c r="A579" s="4">
        <v>575</v>
      </c>
      <c r="B579" s="4" t="str">
        <f>"20205212005"</f>
        <v>20205212005</v>
      </c>
      <c r="C579" s="4">
        <v>20</v>
      </c>
      <c r="D579" s="4">
        <v>5</v>
      </c>
      <c r="E579" s="4" t="s">
        <v>33</v>
      </c>
      <c r="F579" s="4" t="str">
        <f>"张金凤"</f>
        <v>张金凤</v>
      </c>
      <c r="G579" s="4" t="str">
        <f t="shared" si="25"/>
        <v>女</v>
      </c>
      <c r="H579" s="4" t="str">
        <f>"1995-02-12"</f>
        <v>1995-02-12</v>
      </c>
      <c r="I579" s="4">
        <v>66.8</v>
      </c>
      <c r="J579" s="5"/>
    </row>
    <row r="580" spans="1:10">
      <c r="A580" s="4">
        <v>576</v>
      </c>
      <c r="B580" s="4" t="str">
        <f>"20205212006"</f>
        <v>20205212006</v>
      </c>
      <c r="C580" s="4">
        <v>20</v>
      </c>
      <c r="D580" s="4">
        <v>6</v>
      </c>
      <c r="E580" s="4" t="s">
        <v>33</v>
      </c>
      <c r="F580" s="4" t="str">
        <f>"赵旭阳"</f>
        <v>赵旭阳</v>
      </c>
      <c r="G580" s="4" t="str">
        <f t="shared" si="25"/>
        <v>女</v>
      </c>
      <c r="H580" s="4" t="str">
        <f>"1996-12-27"</f>
        <v>1996-12-27</v>
      </c>
      <c r="I580" s="4">
        <v>57.4</v>
      </c>
      <c r="J580" s="5"/>
    </row>
    <row r="581" spans="1:10">
      <c r="A581" s="4">
        <v>577</v>
      </c>
      <c r="B581" s="4" t="str">
        <f>"20205212007"</f>
        <v>20205212007</v>
      </c>
      <c r="C581" s="4">
        <v>20</v>
      </c>
      <c r="D581" s="4">
        <v>7</v>
      </c>
      <c r="E581" s="4" t="s">
        <v>33</v>
      </c>
      <c r="F581" s="4" t="str">
        <f>"孙怡新"</f>
        <v>孙怡新</v>
      </c>
      <c r="G581" s="4" t="str">
        <f t="shared" si="25"/>
        <v>女</v>
      </c>
      <c r="H581" s="4" t="str">
        <f>"1997-12-02"</f>
        <v>1997-12-02</v>
      </c>
      <c r="I581" s="4">
        <v>66.7</v>
      </c>
      <c r="J581" s="5"/>
    </row>
    <row r="582" spans="1:10">
      <c r="A582" s="4">
        <v>578</v>
      </c>
      <c r="B582" s="4" t="str">
        <f>"20205212008"</f>
        <v>20205212008</v>
      </c>
      <c r="C582" s="4">
        <v>20</v>
      </c>
      <c r="D582" s="4">
        <v>8</v>
      </c>
      <c r="E582" s="4" t="s">
        <v>33</v>
      </c>
      <c r="F582" s="4" t="str">
        <f>"李喜盈"</f>
        <v>李喜盈</v>
      </c>
      <c r="G582" s="4" t="str">
        <f t="shared" si="25"/>
        <v>女</v>
      </c>
      <c r="H582" s="4" t="str">
        <f>"1996-12-18"</f>
        <v>1996-12-18</v>
      </c>
      <c r="I582" s="4">
        <v>78.6</v>
      </c>
      <c r="J582" s="5"/>
    </row>
    <row r="583" spans="1:10">
      <c r="A583" s="4">
        <v>579</v>
      </c>
      <c r="B583" s="4" t="str">
        <f>"20205212009"</f>
        <v>20205212009</v>
      </c>
      <c r="C583" s="4">
        <v>20</v>
      </c>
      <c r="D583" s="4">
        <v>9</v>
      </c>
      <c r="E583" s="4" t="s">
        <v>33</v>
      </c>
      <c r="F583" s="4" t="str">
        <f>"彭常发"</f>
        <v>彭常发</v>
      </c>
      <c r="G583" s="4" t="str">
        <f>"男"</f>
        <v>男</v>
      </c>
      <c r="H583" s="4" t="str">
        <f>"1996-11-28"</f>
        <v>1996-11-28</v>
      </c>
      <c r="I583" s="4">
        <v>66.1</v>
      </c>
      <c r="J583" s="5"/>
    </row>
    <row r="584" spans="1:10">
      <c r="A584" s="4">
        <v>580</v>
      </c>
      <c r="B584" s="4" t="str">
        <f>"20205212010"</f>
        <v>20205212010</v>
      </c>
      <c r="C584" s="4">
        <v>20</v>
      </c>
      <c r="D584" s="4">
        <v>10</v>
      </c>
      <c r="E584" s="4" t="s">
        <v>33</v>
      </c>
      <c r="F584" s="4" t="str">
        <f>"翟杏祯"</f>
        <v>翟杏祯</v>
      </c>
      <c r="G584" s="4" t="str">
        <f t="shared" ref="G584:G605" si="26">"女"</f>
        <v>女</v>
      </c>
      <c r="H584" s="4" t="str">
        <f>"1995-03-26"</f>
        <v>1995-03-26</v>
      </c>
      <c r="I584" s="4" t="s">
        <v>12</v>
      </c>
      <c r="J584" s="5"/>
    </row>
    <row r="585" spans="1:10">
      <c r="A585" s="4">
        <v>581</v>
      </c>
      <c r="B585" s="4" t="str">
        <f>"20205212011"</f>
        <v>20205212011</v>
      </c>
      <c r="C585" s="4">
        <v>20</v>
      </c>
      <c r="D585" s="4">
        <v>11</v>
      </c>
      <c r="E585" s="4" t="s">
        <v>33</v>
      </c>
      <c r="F585" s="4" t="str">
        <f>"张雅楠"</f>
        <v>张雅楠</v>
      </c>
      <c r="G585" s="4" t="str">
        <f t="shared" si="26"/>
        <v>女</v>
      </c>
      <c r="H585" s="4" t="str">
        <f>"1996-12-02"</f>
        <v>1996-12-02</v>
      </c>
      <c r="I585" s="4" t="s">
        <v>12</v>
      </c>
      <c r="J585" s="5"/>
    </row>
    <row r="586" spans="1:10">
      <c r="A586" s="4">
        <v>582</v>
      </c>
      <c r="B586" s="4" t="str">
        <f>"20205212012"</f>
        <v>20205212012</v>
      </c>
      <c r="C586" s="4">
        <v>20</v>
      </c>
      <c r="D586" s="4">
        <v>12</v>
      </c>
      <c r="E586" s="4" t="s">
        <v>33</v>
      </c>
      <c r="F586" s="4" t="str">
        <f>"王志杰"</f>
        <v>王志杰</v>
      </c>
      <c r="G586" s="4" t="str">
        <f t="shared" si="26"/>
        <v>女</v>
      </c>
      <c r="H586" s="4" t="str">
        <f>"1994-11-10"</f>
        <v>1994-11-10</v>
      </c>
      <c r="I586" s="4" t="s">
        <v>12</v>
      </c>
      <c r="J586" s="5"/>
    </row>
    <row r="587" spans="1:10">
      <c r="A587" s="4">
        <v>583</v>
      </c>
      <c r="B587" s="4" t="str">
        <f>"20205212013"</f>
        <v>20205212013</v>
      </c>
      <c r="C587" s="4">
        <v>20</v>
      </c>
      <c r="D587" s="4">
        <v>13</v>
      </c>
      <c r="E587" s="4" t="s">
        <v>33</v>
      </c>
      <c r="F587" s="4" t="str">
        <f>"罗孟月"</f>
        <v>罗孟月</v>
      </c>
      <c r="G587" s="4" t="str">
        <f t="shared" si="26"/>
        <v>女</v>
      </c>
      <c r="H587" s="4" t="str">
        <f>"1997-03-18"</f>
        <v>1997-03-18</v>
      </c>
      <c r="I587" s="4">
        <v>50.4</v>
      </c>
      <c r="J587" s="5"/>
    </row>
    <row r="588" spans="1:10">
      <c r="A588" s="4">
        <v>584</v>
      </c>
      <c r="B588" s="4" t="str">
        <f>"20205212014"</f>
        <v>20205212014</v>
      </c>
      <c r="C588" s="4">
        <v>20</v>
      </c>
      <c r="D588" s="4">
        <v>14</v>
      </c>
      <c r="E588" s="4" t="s">
        <v>33</v>
      </c>
      <c r="F588" s="4" t="str">
        <f>"郭琳琳"</f>
        <v>郭琳琳</v>
      </c>
      <c r="G588" s="4" t="str">
        <f t="shared" si="26"/>
        <v>女</v>
      </c>
      <c r="H588" s="4" t="str">
        <f>"1997-04-18"</f>
        <v>1997-04-18</v>
      </c>
      <c r="I588" s="4">
        <v>62</v>
      </c>
      <c r="J588" s="5"/>
    </row>
    <row r="589" spans="1:10">
      <c r="A589" s="4">
        <v>585</v>
      </c>
      <c r="B589" s="4" t="str">
        <f>"20205312015"</f>
        <v>20205312015</v>
      </c>
      <c r="C589" s="4">
        <v>20</v>
      </c>
      <c r="D589" s="4">
        <v>15</v>
      </c>
      <c r="E589" s="4" t="s">
        <v>34</v>
      </c>
      <c r="F589" s="4" t="str">
        <f>"陈赛"</f>
        <v>陈赛</v>
      </c>
      <c r="G589" s="4" t="str">
        <f t="shared" si="26"/>
        <v>女</v>
      </c>
      <c r="H589" s="4" t="str">
        <f>"1995-02-07"</f>
        <v>1995-02-07</v>
      </c>
      <c r="I589" s="4">
        <v>54.4</v>
      </c>
      <c r="J589" s="5"/>
    </row>
    <row r="590" spans="1:10">
      <c r="A590" s="4">
        <v>586</v>
      </c>
      <c r="B590" s="4" t="str">
        <f>"20205312016"</f>
        <v>20205312016</v>
      </c>
      <c r="C590" s="4">
        <v>20</v>
      </c>
      <c r="D590" s="4">
        <v>16</v>
      </c>
      <c r="E590" s="4" t="s">
        <v>34</v>
      </c>
      <c r="F590" s="4" t="str">
        <f>"张斐"</f>
        <v>张斐</v>
      </c>
      <c r="G590" s="4" t="str">
        <f t="shared" si="26"/>
        <v>女</v>
      </c>
      <c r="H590" s="4" t="str">
        <f>"1997-01-04"</f>
        <v>1997-01-04</v>
      </c>
      <c r="I590" s="4">
        <v>66.5</v>
      </c>
      <c r="J590" s="5"/>
    </row>
    <row r="591" spans="1:10">
      <c r="A591" s="4">
        <v>587</v>
      </c>
      <c r="B591" s="4" t="str">
        <f>"20205312017"</f>
        <v>20205312017</v>
      </c>
      <c r="C591" s="4">
        <v>20</v>
      </c>
      <c r="D591" s="4">
        <v>17</v>
      </c>
      <c r="E591" s="4" t="s">
        <v>34</v>
      </c>
      <c r="F591" s="4" t="str">
        <f>"王真"</f>
        <v>王真</v>
      </c>
      <c r="G591" s="4" t="str">
        <f t="shared" si="26"/>
        <v>女</v>
      </c>
      <c r="H591" s="4" t="str">
        <f>"1998-01-29"</f>
        <v>1998-01-29</v>
      </c>
      <c r="I591" s="4">
        <v>64.1</v>
      </c>
      <c r="J591" s="5"/>
    </row>
    <row r="592" spans="1:10">
      <c r="A592" s="4">
        <v>588</v>
      </c>
      <c r="B592" s="4" t="str">
        <f>"20205312018"</f>
        <v>20205312018</v>
      </c>
      <c r="C592" s="4">
        <v>20</v>
      </c>
      <c r="D592" s="4">
        <v>18</v>
      </c>
      <c r="E592" s="4" t="s">
        <v>34</v>
      </c>
      <c r="F592" s="4" t="str">
        <f>"张欢"</f>
        <v>张欢</v>
      </c>
      <c r="G592" s="4" t="str">
        <f t="shared" si="26"/>
        <v>女</v>
      </c>
      <c r="H592" s="4" t="str">
        <f>"1998-06-03"</f>
        <v>1998-06-03</v>
      </c>
      <c r="I592" s="4">
        <v>73.8</v>
      </c>
      <c r="J592" s="5"/>
    </row>
    <row r="593" spans="1:10">
      <c r="A593" s="4">
        <v>589</v>
      </c>
      <c r="B593" s="4" t="str">
        <f>"20205312019"</f>
        <v>20205312019</v>
      </c>
      <c r="C593" s="4">
        <v>20</v>
      </c>
      <c r="D593" s="4">
        <v>19</v>
      </c>
      <c r="E593" s="4" t="s">
        <v>34</v>
      </c>
      <c r="F593" s="4" t="str">
        <f>"张赟"</f>
        <v>张赟</v>
      </c>
      <c r="G593" s="4" t="str">
        <f t="shared" si="26"/>
        <v>女</v>
      </c>
      <c r="H593" s="4" t="str">
        <f>"1997-01-16"</f>
        <v>1997-01-16</v>
      </c>
      <c r="I593" s="4">
        <v>62.1</v>
      </c>
      <c r="J593" s="5"/>
    </row>
    <row r="594" spans="1:10">
      <c r="A594" s="4">
        <v>590</v>
      </c>
      <c r="B594" s="4" t="str">
        <f>"20205312020"</f>
        <v>20205312020</v>
      </c>
      <c r="C594" s="4">
        <v>20</v>
      </c>
      <c r="D594" s="4">
        <v>20</v>
      </c>
      <c r="E594" s="4" t="s">
        <v>34</v>
      </c>
      <c r="F594" s="4" t="str">
        <f>"张鸿飞"</f>
        <v>张鸿飞</v>
      </c>
      <c r="G594" s="4" t="str">
        <f t="shared" si="26"/>
        <v>女</v>
      </c>
      <c r="H594" s="4" t="str">
        <f>"1995-06-19"</f>
        <v>1995-06-19</v>
      </c>
      <c r="I594" s="4" t="s">
        <v>12</v>
      </c>
      <c r="J594" s="5"/>
    </row>
    <row r="595" spans="1:10">
      <c r="A595" s="4">
        <v>591</v>
      </c>
      <c r="B595" s="4" t="str">
        <f>"20205312021"</f>
        <v>20205312021</v>
      </c>
      <c r="C595" s="4">
        <v>20</v>
      </c>
      <c r="D595" s="4">
        <v>21</v>
      </c>
      <c r="E595" s="4" t="s">
        <v>34</v>
      </c>
      <c r="F595" s="4" t="str">
        <f>"武鑫"</f>
        <v>武鑫</v>
      </c>
      <c r="G595" s="4" t="str">
        <f t="shared" si="26"/>
        <v>女</v>
      </c>
      <c r="H595" s="4" t="str">
        <f>"1996-01-17"</f>
        <v>1996-01-17</v>
      </c>
      <c r="I595" s="4">
        <v>57.6</v>
      </c>
      <c r="J595" s="5"/>
    </row>
    <row r="596" spans="1:10">
      <c r="A596" s="4">
        <v>592</v>
      </c>
      <c r="B596" s="4" t="str">
        <f>"20205312022"</f>
        <v>20205312022</v>
      </c>
      <c r="C596" s="4">
        <v>20</v>
      </c>
      <c r="D596" s="4">
        <v>22</v>
      </c>
      <c r="E596" s="4" t="s">
        <v>34</v>
      </c>
      <c r="F596" s="4" t="str">
        <f>"芦程煜"</f>
        <v>芦程煜</v>
      </c>
      <c r="G596" s="4" t="str">
        <f t="shared" si="26"/>
        <v>女</v>
      </c>
      <c r="H596" s="4" t="str">
        <f>"1996-06-17"</f>
        <v>1996-06-17</v>
      </c>
      <c r="I596" s="4">
        <v>59</v>
      </c>
      <c r="J596" s="5"/>
    </row>
    <row r="597" spans="1:10">
      <c r="A597" s="4">
        <v>593</v>
      </c>
      <c r="B597" s="4" t="str">
        <f>"20205312023"</f>
        <v>20205312023</v>
      </c>
      <c r="C597" s="4">
        <v>20</v>
      </c>
      <c r="D597" s="4">
        <v>23</v>
      </c>
      <c r="E597" s="4" t="s">
        <v>34</v>
      </c>
      <c r="F597" s="4" t="str">
        <f>"尹成盼"</f>
        <v>尹成盼</v>
      </c>
      <c r="G597" s="4" t="str">
        <f t="shared" si="26"/>
        <v>女</v>
      </c>
      <c r="H597" s="4" t="str">
        <f>"1998-03-04"</f>
        <v>1998-03-04</v>
      </c>
      <c r="I597" s="4" t="s">
        <v>12</v>
      </c>
      <c r="J597" s="5"/>
    </row>
    <row r="598" spans="1:10">
      <c r="A598" s="4">
        <v>594</v>
      </c>
      <c r="B598" s="4" t="str">
        <f>"20205312024"</f>
        <v>20205312024</v>
      </c>
      <c r="C598" s="4">
        <v>20</v>
      </c>
      <c r="D598" s="4">
        <v>24</v>
      </c>
      <c r="E598" s="4" t="s">
        <v>34</v>
      </c>
      <c r="F598" s="4" t="str">
        <f>"丁爽"</f>
        <v>丁爽</v>
      </c>
      <c r="G598" s="4" t="str">
        <f t="shared" si="26"/>
        <v>女</v>
      </c>
      <c r="H598" s="4" t="str">
        <f>"1997-03-20"</f>
        <v>1997-03-20</v>
      </c>
      <c r="I598" s="4">
        <v>73.8</v>
      </c>
      <c r="J598" s="5"/>
    </row>
    <row r="599" spans="1:10">
      <c r="A599" s="4">
        <v>595</v>
      </c>
      <c r="B599" s="4" t="str">
        <f>"20205312025"</f>
        <v>20205312025</v>
      </c>
      <c r="C599" s="4">
        <v>20</v>
      </c>
      <c r="D599" s="4">
        <v>25</v>
      </c>
      <c r="E599" s="4" t="s">
        <v>34</v>
      </c>
      <c r="F599" s="4" t="str">
        <f>"聂立增"</f>
        <v>聂立增</v>
      </c>
      <c r="G599" s="4" t="str">
        <f t="shared" si="26"/>
        <v>女</v>
      </c>
      <c r="H599" s="4" t="str">
        <f>"1996-05-04"</f>
        <v>1996-05-04</v>
      </c>
      <c r="I599" s="4">
        <v>61</v>
      </c>
      <c r="J599" s="5"/>
    </row>
    <row r="600" spans="1:10">
      <c r="A600" s="4">
        <v>596</v>
      </c>
      <c r="B600" s="4" t="str">
        <f>"20205312026"</f>
        <v>20205312026</v>
      </c>
      <c r="C600" s="4">
        <v>20</v>
      </c>
      <c r="D600" s="4">
        <v>26</v>
      </c>
      <c r="E600" s="4" t="s">
        <v>34</v>
      </c>
      <c r="F600" s="4" t="str">
        <f>"王鑫"</f>
        <v>王鑫</v>
      </c>
      <c r="G600" s="4" t="str">
        <f t="shared" si="26"/>
        <v>女</v>
      </c>
      <c r="H600" s="4" t="str">
        <f>"1999-09-30"</f>
        <v>1999-09-30</v>
      </c>
      <c r="I600" s="4" t="s">
        <v>12</v>
      </c>
      <c r="J600" s="5"/>
    </row>
    <row r="601" spans="1:10">
      <c r="A601" s="4">
        <v>597</v>
      </c>
      <c r="B601" s="4" t="str">
        <f>"20205312027"</f>
        <v>20205312027</v>
      </c>
      <c r="C601" s="4">
        <v>20</v>
      </c>
      <c r="D601" s="4">
        <v>27</v>
      </c>
      <c r="E601" s="4" t="s">
        <v>34</v>
      </c>
      <c r="F601" s="4" t="str">
        <f>"孟凡珂"</f>
        <v>孟凡珂</v>
      </c>
      <c r="G601" s="4" t="str">
        <f t="shared" si="26"/>
        <v>女</v>
      </c>
      <c r="H601" s="4" t="str">
        <f>"1997-02-24"</f>
        <v>1997-02-24</v>
      </c>
      <c r="I601" s="4">
        <v>60.7</v>
      </c>
      <c r="J601" s="5"/>
    </row>
    <row r="602" spans="1:10">
      <c r="A602" s="4">
        <v>598</v>
      </c>
      <c r="B602" s="4" t="str">
        <f>"20205312028"</f>
        <v>20205312028</v>
      </c>
      <c r="C602" s="4">
        <v>20</v>
      </c>
      <c r="D602" s="4">
        <v>28</v>
      </c>
      <c r="E602" s="4" t="s">
        <v>34</v>
      </c>
      <c r="F602" s="4" t="str">
        <f>"崔倩倩"</f>
        <v>崔倩倩</v>
      </c>
      <c r="G602" s="4" t="str">
        <f t="shared" si="26"/>
        <v>女</v>
      </c>
      <c r="H602" s="4" t="str">
        <f>"1997-05-18"</f>
        <v>1997-05-18</v>
      </c>
      <c r="I602" s="4" t="s">
        <v>12</v>
      </c>
      <c r="J602" s="5"/>
    </row>
    <row r="603" spans="1:10">
      <c r="A603" s="4">
        <v>599</v>
      </c>
      <c r="B603" s="4" t="str">
        <f>"20205312029"</f>
        <v>20205312029</v>
      </c>
      <c r="C603" s="4">
        <v>20</v>
      </c>
      <c r="D603" s="4">
        <v>29</v>
      </c>
      <c r="E603" s="4" t="s">
        <v>34</v>
      </c>
      <c r="F603" s="4" t="str">
        <f>"刘志仙"</f>
        <v>刘志仙</v>
      </c>
      <c r="G603" s="4" t="str">
        <f t="shared" si="26"/>
        <v>女</v>
      </c>
      <c r="H603" s="4" t="str">
        <f>"1997-01-07"</f>
        <v>1997-01-07</v>
      </c>
      <c r="I603" s="4" t="s">
        <v>12</v>
      </c>
      <c r="J603" s="5"/>
    </row>
    <row r="604" spans="1:10">
      <c r="A604" s="4">
        <v>600</v>
      </c>
      <c r="B604" s="4" t="str">
        <f>"20205312030"</f>
        <v>20205312030</v>
      </c>
      <c r="C604" s="4">
        <v>20</v>
      </c>
      <c r="D604" s="4">
        <v>30</v>
      </c>
      <c r="E604" s="4" t="s">
        <v>34</v>
      </c>
      <c r="F604" s="4" t="str">
        <f>"赵贺"</f>
        <v>赵贺</v>
      </c>
      <c r="G604" s="4" t="str">
        <f t="shared" si="26"/>
        <v>女</v>
      </c>
      <c r="H604" s="4" t="str">
        <f>"1995-01-29"</f>
        <v>1995-01-29</v>
      </c>
      <c r="I604" s="4">
        <v>61.5</v>
      </c>
      <c r="J604" s="5"/>
    </row>
    <row r="605" spans="1:10">
      <c r="A605" s="4">
        <v>601</v>
      </c>
      <c r="B605" s="4" t="str">
        <f>"20205312101"</f>
        <v>20205312101</v>
      </c>
      <c r="C605" s="4">
        <v>21</v>
      </c>
      <c r="D605" s="4">
        <v>1</v>
      </c>
      <c r="E605" s="4" t="s">
        <v>34</v>
      </c>
      <c r="F605" s="4" t="str">
        <f>"唐晨"</f>
        <v>唐晨</v>
      </c>
      <c r="G605" s="4" t="str">
        <f t="shared" si="26"/>
        <v>女</v>
      </c>
      <c r="H605" s="4" t="str">
        <f>"1997-11-25"</f>
        <v>1997-11-25</v>
      </c>
      <c r="I605" s="4">
        <v>52.3</v>
      </c>
      <c r="J605" s="5"/>
    </row>
    <row r="606" spans="1:10">
      <c r="A606" s="4">
        <v>602</v>
      </c>
      <c r="B606" s="4" t="str">
        <f>"20205312102"</f>
        <v>20205312102</v>
      </c>
      <c r="C606" s="4">
        <v>21</v>
      </c>
      <c r="D606" s="4">
        <v>2</v>
      </c>
      <c r="E606" s="4" t="s">
        <v>34</v>
      </c>
      <c r="F606" s="4" t="str">
        <f>"赵山林"</f>
        <v>赵山林</v>
      </c>
      <c r="G606" s="4" t="str">
        <f>"男"</f>
        <v>男</v>
      </c>
      <c r="H606" s="4" t="str">
        <f>"1992-05-11"</f>
        <v>1992-05-11</v>
      </c>
      <c r="I606" s="4" t="s">
        <v>12</v>
      </c>
      <c r="J606" s="5"/>
    </row>
    <row r="607" spans="1:10">
      <c r="A607" s="4">
        <v>603</v>
      </c>
      <c r="B607" s="4" t="str">
        <f>"20205312103"</f>
        <v>20205312103</v>
      </c>
      <c r="C607" s="4">
        <v>21</v>
      </c>
      <c r="D607" s="4">
        <v>3</v>
      </c>
      <c r="E607" s="4" t="s">
        <v>34</v>
      </c>
      <c r="F607" s="4" t="str">
        <f>"张瑜"</f>
        <v>张瑜</v>
      </c>
      <c r="G607" s="4" t="str">
        <f>"女"</f>
        <v>女</v>
      </c>
      <c r="H607" s="4" t="str">
        <f>"1998-03-12"</f>
        <v>1998-03-12</v>
      </c>
      <c r="I607" s="4">
        <v>72.8</v>
      </c>
      <c r="J607" s="5"/>
    </row>
    <row r="608" spans="1:10">
      <c r="A608" s="4">
        <v>604</v>
      </c>
      <c r="B608" s="4" t="str">
        <f>"20205312104"</f>
        <v>20205312104</v>
      </c>
      <c r="C608" s="4">
        <v>21</v>
      </c>
      <c r="D608" s="4">
        <v>4</v>
      </c>
      <c r="E608" s="4" t="s">
        <v>34</v>
      </c>
      <c r="F608" s="4" t="str">
        <f>"党珂"</f>
        <v>党珂</v>
      </c>
      <c r="G608" s="4" t="str">
        <f>"女"</f>
        <v>女</v>
      </c>
      <c r="H608" s="4" t="str">
        <f>"1996-12-16"</f>
        <v>1996-12-16</v>
      </c>
      <c r="I608" s="4">
        <v>69.2</v>
      </c>
      <c r="J608" s="5"/>
    </row>
    <row r="609" spans="1:10">
      <c r="A609" s="4">
        <v>605</v>
      </c>
      <c r="B609" s="4" t="str">
        <f>"20205312105"</f>
        <v>20205312105</v>
      </c>
      <c r="C609" s="4">
        <v>21</v>
      </c>
      <c r="D609" s="4">
        <v>5</v>
      </c>
      <c r="E609" s="4" t="s">
        <v>34</v>
      </c>
      <c r="F609" s="4" t="str">
        <f>"薛金延"</f>
        <v>薛金延</v>
      </c>
      <c r="G609" s="4" t="str">
        <f>"女"</f>
        <v>女</v>
      </c>
      <c r="H609" s="4" t="str">
        <f>"1994-07-08"</f>
        <v>1994-07-08</v>
      </c>
      <c r="I609" s="4">
        <v>65.8</v>
      </c>
      <c r="J609" s="5"/>
    </row>
    <row r="610" spans="1:10">
      <c r="A610" s="4">
        <v>606</v>
      </c>
      <c r="B610" s="4" t="str">
        <f>"20205312106"</f>
        <v>20205312106</v>
      </c>
      <c r="C610" s="4">
        <v>21</v>
      </c>
      <c r="D610" s="4">
        <v>6</v>
      </c>
      <c r="E610" s="4" t="s">
        <v>34</v>
      </c>
      <c r="F610" s="4" t="str">
        <f>"李天源"</f>
        <v>李天源</v>
      </c>
      <c r="G610" s="4" t="str">
        <f>"男"</f>
        <v>男</v>
      </c>
      <c r="H610" s="4" t="str">
        <f>"1996-05-07"</f>
        <v>1996-05-07</v>
      </c>
      <c r="I610" s="4">
        <v>75.1</v>
      </c>
      <c r="J610" s="5"/>
    </row>
    <row r="611" spans="1:10">
      <c r="A611" s="4">
        <v>607</v>
      </c>
      <c r="B611" s="4" t="str">
        <f>"20205312107"</f>
        <v>20205312107</v>
      </c>
      <c r="C611" s="4">
        <v>21</v>
      </c>
      <c r="D611" s="4">
        <v>7</v>
      </c>
      <c r="E611" s="4" t="s">
        <v>34</v>
      </c>
      <c r="F611" s="4" t="str">
        <f>"赵洁"</f>
        <v>赵洁</v>
      </c>
      <c r="G611" s="4" t="str">
        <f t="shared" ref="G611:G632" si="27">"女"</f>
        <v>女</v>
      </c>
      <c r="H611" s="4" t="str">
        <f>"1997-10-16"</f>
        <v>1997-10-16</v>
      </c>
      <c r="I611" s="4">
        <v>73.9</v>
      </c>
      <c r="J611" s="5"/>
    </row>
    <row r="612" spans="1:10">
      <c r="A612" s="4">
        <v>608</v>
      </c>
      <c r="B612" s="4" t="str">
        <f>"20205312108"</f>
        <v>20205312108</v>
      </c>
      <c r="C612" s="4">
        <v>21</v>
      </c>
      <c r="D612" s="4">
        <v>8</v>
      </c>
      <c r="E612" s="4" t="s">
        <v>34</v>
      </c>
      <c r="F612" s="4" t="str">
        <f>"杨珊"</f>
        <v>杨珊</v>
      </c>
      <c r="G612" s="4" t="str">
        <f t="shared" si="27"/>
        <v>女</v>
      </c>
      <c r="H612" s="4" t="str">
        <f>"1997-05-07"</f>
        <v>1997-05-07</v>
      </c>
      <c r="I612" s="4">
        <v>56.4</v>
      </c>
      <c r="J612" s="5"/>
    </row>
    <row r="613" spans="1:10">
      <c r="A613" s="4">
        <v>609</v>
      </c>
      <c r="B613" s="4" t="str">
        <f>"20205312109"</f>
        <v>20205312109</v>
      </c>
      <c r="C613" s="4">
        <v>21</v>
      </c>
      <c r="D613" s="4">
        <v>9</v>
      </c>
      <c r="E613" s="4" t="s">
        <v>34</v>
      </c>
      <c r="F613" s="4" t="str">
        <f>"魏雨婷"</f>
        <v>魏雨婷</v>
      </c>
      <c r="G613" s="4" t="str">
        <f t="shared" si="27"/>
        <v>女</v>
      </c>
      <c r="H613" s="4" t="str">
        <f>"1995-02-28"</f>
        <v>1995-02-28</v>
      </c>
      <c r="I613" s="4" t="s">
        <v>12</v>
      </c>
      <c r="J613" s="5"/>
    </row>
    <row r="614" spans="1:10">
      <c r="A614" s="4">
        <v>610</v>
      </c>
      <c r="B614" s="4" t="str">
        <f>"20205312110"</f>
        <v>20205312110</v>
      </c>
      <c r="C614" s="4">
        <v>21</v>
      </c>
      <c r="D614" s="4">
        <v>10</v>
      </c>
      <c r="E614" s="4" t="s">
        <v>34</v>
      </c>
      <c r="F614" s="4" t="str">
        <f>"邵亚楠"</f>
        <v>邵亚楠</v>
      </c>
      <c r="G614" s="4" t="str">
        <f t="shared" si="27"/>
        <v>女</v>
      </c>
      <c r="H614" s="4" t="str">
        <f>"1996-09-13"</f>
        <v>1996-09-13</v>
      </c>
      <c r="I614" s="4" t="s">
        <v>12</v>
      </c>
      <c r="J614" s="5"/>
    </row>
    <row r="615" spans="1:10">
      <c r="A615" s="4">
        <v>611</v>
      </c>
      <c r="B615" s="4" t="str">
        <f>"20205312111"</f>
        <v>20205312111</v>
      </c>
      <c r="C615" s="4">
        <v>21</v>
      </c>
      <c r="D615" s="4">
        <v>11</v>
      </c>
      <c r="E615" s="4" t="s">
        <v>34</v>
      </c>
      <c r="F615" s="4" t="str">
        <f>"刘次"</f>
        <v>刘次</v>
      </c>
      <c r="G615" s="4" t="str">
        <f t="shared" si="27"/>
        <v>女</v>
      </c>
      <c r="H615" s="4" t="str">
        <f>"1997-11-01"</f>
        <v>1997-11-01</v>
      </c>
      <c r="I615" s="4" t="s">
        <v>12</v>
      </c>
      <c r="J615" s="5"/>
    </row>
    <row r="616" spans="1:10">
      <c r="A616" s="4">
        <v>612</v>
      </c>
      <c r="B616" s="4" t="str">
        <f>"20205312112"</f>
        <v>20205312112</v>
      </c>
      <c r="C616" s="4">
        <v>21</v>
      </c>
      <c r="D616" s="4">
        <v>12</v>
      </c>
      <c r="E616" s="4" t="s">
        <v>34</v>
      </c>
      <c r="F616" s="4" t="str">
        <f>"雷雅婷"</f>
        <v>雷雅婷</v>
      </c>
      <c r="G616" s="4" t="str">
        <f t="shared" si="27"/>
        <v>女</v>
      </c>
      <c r="H616" s="4" t="str">
        <f>"1996-04-08"</f>
        <v>1996-04-08</v>
      </c>
      <c r="I616" s="4" t="s">
        <v>12</v>
      </c>
      <c r="J616" s="5"/>
    </row>
    <row r="617" spans="1:10">
      <c r="A617" s="4">
        <v>613</v>
      </c>
      <c r="B617" s="4" t="str">
        <f>"20205312113"</f>
        <v>20205312113</v>
      </c>
      <c r="C617" s="4">
        <v>21</v>
      </c>
      <c r="D617" s="4">
        <v>13</v>
      </c>
      <c r="E617" s="4" t="s">
        <v>34</v>
      </c>
      <c r="F617" s="4" t="str">
        <f>"王雪"</f>
        <v>王雪</v>
      </c>
      <c r="G617" s="4" t="str">
        <f t="shared" si="27"/>
        <v>女</v>
      </c>
      <c r="H617" s="4" t="str">
        <f>"1996-07-24"</f>
        <v>1996-07-24</v>
      </c>
      <c r="I617" s="4">
        <v>73.5</v>
      </c>
      <c r="J617" s="5"/>
    </row>
    <row r="618" spans="1:10">
      <c r="A618" s="4">
        <v>614</v>
      </c>
      <c r="B618" s="4" t="str">
        <f>"20205312114"</f>
        <v>20205312114</v>
      </c>
      <c r="C618" s="4">
        <v>21</v>
      </c>
      <c r="D618" s="4">
        <v>14</v>
      </c>
      <c r="E618" s="4" t="s">
        <v>34</v>
      </c>
      <c r="F618" s="4" t="str">
        <f>"高源"</f>
        <v>高源</v>
      </c>
      <c r="G618" s="4" t="str">
        <f t="shared" si="27"/>
        <v>女</v>
      </c>
      <c r="H618" s="4" t="str">
        <f>"1995-07-08"</f>
        <v>1995-07-08</v>
      </c>
      <c r="I618" s="4">
        <v>55.7</v>
      </c>
      <c r="J618" s="5"/>
    </row>
    <row r="619" spans="1:10">
      <c r="A619" s="4">
        <v>615</v>
      </c>
      <c r="B619" s="4" t="str">
        <f>"20205312115"</f>
        <v>20205312115</v>
      </c>
      <c r="C619" s="4">
        <v>21</v>
      </c>
      <c r="D619" s="4">
        <v>15</v>
      </c>
      <c r="E619" s="4" t="s">
        <v>34</v>
      </c>
      <c r="F619" s="4" t="str">
        <f>"张梦"</f>
        <v>张梦</v>
      </c>
      <c r="G619" s="4" t="str">
        <f t="shared" si="27"/>
        <v>女</v>
      </c>
      <c r="H619" s="4" t="str">
        <f>"1994-08-15"</f>
        <v>1994-08-15</v>
      </c>
      <c r="I619" s="4">
        <v>53</v>
      </c>
      <c r="J619" s="5"/>
    </row>
    <row r="620" spans="1:10">
      <c r="A620" s="4">
        <v>616</v>
      </c>
      <c r="B620" s="4" t="str">
        <f>"20205312116"</f>
        <v>20205312116</v>
      </c>
      <c r="C620" s="4">
        <v>21</v>
      </c>
      <c r="D620" s="4">
        <v>16</v>
      </c>
      <c r="E620" s="4" t="s">
        <v>34</v>
      </c>
      <c r="F620" s="4" t="str">
        <f>"王亚楠"</f>
        <v>王亚楠</v>
      </c>
      <c r="G620" s="4" t="str">
        <f t="shared" si="27"/>
        <v>女</v>
      </c>
      <c r="H620" s="4" t="str">
        <f>"1993-11-12"</f>
        <v>1993-11-12</v>
      </c>
      <c r="I620" s="4">
        <v>65.9</v>
      </c>
      <c r="J620" s="5"/>
    </row>
    <row r="621" spans="1:10">
      <c r="A621" s="4">
        <v>617</v>
      </c>
      <c r="B621" s="4" t="str">
        <f>"20205312117"</f>
        <v>20205312117</v>
      </c>
      <c r="C621" s="4">
        <v>21</v>
      </c>
      <c r="D621" s="4">
        <v>17</v>
      </c>
      <c r="E621" s="4" t="s">
        <v>34</v>
      </c>
      <c r="F621" s="4" t="str">
        <f>"吴青桐"</f>
        <v>吴青桐</v>
      </c>
      <c r="G621" s="4" t="str">
        <f t="shared" si="27"/>
        <v>女</v>
      </c>
      <c r="H621" s="4" t="str">
        <f>"1997-03-20"</f>
        <v>1997-03-20</v>
      </c>
      <c r="I621" s="4">
        <v>54.7</v>
      </c>
      <c r="J621" s="5"/>
    </row>
    <row r="622" spans="1:10">
      <c r="A622" s="4">
        <v>618</v>
      </c>
      <c r="B622" s="4" t="str">
        <f>"20205312118"</f>
        <v>20205312118</v>
      </c>
      <c r="C622" s="4">
        <v>21</v>
      </c>
      <c r="D622" s="4">
        <v>18</v>
      </c>
      <c r="E622" s="4" t="s">
        <v>34</v>
      </c>
      <c r="F622" s="4" t="str">
        <f>"尹菊"</f>
        <v>尹菊</v>
      </c>
      <c r="G622" s="4" t="str">
        <f t="shared" si="27"/>
        <v>女</v>
      </c>
      <c r="H622" s="4" t="str">
        <f>"1997-09-28"</f>
        <v>1997-09-28</v>
      </c>
      <c r="I622" s="4">
        <v>66.1</v>
      </c>
      <c r="J622" s="5"/>
    </row>
    <row r="623" spans="1:10">
      <c r="A623" s="4">
        <v>619</v>
      </c>
      <c r="B623" s="4" t="str">
        <f>"20205312119"</f>
        <v>20205312119</v>
      </c>
      <c r="C623" s="4">
        <v>21</v>
      </c>
      <c r="D623" s="4">
        <v>19</v>
      </c>
      <c r="E623" s="4" t="s">
        <v>34</v>
      </c>
      <c r="F623" s="4" t="str">
        <f>"白景媛"</f>
        <v>白景媛</v>
      </c>
      <c r="G623" s="4" t="str">
        <f t="shared" si="27"/>
        <v>女</v>
      </c>
      <c r="H623" s="4" t="str">
        <f>"1998-08-07"</f>
        <v>1998-08-07</v>
      </c>
      <c r="I623" s="4">
        <v>56.4</v>
      </c>
      <c r="J623" s="5"/>
    </row>
    <row r="624" spans="1:10">
      <c r="A624" s="4">
        <v>620</v>
      </c>
      <c r="B624" s="4" t="str">
        <f>"20205312120"</f>
        <v>20205312120</v>
      </c>
      <c r="C624" s="4">
        <v>21</v>
      </c>
      <c r="D624" s="4">
        <v>20</v>
      </c>
      <c r="E624" s="4" t="s">
        <v>34</v>
      </c>
      <c r="F624" s="4" t="str">
        <f>"付金平"</f>
        <v>付金平</v>
      </c>
      <c r="G624" s="4" t="str">
        <f t="shared" si="27"/>
        <v>女</v>
      </c>
      <c r="H624" s="4" t="str">
        <f>"1996-12-04"</f>
        <v>1996-12-04</v>
      </c>
      <c r="I624" s="4">
        <v>58.7</v>
      </c>
      <c r="J624" s="5"/>
    </row>
    <row r="625" spans="1:10">
      <c r="A625" s="4">
        <v>621</v>
      </c>
      <c r="B625" s="4" t="str">
        <f>"20205312121"</f>
        <v>20205312121</v>
      </c>
      <c r="C625" s="4">
        <v>21</v>
      </c>
      <c r="D625" s="4">
        <v>21</v>
      </c>
      <c r="E625" s="4" t="s">
        <v>34</v>
      </c>
      <c r="F625" s="4" t="str">
        <f>"张中婷"</f>
        <v>张中婷</v>
      </c>
      <c r="G625" s="4" t="str">
        <f t="shared" si="27"/>
        <v>女</v>
      </c>
      <c r="H625" s="4" t="str">
        <f>"1998-12-20"</f>
        <v>1998-12-20</v>
      </c>
      <c r="I625" s="4" t="s">
        <v>12</v>
      </c>
      <c r="J625" s="5"/>
    </row>
    <row r="626" spans="1:10">
      <c r="A626" s="4">
        <v>622</v>
      </c>
      <c r="B626" s="4" t="str">
        <f>"20205312122"</f>
        <v>20205312122</v>
      </c>
      <c r="C626" s="4">
        <v>21</v>
      </c>
      <c r="D626" s="4">
        <v>22</v>
      </c>
      <c r="E626" s="4" t="s">
        <v>34</v>
      </c>
      <c r="F626" s="4" t="str">
        <f>"徐晓旭"</f>
        <v>徐晓旭</v>
      </c>
      <c r="G626" s="4" t="str">
        <f t="shared" si="27"/>
        <v>女</v>
      </c>
      <c r="H626" s="4" t="str">
        <f>"1996-01-10"</f>
        <v>1996-01-10</v>
      </c>
      <c r="I626" s="4">
        <v>70.9</v>
      </c>
      <c r="J626" s="5"/>
    </row>
    <row r="627" spans="1:10">
      <c r="A627" s="4">
        <v>623</v>
      </c>
      <c r="B627" s="4" t="str">
        <f>"20205312123"</f>
        <v>20205312123</v>
      </c>
      <c r="C627" s="4">
        <v>21</v>
      </c>
      <c r="D627" s="4">
        <v>23</v>
      </c>
      <c r="E627" s="4" t="s">
        <v>34</v>
      </c>
      <c r="F627" s="4" t="str">
        <f>"杜何冉"</f>
        <v>杜何冉</v>
      </c>
      <c r="G627" s="4" t="str">
        <f t="shared" si="27"/>
        <v>女</v>
      </c>
      <c r="H627" s="4" t="str">
        <f>"1997-07-14"</f>
        <v>1997-07-14</v>
      </c>
      <c r="I627" s="4" t="s">
        <v>12</v>
      </c>
      <c r="J627" s="5"/>
    </row>
    <row r="628" spans="1:10">
      <c r="A628" s="4">
        <v>624</v>
      </c>
      <c r="B628" s="4" t="str">
        <f>"20205312124"</f>
        <v>20205312124</v>
      </c>
      <c r="C628" s="4">
        <v>21</v>
      </c>
      <c r="D628" s="4">
        <v>24</v>
      </c>
      <c r="E628" s="4" t="s">
        <v>34</v>
      </c>
      <c r="F628" s="4" t="str">
        <f>"王丰珍"</f>
        <v>王丰珍</v>
      </c>
      <c r="G628" s="4" t="str">
        <f t="shared" si="27"/>
        <v>女</v>
      </c>
      <c r="H628" s="4" t="str">
        <f>"1996-11-12"</f>
        <v>1996-11-12</v>
      </c>
      <c r="I628" s="4" t="s">
        <v>12</v>
      </c>
      <c r="J628" s="5"/>
    </row>
    <row r="629" spans="1:10">
      <c r="A629" s="4">
        <v>625</v>
      </c>
      <c r="B629" s="4" t="str">
        <f>"20205312125"</f>
        <v>20205312125</v>
      </c>
      <c r="C629" s="4">
        <v>21</v>
      </c>
      <c r="D629" s="4">
        <v>25</v>
      </c>
      <c r="E629" s="4" t="s">
        <v>34</v>
      </c>
      <c r="F629" s="4" t="str">
        <f>"吕新媛"</f>
        <v>吕新媛</v>
      </c>
      <c r="G629" s="4" t="str">
        <f t="shared" si="27"/>
        <v>女</v>
      </c>
      <c r="H629" s="4" t="str">
        <f>"1998-05-24"</f>
        <v>1998-05-24</v>
      </c>
      <c r="I629" s="4" t="s">
        <v>12</v>
      </c>
      <c r="J629" s="5"/>
    </row>
    <row r="630" spans="1:10">
      <c r="A630" s="4">
        <v>626</v>
      </c>
      <c r="B630" s="4" t="str">
        <f>"20205312126"</f>
        <v>20205312126</v>
      </c>
      <c r="C630" s="4">
        <v>21</v>
      </c>
      <c r="D630" s="4">
        <v>26</v>
      </c>
      <c r="E630" s="4" t="s">
        <v>34</v>
      </c>
      <c r="F630" s="4" t="str">
        <f>"胡延雪"</f>
        <v>胡延雪</v>
      </c>
      <c r="G630" s="4" t="str">
        <f t="shared" si="27"/>
        <v>女</v>
      </c>
      <c r="H630" s="4" t="str">
        <f>"1998-11-25"</f>
        <v>1998-11-25</v>
      </c>
      <c r="I630" s="4">
        <v>56</v>
      </c>
      <c r="J630" s="5"/>
    </row>
    <row r="631" spans="1:10">
      <c r="A631" s="4">
        <v>627</v>
      </c>
      <c r="B631" s="4" t="str">
        <f>"20205312127"</f>
        <v>20205312127</v>
      </c>
      <c r="C631" s="4">
        <v>21</v>
      </c>
      <c r="D631" s="4">
        <v>27</v>
      </c>
      <c r="E631" s="4" t="s">
        <v>34</v>
      </c>
      <c r="F631" s="4" t="str">
        <f>"牛倩雯"</f>
        <v>牛倩雯</v>
      </c>
      <c r="G631" s="4" t="str">
        <f t="shared" si="27"/>
        <v>女</v>
      </c>
      <c r="H631" s="4" t="str">
        <f>"1996-09-27"</f>
        <v>1996-09-27</v>
      </c>
      <c r="I631" s="4">
        <v>64.1</v>
      </c>
      <c r="J631" s="5"/>
    </row>
    <row r="632" spans="1:10">
      <c r="A632" s="4">
        <v>628</v>
      </c>
      <c r="B632" s="4" t="str">
        <f>"20205312128"</f>
        <v>20205312128</v>
      </c>
      <c r="C632" s="4">
        <v>21</v>
      </c>
      <c r="D632" s="4">
        <v>28</v>
      </c>
      <c r="E632" s="4" t="s">
        <v>34</v>
      </c>
      <c r="F632" s="4" t="str">
        <f>"蒋爽"</f>
        <v>蒋爽</v>
      </c>
      <c r="G632" s="4" t="str">
        <f t="shared" si="27"/>
        <v>女</v>
      </c>
      <c r="H632" s="4" t="str">
        <f>"1996-04-30"</f>
        <v>1996-04-30</v>
      </c>
      <c r="I632" s="4">
        <v>54.7</v>
      </c>
      <c r="J632" s="5"/>
    </row>
    <row r="633" spans="1:10">
      <c r="A633" s="4">
        <v>629</v>
      </c>
      <c r="B633" s="4" t="str">
        <f>"20205312129"</f>
        <v>20205312129</v>
      </c>
      <c r="C633" s="4">
        <v>21</v>
      </c>
      <c r="D633" s="4">
        <v>29</v>
      </c>
      <c r="E633" s="4" t="s">
        <v>34</v>
      </c>
      <c r="F633" s="4" t="str">
        <f>"冉明"</f>
        <v>冉明</v>
      </c>
      <c r="G633" s="4" t="str">
        <f>"男"</f>
        <v>男</v>
      </c>
      <c r="H633" s="4" t="str">
        <f>"1996-10-01"</f>
        <v>1996-10-01</v>
      </c>
      <c r="I633" s="4" t="s">
        <v>12</v>
      </c>
      <c r="J633" s="5"/>
    </row>
    <row r="634" spans="1:10">
      <c r="A634" s="4">
        <v>630</v>
      </c>
      <c r="B634" s="4" t="str">
        <f>"20205312130"</f>
        <v>20205312130</v>
      </c>
      <c r="C634" s="4">
        <v>21</v>
      </c>
      <c r="D634" s="4">
        <v>30</v>
      </c>
      <c r="E634" s="4" t="s">
        <v>34</v>
      </c>
      <c r="F634" s="4" t="str">
        <f>"龚琳鑫"</f>
        <v>龚琳鑫</v>
      </c>
      <c r="G634" s="4" t="str">
        <f t="shared" ref="G634:G640" si="28">"女"</f>
        <v>女</v>
      </c>
      <c r="H634" s="4" t="str">
        <f>"1995-05-13"</f>
        <v>1995-05-13</v>
      </c>
      <c r="I634" s="4">
        <v>57.4</v>
      </c>
      <c r="J634" s="5"/>
    </row>
    <row r="635" spans="1:10">
      <c r="A635" s="4">
        <v>631</v>
      </c>
      <c r="B635" s="4" t="str">
        <f>"20205312201"</f>
        <v>20205312201</v>
      </c>
      <c r="C635" s="4">
        <v>22</v>
      </c>
      <c r="D635" s="4">
        <v>1</v>
      </c>
      <c r="E635" s="4" t="s">
        <v>34</v>
      </c>
      <c r="F635" s="4" t="str">
        <f>"孙楚楚"</f>
        <v>孙楚楚</v>
      </c>
      <c r="G635" s="4" t="str">
        <f t="shared" si="28"/>
        <v>女</v>
      </c>
      <c r="H635" s="4" t="str">
        <f>"1997-04-24"</f>
        <v>1997-04-24</v>
      </c>
      <c r="I635" s="4" t="s">
        <v>12</v>
      </c>
      <c r="J635" s="5"/>
    </row>
    <row r="636" spans="1:10">
      <c r="A636" s="4">
        <v>632</v>
      </c>
      <c r="B636" s="4" t="str">
        <f>"20205312202"</f>
        <v>20205312202</v>
      </c>
      <c r="C636" s="4">
        <v>22</v>
      </c>
      <c r="D636" s="4">
        <v>2</v>
      </c>
      <c r="E636" s="4" t="s">
        <v>34</v>
      </c>
      <c r="F636" s="4" t="str">
        <f>"翟悠"</f>
        <v>翟悠</v>
      </c>
      <c r="G636" s="4" t="str">
        <f t="shared" si="28"/>
        <v>女</v>
      </c>
      <c r="H636" s="4" t="str">
        <f>"1997-09-20"</f>
        <v>1997-09-20</v>
      </c>
      <c r="I636" s="4">
        <v>63.8</v>
      </c>
      <c r="J636" s="5"/>
    </row>
    <row r="637" spans="1:10">
      <c r="A637" s="4">
        <v>633</v>
      </c>
      <c r="B637" s="4" t="str">
        <f>"20205312203"</f>
        <v>20205312203</v>
      </c>
      <c r="C637" s="4">
        <v>22</v>
      </c>
      <c r="D637" s="4">
        <v>3</v>
      </c>
      <c r="E637" s="4" t="s">
        <v>34</v>
      </c>
      <c r="F637" s="4" t="str">
        <f>"孙满"</f>
        <v>孙满</v>
      </c>
      <c r="G637" s="4" t="str">
        <f t="shared" si="28"/>
        <v>女</v>
      </c>
      <c r="H637" s="4" t="str">
        <f>"1997-12-04"</f>
        <v>1997-12-04</v>
      </c>
      <c r="I637" s="4">
        <v>57.7</v>
      </c>
      <c r="J637" s="5"/>
    </row>
    <row r="638" spans="1:10">
      <c r="A638" s="4">
        <v>634</v>
      </c>
      <c r="B638" s="4" t="str">
        <f>"20205312204"</f>
        <v>20205312204</v>
      </c>
      <c r="C638" s="4">
        <v>22</v>
      </c>
      <c r="D638" s="4">
        <v>4</v>
      </c>
      <c r="E638" s="4" t="s">
        <v>34</v>
      </c>
      <c r="F638" s="4" t="str">
        <f>"王原原"</f>
        <v>王原原</v>
      </c>
      <c r="G638" s="4" t="str">
        <f t="shared" si="28"/>
        <v>女</v>
      </c>
      <c r="H638" s="4" t="str">
        <f>"1996-06-10"</f>
        <v>1996-06-10</v>
      </c>
      <c r="I638" s="4">
        <v>70.9</v>
      </c>
      <c r="J638" s="5"/>
    </row>
    <row r="639" spans="1:10">
      <c r="A639" s="4">
        <v>635</v>
      </c>
      <c r="B639" s="4" t="str">
        <f>"20205312205"</f>
        <v>20205312205</v>
      </c>
      <c r="C639" s="4">
        <v>22</v>
      </c>
      <c r="D639" s="4">
        <v>5</v>
      </c>
      <c r="E639" s="4" t="s">
        <v>34</v>
      </c>
      <c r="F639" s="4" t="str">
        <f>"王宝丽"</f>
        <v>王宝丽</v>
      </c>
      <c r="G639" s="4" t="str">
        <f t="shared" si="28"/>
        <v>女</v>
      </c>
      <c r="H639" s="4" t="str">
        <f>"1997-03-03"</f>
        <v>1997-03-03</v>
      </c>
      <c r="I639" s="4">
        <v>68.5</v>
      </c>
      <c r="J639" s="5"/>
    </row>
    <row r="640" spans="1:10">
      <c r="A640" s="4">
        <v>636</v>
      </c>
      <c r="B640" s="4" t="str">
        <f>"20205312206"</f>
        <v>20205312206</v>
      </c>
      <c r="C640" s="4">
        <v>22</v>
      </c>
      <c r="D640" s="4">
        <v>6</v>
      </c>
      <c r="E640" s="4" t="s">
        <v>34</v>
      </c>
      <c r="F640" s="4" t="str">
        <f>"裴瑶"</f>
        <v>裴瑶</v>
      </c>
      <c r="G640" s="4" t="str">
        <f t="shared" si="28"/>
        <v>女</v>
      </c>
      <c r="H640" s="4" t="str">
        <f>"1996-10-14"</f>
        <v>1996-10-14</v>
      </c>
      <c r="I640" s="4">
        <v>75.2</v>
      </c>
      <c r="J640" s="5"/>
    </row>
    <row r="641" spans="1:10">
      <c r="A641" s="4">
        <v>637</v>
      </c>
      <c r="B641" s="4" t="str">
        <f>"20205312207"</f>
        <v>20205312207</v>
      </c>
      <c r="C641" s="4">
        <v>22</v>
      </c>
      <c r="D641" s="4">
        <v>7</v>
      </c>
      <c r="E641" s="4" t="s">
        <v>34</v>
      </c>
      <c r="F641" s="4" t="str">
        <f>"张智淦"</f>
        <v>张智淦</v>
      </c>
      <c r="G641" s="4" t="str">
        <f>"男"</f>
        <v>男</v>
      </c>
      <c r="H641" s="4" t="str">
        <f>"1998-05-20"</f>
        <v>1998-05-20</v>
      </c>
      <c r="I641" s="4">
        <v>77.9</v>
      </c>
      <c r="J641" s="5"/>
    </row>
    <row r="642" spans="1:10">
      <c r="A642" s="4">
        <v>638</v>
      </c>
      <c r="B642" s="4" t="str">
        <f>"20205312208"</f>
        <v>20205312208</v>
      </c>
      <c r="C642" s="4">
        <v>22</v>
      </c>
      <c r="D642" s="4">
        <v>8</v>
      </c>
      <c r="E642" s="4" t="s">
        <v>34</v>
      </c>
      <c r="F642" s="4" t="str">
        <f>"郭雨"</f>
        <v>郭雨</v>
      </c>
      <c r="G642" s="4" t="str">
        <f t="shared" ref="G642:G656" si="29">"女"</f>
        <v>女</v>
      </c>
      <c r="H642" s="4" t="str">
        <f>"1998-03-22"</f>
        <v>1998-03-22</v>
      </c>
      <c r="I642" s="4" t="s">
        <v>12</v>
      </c>
      <c r="J642" s="5"/>
    </row>
    <row r="643" spans="1:10">
      <c r="A643" s="4">
        <v>639</v>
      </c>
      <c r="B643" s="4" t="str">
        <f>"20205312209"</f>
        <v>20205312209</v>
      </c>
      <c r="C643" s="4">
        <v>22</v>
      </c>
      <c r="D643" s="4">
        <v>9</v>
      </c>
      <c r="E643" s="4" t="s">
        <v>34</v>
      </c>
      <c r="F643" s="4" t="str">
        <f>"吴奉军"</f>
        <v>吴奉军</v>
      </c>
      <c r="G643" s="4" t="str">
        <f t="shared" si="29"/>
        <v>女</v>
      </c>
      <c r="H643" s="4" t="str">
        <f>"1995-07-12"</f>
        <v>1995-07-12</v>
      </c>
      <c r="I643" s="4">
        <v>63.1</v>
      </c>
      <c r="J643" s="5"/>
    </row>
    <row r="644" spans="1:10">
      <c r="A644" s="4">
        <v>640</v>
      </c>
      <c r="B644" s="4" t="str">
        <f>"20205312210"</f>
        <v>20205312210</v>
      </c>
      <c r="C644" s="4">
        <v>22</v>
      </c>
      <c r="D644" s="4">
        <v>10</v>
      </c>
      <c r="E644" s="4" t="s">
        <v>34</v>
      </c>
      <c r="F644" s="4" t="str">
        <f>"郑露露"</f>
        <v>郑露露</v>
      </c>
      <c r="G644" s="4" t="str">
        <f t="shared" si="29"/>
        <v>女</v>
      </c>
      <c r="H644" s="4" t="str">
        <f>"1996-07-21"</f>
        <v>1996-07-21</v>
      </c>
      <c r="I644" s="4" t="s">
        <v>12</v>
      </c>
      <c r="J644" s="5"/>
    </row>
    <row r="645" spans="1:10">
      <c r="A645" s="4">
        <v>641</v>
      </c>
      <c r="B645" s="4" t="str">
        <f>"20205412211"</f>
        <v>20205412211</v>
      </c>
      <c r="C645" s="4">
        <v>22</v>
      </c>
      <c r="D645" s="4">
        <v>11</v>
      </c>
      <c r="E645" s="4" t="s">
        <v>35</v>
      </c>
      <c r="F645" s="4" t="str">
        <f>"李冉"</f>
        <v>李冉</v>
      </c>
      <c r="G645" s="4" t="str">
        <f t="shared" si="29"/>
        <v>女</v>
      </c>
      <c r="H645" s="4" t="str">
        <f>"1996-02-23"</f>
        <v>1996-02-23</v>
      </c>
      <c r="I645" s="4" t="s">
        <v>12</v>
      </c>
      <c r="J645" s="5"/>
    </row>
    <row r="646" spans="1:10">
      <c r="A646" s="4">
        <v>642</v>
      </c>
      <c r="B646" s="4" t="str">
        <f>"20205412212"</f>
        <v>20205412212</v>
      </c>
      <c r="C646" s="4">
        <v>22</v>
      </c>
      <c r="D646" s="4">
        <v>12</v>
      </c>
      <c r="E646" s="4" t="s">
        <v>35</v>
      </c>
      <c r="F646" s="4" t="str">
        <f>"宗宛卓"</f>
        <v>宗宛卓</v>
      </c>
      <c r="G646" s="4" t="str">
        <f t="shared" si="29"/>
        <v>女</v>
      </c>
      <c r="H646" s="4" t="str">
        <f>"1997-05-16"</f>
        <v>1997-05-16</v>
      </c>
      <c r="I646" s="4" t="s">
        <v>12</v>
      </c>
      <c r="J646" s="5"/>
    </row>
    <row r="647" spans="1:10">
      <c r="A647" s="4">
        <v>643</v>
      </c>
      <c r="B647" s="4" t="str">
        <f>"20205412213"</f>
        <v>20205412213</v>
      </c>
      <c r="C647" s="4">
        <v>22</v>
      </c>
      <c r="D647" s="4">
        <v>13</v>
      </c>
      <c r="E647" s="4" t="s">
        <v>35</v>
      </c>
      <c r="F647" s="4" t="str">
        <f>"杨霞"</f>
        <v>杨霞</v>
      </c>
      <c r="G647" s="4" t="str">
        <f t="shared" si="29"/>
        <v>女</v>
      </c>
      <c r="H647" s="4" t="str">
        <f>"1995-01-28"</f>
        <v>1995-01-28</v>
      </c>
      <c r="I647" s="4" t="s">
        <v>12</v>
      </c>
      <c r="J647" s="5"/>
    </row>
    <row r="648" spans="1:10">
      <c r="A648" s="4">
        <v>644</v>
      </c>
      <c r="B648" s="4" t="str">
        <f>"20205412214"</f>
        <v>20205412214</v>
      </c>
      <c r="C648" s="4">
        <v>22</v>
      </c>
      <c r="D648" s="4">
        <v>14</v>
      </c>
      <c r="E648" s="4" t="s">
        <v>35</v>
      </c>
      <c r="F648" s="4" t="str">
        <f>"陈素艳"</f>
        <v>陈素艳</v>
      </c>
      <c r="G648" s="4" t="str">
        <f t="shared" si="29"/>
        <v>女</v>
      </c>
      <c r="H648" s="4" t="str">
        <f>"1994-03-15"</f>
        <v>1994-03-15</v>
      </c>
      <c r="I648" s="4">
        <v>72.2</v>
      </c>
      <c r="J648" s="5"/>
    </row>
    <row r="649" spans="1:10">
      <c r="A649" s="4">
        <v>645</v>
      </c>
      <c r="B649" s="4" t="str">
        <f>"20205412215"</f>
        <v>20205412215</v>
      </c>
      <c r="C649" s="4">
        <v>22</v>
      </c>
      <c r="D649" s="4">
        <v>15</v>
      </c>
      <c r="E649" s="4" t="s">
        <v>35</v>
      </c>
      <c r="F649" s="4" t="str">
        <f>"王俊洁"</f>
        <v>王俊洁</v>
      </c>
      <c r="G649" s="4" t="str">
        <f t="shared" si="29"/>
        <v>女</v>
      </c>
      <c r="H649" s="4" t="str">
        <f>"1996-12-10"</f>
        <v>1996-12-10</v>
      </c>
      <c r="I649" s="4">
        <v>71.2</v>
      </c>
      <c r="J649" s="5"/>
    </row>
    <row r="650" spans="1:10">
      <c r="A650" s="4">
        <v>646</v>
      </c>
      <c r="B650" s="4" t="str">
        <f>"20205412216"</f>
        <v>20205412216</v>
      </c>
      <c r="C650" s="4">
        <v>22</v>
      </c>
      <c r="D650" s="4">
        <v>16</v>
      </c>
      <c r="E650" s="4" t="s">
        <v>35</v>
      </c>
      <c r="F650" s="4" t="str">
        <f>"徐晶"</f>
        <v>徐晶</v>
      </c>
      <c r="G650" s="4" t="str">
        <f t="shared" si="29"/>
        <v>女</v>
      </c>
      <c r="H650" s="4" t="str">
        <f>"1997-01-21"</f>
        <v>1997-01-21</v>
      </c>
      <c r="I650" s="4">
        <v>59.4</v>
      </c>
      <c r="J650" s="5"/>
    </row>
    <row r="651" spans="1:10">
      <c r="A651" s="4">
        <v>647</v>
      </c>
      <c r="B651" s="4" t="str">
        <f>"20205412217"</f>
        <v>20205412217</v>
      </c>
      <c r="C651" s="4">
        <v>22</v>
      </c>
      <c r="D651" s="4">
        <v>17</v>
      </c>
      <c r="E651" s="4" t="s">
        <v>35</v>
      </c>
      <c r="F651" s="4" t="str">
        <f>"李烁"</f>
        <v>李烁</v>
      </c>
      <c r="G651" s="4" t="str">
        <f t="shared" si="29"/>
        <v>女</v>
      </c>
      <c r="H651" s="4" t="str">
        <f>"1998-04-18"</f>
        <v>1998-04-18</v>
      </c>
      <c r="I651" s="4">
        <v>56.8</v>
      </c>
      <c r="J651" s="5"/>
    </row>
    <row r="652" spans="1:10">
      <c r="A652" s="4">
        <v>648</v>
      </c>
      <c r="B652" s="4" t="str">
        <f>"20205412218"</f>
        <v>20205412218</v>
      </c>
      <c r="C652" s="4">
        <v>22</v>
      </c>
      <c r="D652" s="4">
        <v>18</v>
      </c>
      <c r="E652" s="4" t="s">
        <v>35</v>
      </c>
      <c r="F652" s="4" t="str">
        <f>"孟真真"</f>
        <v>孟真真</v>
      </c>
      <c r="G652" s="4" t="str">
        <f t="shared" si="29"/>
        <v>女</v>
      </c>
      <c r="H652" s="4" t="str">
        <f>"1995-11-02"</f>
        <v>1995-11-02</v>
      </c>
      <c r="I652" s="4" t="s">
        <v>12</v>
      </c>
      <c r="J652" s="5"/>
    </row>
    <row r="653" spans="1:10">
      <c r="A653" s="4">
        <v>649</v>
      </c>
      <c r="B653" s="4" t="str">
        <f>"20205412219"</f>
        <v>20205412219</v>
      </c>
      <c r="C653" s="4">
        <v>22</v>
      </c>
      <c r="D653" s="4">
        <v>19</v>
      </c>
      <c r="E653" s="4" t="s">
        <v>35</v>
      </c>
      <c r="F653" s="4" t="str">
        <f>"孟锦"</f>
        <v>孟锦</v>
      </c>
      <c r="G653" s="4" t="str">
        <f t="shared" si="29"/>
        <v>女</v>
      </c>
      <c r="H653" s="4" t="str">
        <f>"1997-01-06"</f>
        <v>1997-01-06</v>
      </c>
      <c r="I653" s="4">
        <v>78.9</v>
      </c>
      <c r="J653" s="5"/>
    </row>
    <row r="654" spans="1:10">
      <c r="A654" s="4">
        <v>650</v>
      </c>
      <c r="B654" s="4" t="str">
        <f>"20205412220"</f>
        <v>20205412220</v>
      </c>
      <c r="C654" s="4">
        <v>22</v>
      </c>
      <c r="D654" s="4">
        <v>20</v>
      </c>
      <c r="E654" s="4" t="s">
        <v>35</v>
      </c>
      <c r="F654" s="4" t="str">
        <f>"赵旭"</f>
        <v>赵旭</v>
      </c>
      <c r="G654" s="4" t="str">
        <f t="shared" si="29"/>
        <v>女</v>
      </c>
      <c r="H654" s="4" t="str">
        <f>"1995-05-20"</f>
        <v>1995-05-20</v>
      </c>
      <c r="I654" s="4">
        <v>71.9</v>
      </c>
      <c r="J654" s="5"/>
    </row>
    <row r="655" spans="1:10">
      <c r="A655" s="4">
        <v>651</v>
      </c>
      <c r="B655" s="4" t="str">
        <f>"20205412221"</f>
        <v>20205412221</v>
      </c>
      <c r="C655" s="4">
        <v>22</v>
      </c>
      <c r="D655" s="4">
        <v>21</v>
      </c>
      <c r="E655" s="4" t="s">
        <v>35</v>
      </c>
      <c r="F655" s="4" t="str">
        <f>"崔春苗"</f>
        <v>崔春苗</v>
      </c>
      <c r="G655" s="4" t="str">
        <f t="shared" si="29"/>
        <v>女</v>
      </c>
      <c r="H655" s="4" t="str">
        <f>"1993-04-08"</f>
        <v>1993-04-08</v>
      </c>
      <c r="I655" s="4">
        <v>65.1</v>
      </c>
      <c r="J655" s="5"/>
    </row>
    <row r="656" spans="1:10">
      <c r="A656" s="4">
        <v>652</v>
      </c>
      <c r="B656" s="4" t="str">
        <f>"20205412222"</f>
        <v>20205412222</v>
      </c>
      <c r="C656" s="4">
        <v>22</v>
      </c>
      <c r="D656" s="4">
        <v>22</v>
      </c>
      <c r="E656" s="4" t="s">
        <v>35</v>
      </c>
      <c r="F656" s="4" t="str">
        <f>"吕慧慧"</f>
        <v>吕慧慧</v>
      </c>
      <c r="G656" s="4" t="str">
        <f t="shared" si="29"/>
        <v>女</v>
      </c>
      <c r="H656" s="4" t="str">
        <f>"1995-01-28"</f>
        <v>1995-01-28</v>
      </c>
      <c r="I656" s="4">
        <v>66.1</v>
      </c>
      <c r="J656" s="5"/>
    </row>
    <row r="657" spans="1:10">
      <c r="A657" s="4">
        <v>653</v>
      </c>
      <c r="B657" s="4" t="str">
        <f>"20205412223"</f>
        <v>20205412223</v>
      </c>
      <c r="C657" s="4">
        <v>22</v>
      </c>
      <c r="D657" s="4">
        <v>23</v>
      </c>
      <c r="E657" s="4" t="s">
        <v>35</v>
      </c>
      <c r="F657" s="4" t="str">
        <f>"刘鼎"</f>
        <v>刘鼎</v>
      </c>
      <c r="G657" s="4" t="str">
        <f>"男"</f>
        <v>男</v>
      </c>
      <c r="H657" s="4" t="str">
        <f>"1998-09-26"</f>
        <v>1998-09-26</v>
      </c>
      <c r="I657" s="4">
        <v>57.4</v>
      </c>
      <c r="J657" s="5"/>
    </row>
    <row r="658" spans="1:10">
      <c r="A658" s="4">
        <v>654</v>
      </c>
      <c r="B658" s="4" t="str">
        <f>"20205412224"</f>
        <v>20205412224</v>
      </c>
      <c r="C658" s="4">
        <v>22</v>
      </c>
      <c r="D658" s="4">
        <v>24</v>
      </c>
      <c r="E658" s="4" t="s">
        <v>35</v>
      </c>
      <c r="F658" s="4" t="str">
        <f>"李霞"</f>
        <v>李霞</v>
      </c>
      <c r="G658" s="4" t="str">
        <f t="shared" ref="G658:G667" si="30">"女"</f>
        <v>女</v>
      </c>
      <c r="H658" s="4" t="str">
        <f>"1996-06-29"</f>
        <v>1996-06-29</v>
      </c>
      <c r="I658" s="4" t="s">
        <v>12</v>
      </c>
      <c r="J658" s="5"/>
    </row>
    <row r="659" spans="1:10">
      <c r="A659" s="4">
        <v>655</v>
      </c>
      <c r="B659" s="4" t="str">
        <f>"20205412225"</f>
        <v>20205412225</v>
      </c>
      <c r="C659" s="4">
        <v>22</v>
      </c>
      <c r="D659" s="4">
        <v>25</v>
      </c>
      <c r="E659" s="4" t="s">
        <v>35</v>
      </c>
      <c r="F659" s="4" t="str">
        <f>"李任晓"</f>
        <v>李任晓</v>
      </c>
      <c r="G659" s="4" t="str">
        <f t="shared" si="30"/>
        <v>女</v>
      </c>
      <c r="H659" s="4" t="str">
        <f>"1997-02-26"</f>
        <v>1997-02-26</v>
      </c>
      <c r="I659" s="4">
        <v>77.6</v>
      </c>
      <c r="J659" s="5"/>
    </row>
    <row r="660" spans="1:10">
      <c r="A660" s="4">
        <v>656</v>
      </c>
      <c r="B660" s="4" t="str">
        <f>"20205412226"</f>
        <v>20205412226</v>
      </c>
      <c r="C660" s="4">
        <v>22</v>
      </c>
      <c r="D660" s="4">
        <v>26</v>
      </c>
      <c r="E660" s="4" t="s">
        <v>35</v>
      </c>
      <c r="F660" s="4" t="str">
        <f>"刘宛"</f>
        <v>刘宛</v>
      </c>
      <c r="G660" s="4" t="str">
        <f t="shared" si="30"/>
        <v>女</v>
      </c>
      <c r="H660" s="4" t="str">
        <f>"1998-07-05"</f>
        <v>1998-07-05</v>
      </c>
      <c r="I660" s="4">
        <v>63.4</v>
      </c>
      <c r="J660" s="5"/>
    </row>
    <row r="661" spans="1:10">
      <c r="A661" s="4">
        <v>657</v>
      </c>
      <c r="B661" s="4" t="str">
        <f>"20205412227"</f>
        <v>20205412227</v>
      </c>
      <c r="C661" s="4">
        <v>22</v>
      </c>
      <c r="D661" s="4">
        <v>27</v>
      </c>
      <c r="E661" s="4" t="s">
        <v>35</v>
      </c>
      <c r="F661" s="4" t="str">
        <f>"付双"</f>
        <v>付双</v>
      </c>
      <c r="G661" s="4" t="str">
        <f t="shared" si="30"/>
        <v>女</v>
      </c>
      <c r="H661" s="4" t="str">
        <f>"1997-01-02"</f>
        <v>1997-01-02</v>
      </c>
      <c r="I661" s="4">
        <v>65.1</v>
      </c>
      <c r="J661" s="5"/>
    </row>
    <row r="662" spans="1:10">
      <c r="A662" s="4">
        <v>658</v>
      </c>
      <c r="B662" s="4" t="str">
        <f>"20205412228"</f>
        <v>20205412228</v>
      </c>
      <c r="C662" s="4">
        <v>22</v>
      </c>
      <c r="D662" s="4">
        <v>28</v>
      </c>
      <c r="E662" s="4" t="s">
        <v>35</v>
      </c>
      <c r="F662" s="4" t="str">
        <f>"贾亚军"</f>
        <v>贾亚军</v>
      </c>
      <c r="G662" s="4" t="str">
        <f t="shared" si="30"/>
        <v>女</v>
      </c>
      <c r="H662" s="4" t="str">
        <f>"1988-02-14"</f>
        <v>1988-02-14</v>
      </c>
      <c r="I662" s="4" t="s">
        <v>12</v>
      </c>
      <c r="J662" s="5"/>
    </row>
    <row r="663" spans="1:10">
      <c r="A663" s="4">
        <v>659</v>
      </c>
      <c r="B663" s="4" t="str">
        <f>"20205412229"</f>
        <v>20205412229</v>
      </c>
      <c r="C663" s="4">
        <v>22</v>
      </c>
      <c r="D663" s="4">
        <v>29</v>
      </c>
      <c r="E663" s="4" t="s">
        <v>35</v>
      </c>
      <c r="F663" s="4" t="str">
        <f>"张露平"</f>
        <v>张露平</v>
      </c>
      <c r="G663" s="4" t="str">
        <f t="shared" si="30"/>
        <v>女</v>
      </c>
      <c r="H663" s="4" t="str">
        <f>"1996-10-15"</f>
        <v>1996-10-15</v>
      </c>
      <c r="I663" s="4">
        <v>75.5</v>
      </c>
      <c r="J663" s="5"/>
    </row>
    <row r="664" spans="1:10">
      <c r="A664" s="4">
        <v>660</v>
      </c>
      <c r="B664" s="4" t="str">
        <f>"20205512230"</f>
        <v>20205512230</v>
      </c>
      <c r="C664" s="4">
        <v>22</v>
      </c>
      <c r="D664" s="4">
        <v>30</v>
      </c>
      <c r="E664" s="4" t="s">
        <v>36</v>
      </c>
      <c r="F664" s="4" t="str">
        <f>"詹晓静"</f>
        <v>詹晓静</v>
      </c>
      <c r="G664" s="4" t="str">
        <f t="shared" si="30"/>
        <v>女</v>
      </c>
      <c r="H664" s="4" t="str">
        <f>"1996-10-02"</f>
        <v>1996-10-02</v>
      </c>
      <c r="I664" s="4" t="s">
        <v>12</v>
      </c>
      <c r="J664" s="5"/>
    </row>
    <row r="665" spans="1:10">
      <c r="A665" s="4">
        <v>661</v>
      </c>
      <c r="B665" s="4" t="str">
        <f>"20205512301"</f>
        <v>20205512301</v>
      </c>
      <c r="C665" s="4">
        <v>23</v>
      </c>
      <c r="D665" s="4">
        <v>1</v>
      </c>
      <c r="E665" s="4" t="s">
        <v>36</v>
      </c>
      <c r="F665" s="4" t="str">
        <f>"周汝依"</f>
        <v>周汝依</v>
      </c>
      <c r="G665" s="4" t="str">
        <f t="shared" si="30"/>
        <v>女</v>
      </c>
      <c r="H665" s="4" t="str">
        <f>"1996-03-12"</f>
        <v>1996-03-12</v>
      </c>
      <c r="I665" s="4">
        <v>67.4</v>
      </c>
      <c r="J665" s="5"/>
    </row>
    <row r="666" spans="1:10">
      <c r="A666" s="4">
        <v>662</v>
      </c>
      <c r="B666" s="4" t="str">
        <f>"20205512302"</f>
        <v>20205512302</v>
      </c>
      <c r="C666" s="4">
        <v>23</v>
      </c>
      <c r="D666" s="4">
        <v>2</v>
      </c>
      <c r="E666" s="4" t="s">
        <v>36</v>
      </c>
      <c r="F666" s="4" t="str">
        <f>"付娟"</f>
        <v>付娟</v>
      </c>
      <c r="G666" s="4" t="str">
        <f t="shared" si="30"/>
        <v>女</v>
      </c>
      <c r="H666" s="4" t="str">
        <f>"1995-12-30"</f>
        <v>1995-12-30</v>
      </c>
      <c r="I666" s="4">
        <v>61.1</v>
      </c>
      <c r="J666" s="5"/>
    </row>
    <row r="667" spans="1:10">
      <c r="A667" s="4">
        <v>663</v>
      </c>
      <c r="B667" s="4" t="str">
        <f>"20205512303"</f>
        <v>20205512303</v>
      </c>
      <c r="C667" s="4">
        <v>23</v>
      </c>
      <c r="D667" s="4">
        <v>3</v>
      </c>
      <c r="E667" s="4" t="s">
        <v>36</v>
      </c>
      <c r="F667" s="4" t="str">
        <f>"陈俊峰"</f>
        <v>陈俊峰</v>
      </c>
      <c r="G667" s="4" t="str">
        <f t="shared" si="30"/>
        <v>女</v>
      </c>
      <c r="H667" s="4" t="str">
        <f>"1994-05-16"</f>
        <v>1994-05-16</v>
      </c>
      <c r="I667" s="4" t="s">
        <v>12</v>
      </c>
      <c r="J667" s="5"/>
    </row>
    <row r="668" spans="1:10">
      <c r="A668" s="4">
        <v>664</v>
      </c>
      <c r="B668" s="4" t="str">
        <f>"20205512304"</f>
        <v>20205512304</v>
      </c>
      <c r="C668" s="4">
        <v>23</v>
      </c>
      <c r="D668" s="4">
        <v>4</v>
      </c>
      <c r="E668" s="4" t="s">
        <v>36</v>
      </c>
      <c r="F668" s="4" t="str">
        <f>"范春磊"</f>
        <v>范春磊</v>
      </c>
      <c r="G668" s="4" t="str">
        <f>"男"</f>
        <v>男</v>
      </c>
      <c r="H668" s="4" t="str">
        <f>"1993-02-22"</f>
        <v>1993-02-22</v>
      </c>
      <c r="I668" s="4">
        <v>52.3</v>
      </c>
      <c r="J668" s="5"/>
    </row>
    <row r="669" spans="1:10">
      <c r="A669" s="4">
        <v>665</v>
      </c>
      <c r="B669" s="4" t="str">
        <f>"20205512305"</f>
        <v>20205512305</v>
      </c>
      <c r="C669" s="4">
        <v>23</v>
      </c>
      <c r="D669" s="4">
        <v>5</v>
      </c>
      <c r="E669" s="4" t="s">
        <v>36</v>
      </c>
      <c r="F669" s="4" t="str">
        <f>"艾扬"</f>
        <v>艾扬</v>
      </c>
      <c r="G669" s="4" t="str">
        <f>"女"</f>
        <v>女</v>
      </c>
      <c r="H669" s="4" t="str">
        <f>"1998-01-28"</f>
        <v>1998-01-28</v>
      </c>
      <c r="I669" s="4" t="s">
        <v>12</v>
      </c>
      <c r="J669" s="5"/>
    </row>
    <row r="670" spans="1:10">
      <c r="A670" s="4">
        <v>666</v>
      </c>
      <c r="B670" s="4" t="str">
        <f>"20205512306"</f>
        <v>20205512306</v>
      </c>
      <c r="C670" s="4">
        <v>23</v>
      </c>
      <c r="D670" s="4">
        <v>6</v>
      </c>
      <c r="E670" s="4" t="s">
        <v>36</v>
      </c>
      <c r="F670" s="4" t="str">
        <f>"杜爽"</f>
        <v>杜爽</v>
      </c>
      <c r="G670" s="4" t="str">
        <f>"女"</f>
        <v>女</v>
      </c>
      <c r="H670" s="4" t="str">
        <f>"1992-05-06"</f>
        <v>1992-05-06</v>
      </c>
      <c r="I670" s="4">
        <v>59.7</v>
      </c>
      <c r="J670" s="5"/>
    </row>
    <row r="671" spans="1:10">
      <c r="A671" s="4">
        <v>667</v>
      </c>
      <c r="B671" s="4" t="str">
        <f>"20205512307"</f>
        <v>20205512307</v>
      </c>
      <c r="C671" s="4">
        <v>23</v>
      </c>
      <c r="D671" s="4">
        <v>7</v>
      </c>
      <c r="E671" s="4" t="s">
        <v>36</v>
      </c>
      <c r="F671" s="4" t="str">
        <f>"周丹"</f>
        <v>周丹</v>
      </c>
      <c r="G671" s="4" t="str">
        <f>"女"</f>
        <v>女</v>
      </c>
      <c r="H671" s="4" t="str">
        <f>"1997-01-10"</f>
        <v>1997-01-10</v>
      </c>
      <c r="I671" s="4">
        <v>61.8</v>
      </c>
      <c r="J671" s="5"/>
    </row>
    <row r="672" spans="1:10">
      <c r="A672" s="4">
        <v>668</v>
      </c>
      <c r="B672" s="4" t="str">
        <f>"20205512308"</f>
        <v>20205512308</v>
      </c>
      <c r="C672" s="4">
        <v>23</v>
      </c>
      <c r="D672" s="4">
        <v>8</v>
      </c>
      <c r="E672" s="4" t="s">
        <v>36</v>
      </c>
      <c r="F672" s="4" t="str">
        <f>"李世熙"</f>
        <v>李世熙</v>
      </c>
      <c r="G672" s="4" t="str">
        <f>"男"</f>
        <v>男</v>
      </c>
      <c r="H672" s="4" t="str">
        <f>"1999-01-09"</f>
        <v>1999-01-09</v>
      </c>
      <c r="I672" s="4">
        <v>67.2</v>
      </c>
      <c r="J672" s="5"/>
    </row>
    <row r="673" spans="1:10">
      <c r="A673" s="4">
        <v>669</v>
      </c>
      <c r="B673" s="4" t="str">
        <f>"20205612309"</f>
        <v>20205612309</v>
      </c>
      <c r="C673" s="4">
        <v>23</v>
      </c>
      <c r="D673" s="4">
        <v>9</v>
      </c>
      <c r="E673" s="4" t="s">
        <v>37</v>
      </c>
      <c r="F673" s="4" t="str">
        <f>"陈冬微"</f>
        <v>陈冬微</v>
      </c>
      <c r="G673" s="4" t="str">
        <f>"女"</f>
        <v>女</v>
      </c>
      <c r="H673" s="4" t="str">
        <f>"1997-11-25"</f>
        <v>1997-11-25</v>
      </c>
      <c r="I673" s="4">
        <v>72.5</v>
      </c>
      <c r="J673" s="5"/>
    </row>
    <row r="674" spans="1:10">
      <c r="A674" s="4">
        <v>670</v>
      </c>
      <c r="B674" s="4" t="str">
        <f>"20205612310"</f>
        <v>20205612310</v>
      </c>
      <c r="C674" s="4">
        <v>23</v>
      </c>
      <c r="D674" s="4">
        <v>10</v>
      </c>
      <c r="E674" s="4" t="s">
        <v>37</v>
      </c>
      <c r="F674" s="4" t="str">
        <f>"祝璧琳"</f>
        <v>祝璧琳</v>
      </c>
      <c r="G674" s="4" t="str">
        <f>"女"</f>
        <v>女</v>
      </c>
      <c r="H674" s="4" t="str">
        <f>"1994-06-16"</f>
        <v>1994-06-16</v>
      </c>
      <c r="I674" s="4" t="s">
        <v>12</v>
      </c>
      <c r="J674" s="5"/>
    </row>
    <row r="675" spans="1:10">
      <c r="A675" s="4">
        <v>671</v>
      </c>
      <c r="B675" s="4" t="str">
        <f>"20205612311"</f>
        <v>20205612311</v>
      </c>
      <c r="C675" s="4">
        <v>23</v>
      </c>
      <c r="D675" s="4">
        <v>11</v>
      </c>
      <c r="E675" s="4" t="s">
        <v>37</v>
      </c>
      <c r="F675" s="4" t="str">
        <f>"李姗珊"</f>
        <v>李姗珊</v>
      </c>
      <c r="G675" s="4" t="str">
        <f>"女"</f>
        <v>女</v>
      </c>
      <c r="H675" s="4" t="str">
        <f>"1995-03-21"</f>
        <v>1995-03-21</v>
      </c>
      <c r="I675" s="4">
        <v>66.1</v>
      </c>
      <c r="J675" s="5"/>
    </row>
    <row r="676" spans="1:10">
      <c r="A676" s="4">
        <v>672</v>
      </c>
      <c r="B676" s="4" t="str">
        <f>"20205612312"</f>
        <v>20205612312</v>
      </c>
      <c r="C676" s="4">
        <v>23</v>
      </c>
      <c r="D676" s="4">
        <v>12</v>
      </c>
      <c r="E676" s="4" t="s">
        <v>37</v>
      </c>
      <c r="F676" s="4" t="str">
        <f>"何博"</f>
        <v>何博</v>
      </c>
      <c r="G676" s="4" t="str">
        <f>"男"</f>
        <v>男</v>
      </c>
      <c r="H676" s="4" t="str">
        <f>"1996-08-20"</f>
        <v>1996-08-20</v>
      </c>
      <c r="I676" s="4" t="s">
        <v>12</v>
      </c>
      <c r="J676" s="5"/>
    </row>
    <row r="677" spans="1:10">
      <c r="A677" s="4">
        <v>673</v>
      </c>
      <c r="B677" s="4" t="str">
        <f>"20205612313"</f>
        <v>20205612313</v>
      </c>
      <c r="C677" s="4">
        <v>23</v>
      </c>
      <c r="D677" s="4">
        <v>13</v>
      </c>
      <c r="E677" s="4" t="s">
        <v>37</v>
      </c>
      <c r="F677" s="4" t="str">
        <f>"高杰"</f>
        <v>高杰</v>
      </c>
      <c r="G677" s="4" t="str">
        <f>"男"</f>
        <v>男</v>
      </c>
      <c r="H677" s="4" t="str">
        <f>"1995-12-19"</f>
        <v>1995-12-19</v>
      </c>
      <c r="I677" s="4" t="s">
        <v>12</v>
      </c>
      <c r="J677" s="5"/>
    </row>
    <row r="678" spans="1:10">
      <c r="A678" s="4">
        <v>674</v>
      </c>
      <c r="B678" s="4" t="str">
        <f>"20205612314"</f>
        <v>20205612314</v>
      </c>
      <c r="C678" s="4">
        <v>23</v>
      </c>
      <c r="D678" s="4">
        <v>14</v>
      </c>
      <c r="E678" s="4" t="s">
        <v>37</v>
      </c>
      <c r="F678" s="4" t="str">
        <f>"王贺"</f>
        <v>王贺</v>
      </c>
      <c r="G678" s="4" t="str">
        <f>"女"</f>
        <v>女</v>
      </c>
      <c r="H678" s="4" t="str">
        <f>"2000-05-21"</f>
        <v>2000-05-21</v>
      </c>
      <c r="I678" s="4">
        <v>65.1</v>
      </c>
      <c r="J678" s="5"/>
    </row>
    <row r="679" spans="1:10">
      <c r="A679" s="4">
        <v>675</v>
      </c>
      <c r="B679" s="4" t="str">
        <f>"20205612315"</f>
        <v>20205612315</v>
      </c>
      <c r="C679" s="4">
        <v>23</v>
      </c>
      <c r="D679" s="4">
        <v>15</v>
      </c>
      <c r="E679" s="4" t="s">
        <v>37</v>
      </c>
      <c r="F679" s="4" t="str">
        <f>"成克宇"</f>
        <v>成克宇</v>
      </c>
      <c r="G679" s="4" t="str">
        <f>"女"</f>
        <v>女</v>
      </c>
      <c r="H679" s="4" t="str">
        <f>"1998-08-10"</f>
        <v>1998-08-10</v>
      </c>
      <c r="I679" s="4">
        <v>69.8</v>
      </c>
      <c r="J679" s="5"/>
    </row>
    <row r="680" spans="1:10">
      <c r="A680" s="4">
        <v>676</v>
      </c>
      <c r="B680" s="4" t="str">
        <f>"20205612316"</f>
        <v>20205612316</v>
      </c>
      <c r="C680" s="4">
        <v>23</v>
      </c>
      <c r="D680" s="4">
        <v>16</v>
      </c>
      <c r="E680" s="4" t="s">
        <v>37</v>
      </c>
      <c r="F680" s="4" t="str">
        <f>"李林源"</f>
        <v>李林源</v>
      </c>
      <c r="G680" s="4" t="str">
        <f>"男"</f>
        <v>男</v>
      </c>
      <c r="H680" s="4" t="str">
        <f>"1997-04-02"</f>
        <v>1997-04-02</v>
      </c>
      <c r="I680" s="4">
        <v>57.3</v>
      </c>
      <c r="J680" s="5"/>
    </row>
    <row r="681" spans="1:10">
      <c r="A681" s="4">
        <v>677</v>
      </c>
      <c r="B681" s="4" t="str">
        <f>"20205712317"</f>
        <v>20205712317</v>
      </c>
      <c r="C681" s="4">
        <v>23</v>
      </c>
      <c r="D681" s="4">
        <v>17</v>
      </c>
      <c r="E681" s="4" t="s">
        <v>38</v>
      </c>
      <c r="F681" s="4" t="str">
        <f>"崔昶"</f>
        <v>崔昶</v>
      </c>
      <c r="G681" s="4" t="str">
        <f>"男"</f>
        <v>男</v>
      </c>
      <c r="H681" s="4" t="str">
        <f>"1996-11-27"</f>
        <v>1996-11-27</v>
      </c>
      <c r="I681" s="4">
        <v>55.8</v>
      </c>
      <c r="J681" s="5"/>
    </row>
    <row r="682" spans="1:10">
      <c r="A682" s="4">
        <v>678</v>
      </c>
      <c r="B682" s="4" t="str">
        <f>"20205712318"</f>
        <v>20205712318</v>
      </c>
      <c r="C682" s="4">
        <v>23</v>
      </c>
      <c r="D682" s="4">
        <v>18</v>
      </c>
      <c r="E682" s="4" t="s">
        <v>38</v>
      </c>
      <c r="F682" s="4" t="str">
        <f>"李家欣"</f>
        <v>李家欣</v>
      </c>
      <c r="G682" s="4" t="str">
        <f>"男"</f>
        <v>男</v>
      </c>
      <c r="H682" s="4" t="str">
        <f>"1996-01-25"</f>
        <v>1996-01-25</v>
      </c>
      <c r="I682" s="4" t="s">
        <v>12</v>
      </c>
      <c r="J682" s="5"/>
    </row>
    <row r="683" spans="1:10">
      <c r="A683" s="4">
        <v>679</v>
      </c>
      <c r="B683" s="4" t="str">
        <f>"20205712319"</f>
        <v>20205712319</v>
      </c>
      <c r="C683" s="4">
        <v>23</v>
      </c>
      <c r="D683" s="4">
        <v>19</v>
      </c>
      <c r="E683" s="4" t="s">
        <v>38</v>
      </c>
      <c r="F683" s="4" t="str">
        <f>"王鹏"</f>
        <v>王鹏</v>
      </c>
      <c r="G683" s="4" t="str">
        <f>"男"</f>
        <v>男</v>
      </c>
      <c r="H683" s="4" t="str">
        <f>"1993-09-02"</f>
        <v>1993-09-02</v>
      </c>
      <c r="I683" s="4" t="s">
        <v>12</v>
      </c>
      <c r="J683" s="5"/>
    </row>
    <row r="684" spans="1:10">
      <c r="A684" s="4">
        <v>680</v>
      </c>
      <c r="B684" s="4" t="str">
        <f>"20205712320"</f>
        <v>20205712320</v>
      </c>
      <c r="C684" s="4">
        <v>23</v>
      </c>
      <c r="D684" s="4">
        <v>20</v>
      </c>
      <c r="E684" s="4" t="s">
        <v>38</v>
      </c>
      <c r="F684" s="4" t="str">
        <f>"王果"</f>
        <v>王果</v>
      </c>
      <c r="G684" s="4" t="str">
        <f>"女"</f>
        <v>女</v>
      </c>
      <c r="H684" s="4" t="str">
        <f>"1997-02-18"</f>
        <v>1997-02-18</v>
      </c>
      <c r="I684" s="4" t="s">
        <v>12</v>
      </c>
      <c r="J684" s="5"/>
    </row>
    <row r="685" spans="1:10">
      <c r="A685" s="4">
        <v>681</v>
      </c>
      <c r="B685" s="4" t="str">
        <f>"20205712321"</f>
        <v>20205712321</v>
      </c>
      <c r="C685" s="4">
        <v>23</v>
      </c>
      <c r="D685" s="4">
        <v>21</v>
      </c>
      <c r="E685" s="4" t="s">
        <v>38</v>
      </c>
      <c r="F685" s="4" t="str">
        <f>"杨悦"</f>
        <v>杨悦</v>
      </c>
      <c r="G685" s="4" t="str">
        <f>"女"</f>
        <v>女</v>
      </c>
      <c r="H685" s="4" t="str">
        <f>"1997-03-06"</f>
        <v>1997-03-06</v>
      </c>
      <c r="I685" s="4" t="s">
        <v>12</v>
      </c>
      <c r="J685" s="5"/>
    </row>
    <row r="686" spans="1:10">
      <c r="A686" s="4">
        <v>682</v>
      </c>
      <c r="B686" s="4" t="str">
        <f>"20205712322"</f>
        <v>20205712322</v>
      </c>
      <c r="C686" s="4">
        <v>23</v>
      </c>
      <c r="D686" s="4">
        <v>22</v>
      </c>
      <c r="E686" s="4" t="s">
        <v>38</v>
      </c>
      <c r="F686" s="4" t="str">
        <f>"陈亚茹"</f>
        <v>陈亚茹</v>
      </c>
      <c r="G686" s="4" t="str">
        <f>"女"</f>
        <v>女</v>
      </c>
      <c r="H686" s="4" t="str">
        <f>"1998-02-17"</f>
        <v>1998-02-17</v>
      </c>
      <c r="I686" s="4">
        <v>66.8</v>
      </c>
      <c r="J686" s="5"/>
    </row>
    <row r="687" spans="1:10">
      <c r="A687" s="4">
        <v>683</v>
      </c>
      <c r="B687" s="4" t="str">
        <f>"20205812323"</f>
        <v>20205812323</v>
      </c>
      <c r="C687" s="4">
        <v>23</v>
      </c>
      <c r="D687" s="4">
        <v>23</v>
      </c>
      <c r="E687" s="4" t="s">
        <v>39</v>
      </c>
      <c r="F687" s="4" t="str">
        <f>"姜苗"</f>
        <v>姜苗</v>
      </c>
      <c r="G687" s="4" t="str">
        <f>"女"</f>
        <v>女</v>
      </c>
      <c r="H687" s="4" t="str">
        <f>"1996-11-20"</f>
        <v>1996-11-20</v>
      </c>
      <c r="I687" s="4">
        <v>65.5</v>
      </c>
      <c r="J687" s="5"/>
    </row>
    <row r="688" spans="1:10">
      <c r="A688" s="4">
        <v>684</v>
      </c>
      <c r="B688" s="4" t="str">
        <f>"20205812324"</f>
        <v>20205812324</v>
      </c>
      <c r="C688" s="4">
        <v>23</v>
      </c>
      <c r="D688" s="4">
        <v>24</v>
      </c>
      <c r="E688" s="4" t="s">
        <v>39</v>
      </c>
      <c r="F688" s="4" t="str">
        <f>"杨中华"</f>
        <v>杨中华</v>
      </c>
      <c r="G688" s="4" t="str">
        <f>"女"</f>
        <v>女</v>
      </c>
      <c r="H688" s="4" t="str">
        <f>"1996-03-18"</f>
        <v>1996-03-18</v>
      </c>
      <c r="I688" s="4">
        <v>65.4</v>
      </c>
      <c r="J688" s="5"/>
    </row>
    <row r="689" spans="1:10">
      <c r="A689" s="4">
        <v>685</v>
      </c>
      <c r="B689" s="4" t="str">
        <f>"20205812325"</f>
        <v>20205812325</v>
      </c>
      <c r="C689" s="4">
        <v>23</v>
      </c>
      <c r="D689" s="4">
        <v>25</v>
      </c>
      <c r="E689" s="4" t="s">
        <v>39</v>
      </c>
      <c r="F689" s="4" t="str">
        <f>"李亚鹏"</f>
        <v>李亚鹏</v>
      </c>
      <c r="G689" s="4" t="str">
        <f>"男"</f>
        <v>男</v>
      </c>
      <c r="H689" s="4" t="str">
        <f>"1995-05-04"</f>
        <v>1995-05-04</v>
      </c>
      <c r="I689" s="4">
        <v>52.3</v>
      </c>
      <c r="J689" s="5"/>
    </row>
    <row r="690" spans="1:10">
      <c r="A690" s="4">
        <v>686</v>
      </c>
      <c r="B690" s="4" t="str">
        <f>"20205812326"</f>
        <v>20205812326</v>
      </c>
      <c r="C690" s="4">
        <v>23</v>
      </c>
      <c r="D690" s="4">
        <v>26</v>
      </c>
      <c r="E690" s="4" t="s">
        <v>39</v>
      </c>
      <c r="F690" s="4" t="str">
        <f>"王蕊"</f>
        <v>王蕊</v>
      </c>
      <c r="G690" s="4" t="str">
        <f t="shared" ref="G690:G696" si="31">"女"</f>
        <v>女</v>
      </c>
      <c r="H690" s="4" t="str">
        <f>"1997-01-03"</f>
        <v>1997-01-03</v>
      </c>
      <c r="I690" s="4">
        <v>72.1</v>
      </c>
      <c r="J690" s="5"/>
    </row>
    <row r="691" spans="1:10">
      <c r="A691" s="4">
        <v>687</v>
      </c>
      <c r="B691" s="4" t="str">
        <f>"20205812327"</f>
        <v>20205812327</v>
      </c>
      <c r="C691" s="4">
        <v>23</v>
      </c>
      <c r="D691" s="4">
        <v>27</v>
      </c>
      <c r="E691" s="4" t="s">
        <v>39</v>
      </c>
      <c r="F691" s="4" t="str">
        <f>"韩春红"</f>
        <v>韩春红</v>
      </c>
      <c r="G691" s="4" t="str">
        <f t="shared" si="31"/>
        <v>女</v>
      </c>
      <c r="H691" s="4" t="str">
        <f>"1994-05-12"</f>
        <v>1994-05-12</v>
      </c>
      <c r="I691" s="4">
        <v>52.7</v>
      </c>
      <c r="J691" s="5"/>
    </row>
    <row r="692" spans="1:10">
      <c r="A692" s="4">
        <v>688</v>
      </c>
      <c r="B692" s="4" t="str">
        <f>"20205812328"</f>
        <v>20205812328</v>
      </c>
      <c r="C692" s="4">
        <v>23</v>
      </c>
      <c r="D692" s="4">
        <v>28</v>
      </c>
      <c r="E692" s="4" t="s">
        <v>39</v>
      </c>
      <c r="F692" s="4" t="str">
        <f>"李秀蓥"</f>
        <v>李秀蓥</v>
      </c>
      <c r="G692" s="4" t="str">
        <f t="shared" si="31"/>
        <v>女</v>
      </c>
      <c r="H692" s="4" t="str">
        <f>"1996-11-08"</f>
        <v>1996-11-08</v>
      </c>
      <c r="I692" s="4" t="s">
        <v>12</v>
      </c>
      <c r="J692" s="5"/>
    </row>
    <row r="693" spans="1:10">
      <c r="A693" s="4">
        <v>689</v>
      </c>
      <c r="B693" s="4" t="str">
        <f>"20205812329"</f>
        <v>20205812329</v>
      </c>
      <c r="C693" s="4">
        <v>23</v>
      </c>
      <c r="D693" s="4">
        <v>29</v>
      </c>
      <c r="E693" s="4" t="s">
        <v>39</v>
      </c>
      <c r="F693" s="4" t="str">
        <f>"邓杰玉"</f>
        <v>邓杰玉</v>
      </c>
      <c r="G693" s="4" t="str">
        <f t="shared" si="31"/>
        <v>女</v>
      </c>
      <c r="H693" s="4" t="str">
        <f>"1995-07-07"</f>
        <v>1995-07-07</v>
      </c>
      <c r="I693" s="4" t="s">
        <v>12</v>
      </c>
      <c r="J693" s="5"/>
    </row>
    <row r="694" spans="1:10">
      <c r="A694" s="4">
        <v>690</v>
      </c>
      <c r="B694" s="4" t="str">
        <f>"20205812330"</f>
        <v>20205812330</v>
      </c>
      <c r="C694" s="4">
        <v>23</v>
      </c>
      <c r="D694" s="4">
        <v>30</v>
      </c>
      <c r="E694" s="4" t="s">
        <v>39</v>
      </c>
      <c r="F694" s="4" t="str">
        <f>"符婉玉"</f>
        <v>符婉玉</v>
      </c>
      <c r="G694" s="4" t="str">
        <f t="shared" si="31"/>
        <v>女</v>
      </c>
      <c r="H694" s="4" t="str">
        <f>"1997-08-20"</f>
        <v>1997-08-20</v>
      </c>
      <c r="I694" s="4">
        <v>61.2</v>
      </c>
      <c r="J694" s="5"/>
    </row>
    <row r="695" spans="1:10">
      <c r="A695" s="4">
        <v>691</v>
      </c>
      <c r="B695" s="4" t="str">
        <f>"20205812401"</f>
        <v>20205812401</v>
      </c>
      <c r="C695" s="4">
        <v>24</v>
      </c>
      <c r="D695" s="4">
        <v>1</v>
      </c>
      <c r="E695" s="4" t="s">
        <v>39</v>
      </c>
      <c r="F695" s="4" t="str">
        <f>"周洁"</f>
        <v>周洁</v>
      </c>
      <c r="G695" s="4" t="str">
        <f t="shared" si="31"/>
        <v>女</v>
      </c>
      <c r="H695" s="4" t="str">
        <f>"1998-03-01"</f>
        <v>1998-03-01</v>
      </c>
      <c r="I695" s="4">
        <v>52.3</v>
      </c>
      <c r="J695" s="5"/>
    </row>
    <row r="696" spans="1:10">
      <c r="A696" s="4">
        <v>692</v>
      </c>
      <c r="B696" s="4" t="str">
        <f>"20205812402"</f>
        <v>20205812402</v>
      </c>
      <c r="C696" s="4">
        <v>24</v>
      </c>
      <c r="D696" s="4">
        <v>2</v>
      </c>
      <c r="E696" s="4" t="s">
        <v>39</v>
      </c>
      <c r="F696" s="4" t="str">
        <f>"蒋亚涵"</f>
        <v>蒋亚涵</v>
      </c>
      <c r="G696" s="4" t="str">
        <f t="shared" si="31"/>
        <v>女</v>
      </c>
      <c r="H696" s="4" t="str">
        <f>"1997-12-21"</f>
        <v>1997-12-21</v>
      </c>
      <c r="I696" s="4">
        <v>61</v>
      </c>
      <c r="J696" s="5"/>
    </row>
    <row r="697" spans="1:10">
      <c r="A697" s="4">
        <v>693</v>
      </c>
      <c r="B697" s="4" t="str">
        <f>"20205812403"</f>
        <v>20205812403</v>
      </c>
      <c r="C697" s="4">
        <v>24</v>
      </c>
      <c r="D697" s="4">
        <v>3</v>
      </c>
      <c r="E697" s="4" t="s">
        <v>39</v>
      </c>
      <c r="F697" s="4" t="str">
        <f>"孙振林"</f>
        <v>孙振林</v>
      </c>
      <c r="G697" s="4" t="str">
        <f>"男"</f>
        <v>男</v>
      </c>
      <c r="H697" s="4" t="str">
        <f>"1998-07-16"</f>
        <v>1998-07-16</v>
      </c>
      <c r="I697" s="4">
        <v>62.1</v>
      </c>
      <c r="J697" s="5"/>
    </row>
    <row r="698" spans="1:10">
      <c r="A698" s="4">
        <v>694</v>
      </c>
      <c r="B698" s="4" t="str">
        <f>"20205812404"</f>
        <v>20205812404</v>
      </c>
      <c r="C698" s="4">
        <v>24</v>
      </c>
      <c r="D698" s="4">
        <v>4</v>
      </c>
      <c r="E698" s="4" t="s">
        <v>39</v>
      </c>
      <c r="F698" s="4" t="str">
        <f>"李莹"</f>
        <v>李莹</v>
      </c>
      <c r="G698" s="4" t="str">
        <f>"女"</f>
        <v>女</v>
      </c>
      <c r="H698" s="4" t="str">
        <f>"1995-05-01"</f>
        <v>1995-05-01</v>
      </c>
      <c r="I698" s="4" t="s">
        <v>12</v>
      </c>
      <c r="J698" s="5"/>
    </row>
    <row r="699" spans="1:10">
      <c r="A699" s="4">
        <v>695</v>
      </c>
      <c r="B699" s="4" t="str">
        <f>"20205812405"</f>
        <v>20205812405</v>
      </c>
      <c r="C699" s="4">
        <v>24</v>
      </c>
      <c r="D699" s="4">
        <v>5</v>
      </c>
      <c r="E699" s="4" t="s">
        <v>39</v>
      </c>
      <c r="F699" s="4" t="str">
        <f>"李云"</f>
        <v>李云</v>
      </c>
      <c r="G699" s="4" t="str">
        <f>"女"</f>
        <v>女</v>
      </c>
      <c r="H699" s="4" t="str">
        <f>"1993-04-05"</f>
        <v>1993-04-05</v>
      </c>
      <c r="I699" s="4" t="s">
        <v>12</v>
      </c>
      <c r="J699" s="5"/>
    </row>
    <row r="700" spans="1:10">
      <c r="A700" s="4">
        <v>696</v>
      </c>
      <c r="B700" s="4" t="str">
        <f>"20205812406"</f>
        <v>20205812406</v>
      </c>
      <c r="C700" s="4">
        <v>24</v>
      </c>
      <c r="D700" s="4">
        <v>6</v>
      </c>
      <c r="E700" s="4" t="s">
        <v>39</v>
      </c>
      <c r="F700" s="4" t="str">
        <f>"杜云"</f>
        <v>杜云</v>
      </c>
      <c r="G700" s="4" t="str">
        <f>"女"</f>
        <v>女</v>
      </c>
      <c r="H700" s="4" t="str">
        <f>"1996-10-02"</f>
        <v>1996-10-02</v>
      </c>
      <c r="I700" s="4" t="s">
        <v>12</v>
      </c>
      <c r="J700" s="5"/>
    </row>
    <row r="701" spans="1:10">
      <c r="A701" s="4">
        <v>697</v>
      </c>
      <c r="B701" s="4" t="str">
        <f>"20205812407"</f>
        <v>20205812407</v>
      </c>
      <c r="C701" s="4">
        <v>24</v>
      </c>
      <c r="D701" s="4">
        <v>7</v>
      </c>
      <c r="E701" s="4" t="s">
        <v>39</v>
      </c>
      <c r="F701" s="4" t="str">
        <f>"高嘉庆"</f>
        <v>高嘉庆</v>
      </c>
      <c r="G701" s="4" t="str">
        <f>"男"</f>
        <v>男</v>
      </c>
      <c r="H701" s="4" t="str">
        <f>"1997-09-28"</f>
        <v>1997-09-28</v>
      </c>
      <c r="I701" s="4">
        <v>58.3</v>
      </c>
      <c r="J701" s="5"/>
    </row>
    <row r="702" spans="1:10">
      <c r="A702" s="4">
        <v>698</v>
      </c>
      <c r="B702" s="4" t="str">
        <f>"20205812408"</f>
        <v>20205812408</v>
      </c>
      <c r="C702" s="4">
        <v>24</v>
      </c>
      <c r="D702" s="4">
        <v>8</v>
      </c>
      <c r="E702" s="4" t="s">
        <v>39</v>
      </c>
      <c r="F702" s="4" t="str">
        <f>"樊欣意"</f>
        <v>樊欣意</v>
      </c>
      <c r="G702" s="4" t="str">
        <f>"女"</f>
        <v>女</v>
      </c>
      <c r="H702" s="4" t="str">
        <f>"1995-05-21"</f>
        <v>1995-05-21</v>
      </c>
      <c r="I702" s="4">
        <v>70.8</v>
      </c>
      <c r="J702" s="5"/>
    </row>
    <row r="703" spans="1:10">
      <c r="A703" s="4">
        <v>699</v>
      </c>
      <c r="B703" s="4" t="str">
        <f>"20205812409"</f>
        <v>20205812409</v>
      </c>
      <c r="C703" s="4">
        <v>24</v>
      </c>
      <c r="D703" s="4">
        <v>9</v>
      </c>
      <c r="E703" s="4" t="s">
        <v>39</v>
      </c>
      <c r="F703" s="4" t="str">
        <f>"周艳敏"</f>
        <v>周艳敏</v>
      </c>
      <c r="G703" s="4" t="str">
        <f>"女"</f>
        <v>女</v>
      </c>
      <c r="H703" s="4" t="str">
        <f>"1995-08-07"</f>
        <v>1995-08-07</v>
      </c>
      <c r="I703" s="4" t="s">
        <v>12</v>
      </c>
      <c r="J703" s="5"/>
    </row>
    <row r="704" spans="1:10">
      <c r="A704" s="4">
        <v>700</v>
      </c>
      <c r="B704" s="4" t="str">
        <f>"20205912410"</f>
        <v>20205912410</v>
      </c>
      <c r="C704" s="4">
        <v>24</v>
      </c>
      <c r="D704" s="4">
        <v>10</v>
      </c>
      <c r="E704" s="4" t="s">
        <v>40</v>
      </c>
      <c r="F704" s="4" t="str">
        <f>"韦森"</f>
        <v>韦森</v>
      </c>
      <c r="G704" s="4" t="str">
        <f>"男"</f>
        <v>男</v>
      </c>
      <c r="H704" s="4" t="str">
        <f>"1993-06-15"</f>
        <v>1993-06-15</v>
      </c>
      <c r="I704" s="4">
        <v>59.4</v>
      </c>
      <c r="J704" s="5"/>
    </row>
    <row r="705" spans="1:10">
      <c r="A705" s="4">
        <v>701</v>
      </c>
      <c r="B705" s="4" t="str">
        <f>"20205912411"</f>
        <v>20205912411</v>
      </c>
      <c r="C705" s="4">
        <v>24</v>
      </c>
      <c r="D705" s="4">
        <v>11</v>
      </c>
      <c r="E705" s="4" t="s">
        <v>40</v>
      </c>
      <c r="F705" s="4" t="str">
        <f>"闫相瑜"</f>
        <v>闫相瑜</v>
      </c>
      <c r="G705" s="4" t="str">
        <f>"女"</f>
        <v>女</v>
      </c>
      <c r="H705" s="4" t="str">
        <f>"1998-04-02"</f>
        <v>1998-04-02</v>
      </c>
      <c r="I705" s="4" t="s">
        <v>12</v>
      </c>
      <c r="J705" s="5"/>
    </row>
    <row r="706" spans="1:10">
      <c r="A706" s="4">
        <v>702</v>
      </c>
      <c r="B706" s="4" t="str">
        <f>"20205912412"</f>
        <v>20205912412</v>
      </c>
      <c r="C706" s="4">
        <v>24</v>
      </c>
      <c r="D706" s="4">
        <v>12</v>
      </c>
      <c r="E706" s="4" t="s">
        <v>40</v>
      </c>
      <c r="F706" s="4" t="str">
        <f>"郭鑫"</f>
        <v>郭鑫</v>
      </c>
      <c r="G706" s="4" t="str">
        <f>"男"</f>
        <v>男</v>
      </c>
      <c r="H706" s="4" t="str">
        <f>"1998-01-29"</f>
        <v>1998-01-29</v>
      </c>
      <c r="I706" s="4">
        <v>77.2</v>
      </c>
      <c r="J706" s="5"/>
    </row>
    <row r="707" spans="1:10">
      <c r="A707" s="4">
        <v>703</v>
      </c>
      <c r="B707" s="4" t="str">
        <f>"20205912413"</f>
        <v>20205912413</v>
      </c>
      <c r="C707" s="4">
        <v>24</v>
      </c>
      <c r="D707" s="4">
        <v>13</v>
      </c>
      <c r="E707" s="4" t="s">
        <v>40</v>
      </c>
      <c r="F707" s="4" t="str">
        <f>"曹永香"</f>
        <v>曹永香</v>
      </c>
      <c r="G707" s="4" t="str">
        <f>"女"</f>
        <v>女</v>
      </c>
      <c r="H707" s="4" t="str">
        <f>"1997-09-30"</f>
        <v>1997-09-30</v>
      </c>
      <c r="I707" s="4" t="s">
        <v>12</v>
      </c>
      <c r="J707" s="5"/>
    </row>
    <row r="708" spans="1:10">
      <c r="A708" s="4">
        <v>704</v>
      </c>
      <c r="B708" s="4" t="str">
        <f>"20205912414"</f>
        <v>20205912414</v>
      </c>
      <c r="C708" s="4">
        <v>24</v>
      </c>
      <c r="D708" s="4">
        <v>14</v>
      </c>
      <c r="E708" s="4" t="s">
        <v>40</v>
      </c>
      <c r="F708" s="4" t="str">
        <f>"张明杰"</f>
        <v>张明杰</v>
      </c>
      <c r="G708" s="4" t="str">
        <f>"女"</f>
        <v>女</v>
      </c>
      <c r="H708" s="4" t="str">
        <f>"1996-10-25"</f>
        <v>1996-10-25</v>
      </c>
      <c r="I708" s="4" t="s">
        <v>12</v>
      </c>
      <c r="J708" s="5"/>
    </row>
    <row r="709" spans="1:10">
      <c r="A709" s="4">
        <v>705</v>
      </c>
      <c r="B709" s="4" t="str">
        <f>"20205912415"</f>
        <v>20205912415</v>
      </c>
      <c r="C709" s="4">
        <v>24</v>
      </c>
      <c r="D709" s="4">
        <v>15</v>
      </c>
      <c r="E709" s="4" t="s">
        <v>40</v>
      </c>
      <c r="F709" s="4" t="str">
        <f>"李合伟"</f>
        <v>李合伟</v>
      </c>
      <c r="G709" s="4" t="str">
        <f>"男"</f>
        <v>男</v>
      </c>
      <c r="H709" s="4" t="str">
        <f>"1991-09-12"</f>
        <v>1991-09-12</v>
      </c>
      <c r="I709" s="4">
        <v>57.7</v>
      </c>
      <c r="J709" s="5"/>
    </row>
    <row r="710" spans="1:10">
      <c r="A710" s="4">
        <v>706</v>
      </c>
      <c r="B710" s="4" t="str">
        <f>"20205912416"</f>
        <v>20205912416</v>
      </c>
      <c r="C710" s="4">
        <v>24</v>
      </c>
      <c r="D710" s="4">
        <v>16</v>
      </c>
      <c r="E710" s="4" t="s">
        <v>40</v>
      </c>
      <c r="F710" s="4" t="str">
        <f>"郭美媛"</f>
        <v>郭美媛</v>
      </c>
      <c r="G710" s="4" t="str">
        <f t="shared" ref="G710:G715" si="32">"女"</f>
        <v>女</v>
      </c>
      <c r="H710" s="4" t="str">
        <f>"1997-01-03"</f>
        <v>1997-01-03</v>
      </c>
      <c r="I710" s="4">
        <v>68.5</v>
      </c>
      <c r="J710" s="5"/>
    </row>
    <row r="711" spans="1:10">
      <c r="A711" s="4">
        <v>707</v>
      </c>
      <c r="B711" s="4" t="str">
        <f>"20205912417"</f>
        <v>20205912417</v>
      </c>
      <c r="C711" s="4">
        <v>24</v>
      </c>
      <c r="D711" s="4">
        <v>17</v>
      </c>
      <c r="E711" s="4" t="s">
        <v>40</v>
      </c>
      <c r="F711" s="4" t="str">
        <f>"翟冬婉"</f>
        <v>翟冬婉</v>
      </c>
      <c r="G711" s="4" t="str">
        <f t="shared" si="32"/>
        <v>女</v>
      </c>
      <c r="H711" s="4" t="str">
        <f>"1995-11-05"</f>
        <v>1995-11-05</v>
      </c>
      <c r="I711" s="4">
        <v>62.1</v>
      </c>
      <c r="J711" s="5"/>
    </row>
    <row r="712" spans="1:10">
      <c r="A712" s="4">
        <v>708</v>
      </c>
      <c r="B712" s="4" t="str">
        <f>"20205912418"</f>
        <v>20205912418</v>
      </c>
      <c r="C712" s="4">
        <v>24</v>
      </c>
      <c r="D712" s="4">
        <v>18</v>
      </c>
      <c r="E712" s="4" t="s">
        <v>40</v>
      </c>
      <c r="F712" s="4" t="str">
        <f>"张玉倩"</f>
        <v>张玉倩</v>
      </c>
      <c r="G712" s="4" t="str">
        <f t="shared" si="32"/>
        <v>女</v>
      </c>
      <c r="H712" s="4" t="str">
        <f>"1995-12-08"</f>
        <v>1995-12-08</v>
      </c>
      <c r="I712" s="4">
        <v>66.9</v>
      </c>
      <c r="J712" s="5"/>
    </row>
    <row r="713" spans="1:10">
      <c r="A713" s="4">
        <v>709</v>
      </c>
      <c r="B713" s="4" t="str">
        <f>"20205912419"</f>
        <v>20205912419</v>
      </c>
      <c r="C713" s="4">
        <v>24</v>
      </c>
      <c r="D713" s="4">
        <v>19</v>
      </c>
      <c r="E713" s="4" t="s">
        <v>40</v>
      </c>
      <c r="F713" s="4" t="str">
        <f>"闻帅"</f>
        <v>闻帅</v>
      </c>
      <c r="G713" s="4" t="str">
        <f t="shared" si="32"/>
        <v>女</v>
      </c>
      <c r="H713" s="4" t="str">
        <f>"1993-10-26"</f>
        <v>1993-10-26</v>
      </c>
      <c r="I713" s="4" t="s">
        <v>12</v>
      </c>
      <c r="J713" s="5"/>
    </row>
    <row r="714" spans="1:10">
      <c r="A714" s="4">
        <v>710</v>
      </c>
      <c r="B714" s="4" t="str">
        <f>"20205912420"</f>
        <v>20205912420</v>
      </c>
      <c r="C714" s="4">
        <v>24</v>
      </c>
      <c r="D714" s="4">
        <v>20</v>
      </c>
      <c r="E714" s="4" t="s">
        <v>40</v>
      </c>
      <c r="F714" s="4" t="str">
        <f>"王嘉欣"</f>
        <v>王嘉欣</v>
      </c>
      <c r="G714" s="4" t="str">
        <f t="shared" si="32"/>
        <v>女</v>
      </c>
      <c r="H714" s="4" t="str">
        <f>"1996-12-20"</f>
        <v>1996-12-20</v>
      </c>
      <c r="I714" s="4">
        <v>80.9</v>
      </c>
      <c r="J714" s="5"/>
    </row>
    <row r="715" spans="1:10">
      <c r="A715" s="4">
        <v>711</v>
      </c>
      <c r="B715" s="4" t="str">
        <f>"20205912421"</f>
        <v>20205912421</v>
      </c>
      <c r="C715" s="4">
        <v>24</v>
      </c>
      <c r="D715" s="4">
        <v>21</v>
      </c>
      <c r="E715" s="4" t="s">
        <v>40</v>
      </c>
      <c r="F715" s="4" t="str">
        <f>"李萌雅"</f>
        <v>李萌雅</v>
      </c>
      <c r="G715" s="4" t="str">
        <f t="shared" si="32"/>
        <v>女</v>
      </c>
      <c r="H715" s="4" t="str">
        <f>"1998-05-05"</f>
        <v>1998-05-05</v>
      </c>
      <c r="I715" s="4">
        <v>59.7</v>
      </c>
      <c r="J715" s="5"/>
    </row>
    <row r="716" spans="1:10">
      <c r="A716" s="4">
        <v>712</v>
      </c>
      <c r="B716" s="4" t="str">
        <f>"20205912422"</f>
        <v>20205912422</v>
      </c>
      <c r="C716" s="4">
        <v>24</v>
      </c>
      <c r="D716" s="4">
        <v>22</v>
      </c>
      <c r="E716" s="4" t="s">
        <v>40</v>
      </c>
      <c r="F716" s="4" t="str">
        <f>"冯春阳"</f>
        <v>冯春阳</v>
      </c>
      <c r="G716" s="4" t="str">
        <f>"男"</f>
        <v>男</v>
      </c>
      <c r="H716" s="4" t="str">
        <f>"1997-02-04"</f>
        <v>1997-02-04</v>
      </c>
      <c r="I716" s="4">
        <v>71.8</v>
      </c>
      <c r="J716" s="5"/>
    </row>
    <row r="717" spans="1:10">
      <c r="A717" s="4">
        <v>713</v>
      </c>
      <c r="B717" s="4" t="str">
        <f>"20205912423"</f>
        <v>20205912423</v>
      </c>
      <c r="C717" s="4">
        <v>24</v>
      </c>
      <c r="D717" s="4">
        <v>23</v>
      </c>
      <c r="E717" s="4" t="s">
        <v>40</v>
      </c>
      <c r="F717" s="4" t="str">
        <f>"申亚楠"</f>
        <v>申亚楠</v>
      </c>
      <c r="G717" s="4" t="str">
        <f>"女"</f>
        <v>女</v>
      </c>
      <c r="H717" s="4" t="str">
        <f>"1996-05-22"</f>
        <v>1996-05-22</v>
      </c>
      <c r="I717" s="4">
        <v>55.8</v>
      </c>
      <c r="J717" s="5"/>
    </row>
    <row r="718" spans="1:10">
      <c r="A718" s="4">
        <v>714</v>
      </c>
      <c r="B718" s="4" t="str">
        <f>"20205912424"</f>
        <v>20205912424</v>
      </c>
      <c r="C718" s="4">
        <v>24</v>
      </c>
      <c r="D718" s="4">
        <v>24</v>
      </c>
      <c r="E718" s="4" t="s">
        <v>40</v>
      </c>
      <c r="F718" s="4" t="str">
        <f>"周虹辉"</f>
        <v>周虹辉</v>
      </c>
      <c r="G718" s="4" t="str">
        <f>"女"</f>
        <v>女</v>
      </c>
      <c r="H718" s="4" t="str">
        <f>"1997-02-25"</f>
        <v>1997-02-25</v>
      </c>
      <c r="I718" s="4">
        <v>55.7</v>
      </c>
      <c r="J718" s="5"/>
    </row>
    <row r="719" spans="1:10">
      <c r="A719" s="4">
        <v>715</v>
      </c>
      <c r="B719" s="4" t="str">
        <f>"20205912425"</f>
        <v>20205912425</v>
      </c>
      <c r="C719" s="4">
        <v>24</v>
      </c>
      <c r="D719" s="4">
        <v>25</v>
      </c>
      <c r="E719" s="4" t="s">
        <v>40</v>
      </c>
      <c r="F719" s="4" t="str">
        <f>"吕茵"</f>
        <v>吕茵</v>
      </c>
      <c r="G719" s="4" t="str">
        <f>"女"</f>
        <v>女</v>
      </c>
      <c r="H719" s="4" t="str">
        <f>"1997-05-06"</f>
        <v>1997-05-06</v>
      </c>
      <c r="I719" s="4" t="s">
        <v>12</v>
      </c>
      <c r="J719" s="5"/>
    </row>
    <row r="720" spans="1:10">
      <c r="A720" s="4">
        <v>716</v>
      </c>
      <c r="B720" s="4" t="str">
        <f>"20205912426"</f>
        <v>20205912426</v>
      </c>
      <c r="C720" s="4">
        <v>24</v>
      </c>
      <c r="D720" s="4">
        <v>26</v>
      </c>
      <c r="E720" s="4" t="s">
        <v>40</v>
      </c>
      <c r="F720" s="4" t="str">
        <f>"张艳宇"</f>
        <v>张艳宇</v>
      </c>
      <c r="G720" s="4" t="str">
        <f>"女"</f>
        <v>女</v>
      </c>
      <c r="H720" s="4" t="str">
        <f>"1996-04-14"</f>
        <v>1996-04-14</v>
      </c>
      <c r="I720" s="4" t="s">
        <v>12</v>
      </c>
      <c r="J720" s="5"/>
    </row>
    <row r="721" spans="1:10">
      <c r="A721" s="4">
        <v>717</v>
      </c>
      <c r="B721" s="4" t="str">
        <f>"20206012427"</f>
        <v>20206012427</v>
      </c>
      <c r="C721" s="4">
        <v>24</v>
      </c>
      <c r="D721" s="4">
        <v>27</v>
      </c>
      <c r="E721" s="4" t="s">
        <v>41</v>
      </c>
      <c r="F721" s="4" t="str">
        <f>"王傲"</f>
        <v>王傲</v>
      </c>
      <c r="G721" s="4" t="str">
        <f>"男"</f>
        <v>男</v>
      </c>
      <c r="H721" s="4" t="str">
        <f>"1995-11-29"</f>
        <v>1995-11-29</v>
      </c>
      <c r="I721" s="4">
        <v>55</v>
      </c>
      <c r="J721" s="5"/>
    </row>
    <row r="722" spans="1:10">
      <c r="A722" s="4">
        <v>718</v>
      </c>
      <c r="B722" s="4" t="str">
        <f>"20206012428"</f>
        <v>20206012428</v>
      </c>
      <c r="C722" s="4">
        <v>24</v>
      </c>
      <c r="D722" s="4">
        <v>28</v>
      </c>
      <c r="E722" s="4" t="s">
        <v>41</v>
      </c>
      <c r="F722" s="4" t="str">
        <f>"葛园园"</f>
        <v>葛园园</v>
      </c>
      <c r="G722" s="4" t="str">
        <f>"女"</f>
        <v>女</v>
      </c>
      <c r="H722" s="4" t="str">
        <f>"1997-11-01"</f>
        <v>1997-11-01</v>
      </c>
      <c r="I722" s="4">
        <v>76.4</v>
      </c>
      <c r="J722" s="5"/>
    </row>
    <row r="723" spans="1:10">
      <c r="A723" s="4">
        <v>719</v>
      </c>
      <c r="B723" s="4" t="str">
        <f>"20206012429"</f>
        <v>20206012429</v>
      </c>
      <c r="C723" s="4">
        <v>24</v>
      </c>
      <c r="D723" s="4">
        <v>29</v>
      </c>
      <c r="E723" s="4" t="s">
        <v>41</v>
      </c>
      <c r="F723" s="4" t="str">
        <f>"吕梦"</f>
        <v>吕梦</v>
      </c>
      <c r="G723" s="4" t="str">
        <f>"女"</f>
        <v>女</v>
      </c>
      <c r="H723" s="4" t="str">
        <f>"2000-04-09"</f>
        <v>2000-04-09</v>
      </c>
      <c r="I723" s="4">
        <v>67.8</v>
      </c>
      <c r="J723" s="5"/>
    </row>
    <row r="724" spans="1:10">
      <c r="A724" s="4">
        <v>720</v>
      </c>
      <c r="B724" s="4" t="str">
        <f>"20206012430"</f>
        <v>20206012430</v>
      </c>
      <c r="C724" s="4">
        <v>24</v>
      </c>
      <c r="D724" s="4">
        <v>30</v>
      </c>
      <c r="E724" s="4" t="s">
        <v>41</v>
      </c>
      <c r="F724" s="4" t="str">
        <f>"荣耀之"</f>
        <v>荣耀之</v>
      </c>
      <c r="G724" s="4" t="str">
        <f>"男"</f>
        <v>男</v>
      </c>
      <c r="H724" s="4" t="str">
        <f>"1996-12-31"</f>
        <v>1996-12-31</v>
      </c>
      <c r="I724" s="4">
        <v>69.9</v>
      </c>
      <c r="J724" s="5"/>
    </row>
    <row r="725" spans="1:10">
      <c r="A725" s="4">
        <v>721</v>
      </c>
      <c r="B725" s="4" t="str">
        <f>"20206012501"</f>
        <v>20206012501</v>
      </c>
      <c r="C725" s="4">
        <v>25</v>
      </c>
      <c r="D725" s="4">
        <v>1</v>
      </c>
      <c r="E725" s="4" t="s">
        <v>41</v>
      </c>
      <c r="F725" s="4" t="str">
        <f>"王珂"</f>
        <v>王珂</v>
      </c>
      <c r="G725" s="4" t="str">
        <f>"女"</f>
        <v>女</v>
      </c>
      <c r="H725" s="4" t="str">
        <f>"1996-06-24"</f>
        <v>1996-06-24</v>
      </c>
      <c r="I725" s="4">
        <v>43.9</v>
      </c>
      <c r="J725" s="5"/>
    </row>
    <row r="726" spans="1:10">
      <c r="A726" s="4">
        <v>722</v>
      </c>
      <c r="B726" s="4" t="str">
        <f>"20206012502"</f>
        <v>20206012502</v>
      </c>
      <c r="C726" s="4">
        <v>25</v>
      </c>
      <c r="D726" s="4">
        <v>2</v>
      </c>
      <c r="E726" s="4" t="s">
        <v>41</v>
      </c>
      <c r="F726" s="4" t="str">
        <f>"李彤"</f>
        <v>李彤</v>
      </c>
      <c r="G726" s="4" t="str">
        <f>"女"</f>
        <v>女</v>
      </c>
      <c r="H726" s="4" t="str">
        <f>"1998-12-16"</f>
        <v>1998-12-16</v>
      </c>
      <c r="I726" s="4" t="s">
        <v>12</v>
      </c>
      <c r="J726" s="5"/>
    </row>
    <row r="727" spans="1:10">
      <c r="A727" s="4">
        <v>723</v>
      </c>
      <c r="B727" s="4" t="str">
        <f>"20206012503"</f>
        <v>20206012503</v>
      </c>
      <c r="C727" s="4">
        <v>25</v>
      </c>
      <c r="D727" s="4">
        <v>3</v>
      </c>
      <c r="E727" s="4" t="s">
        <v>41</v>
      </c>
      <c r="F727" s="4" t="str">
        <f>"吴浩"</f>
        <v>吴浩</v>
      </c>
      <c r="G727" s="4" t="str">
        <f>"男"</f>
        <v>男</v>
      </c>
      <c r="H727" s="4" t="str">
        <f>"1998-01-29"</f>
        <v>1998-01-29</v>
      </c>
      <c r="I727" s="4">
        <v>66.4</v>
      </c>
      <c r="J727" s="5"/>
    </row>
    <row r="728" spans="1:10">
      <c r="A728" s="4">
        <v>724</v>
      </c>
      <c r="B728" s="4" t="str">
        <f>"20206012504"</f>
        <v>20206012504</v>
      </c>
      <c r="C728" s="4">
        <v>25</v>
      </c>
      <c r="D728" s="4">
        <v>4</v>
      </c>
      <c r="E728" s="4" t="s">
        <v>41</v>
      </c>
      <c r="F728" s="4" t="str">
        <f>"刘昂"</f>
        <v>刘昂</v>
      </c>
      <c r="G728" s="4" t="str">
        <f>"男"</f>
        <v>男</v>
      </c>
      <c r="H728" s="4" t="str">
        <f>"1993-12-15"</f>
        <v>1993-12-15</v>
      </c>
      <c r="I728" s="4">
        <v>68.5</v>
      </c>
      <c r="J728" s="5"/>
    </row>
    <row r="729" spans="1:10">
      <c r="A729" s="4">
        <v>725</v>
      </c>
      <c r="B729" s="4" t="str">
        <f>"20206012505"</f>
        <v>20206012505</v>
      </c>
      <c r="C729" s="4">
        <v>25</v>
      </c>
      <c r="D729" s="4">
        <v>5</v>
      </c>
      <c r="E729" s="4" t="s">
        <v>41</v>
      </c>
      <c r="F729" s="4" t="str">
        <f>"尚铮"</f>
        <v>尚铮</v>
      </c>
      <c r="G729" s="4" t="str">
        <f>"男"</f>
        <v>男</v>
      </c>
      <c r="H729" s="4" t="str">
        <f>"1998-08-23"</f>
        <v>1998-08-23</v>
      </c>
      <c r="I729" s="4">
        <v>65.4</v>
      </c>
      <c r="J729" s="5"/>
    </row>
    <row r="730" spans="1:10">
      <c r="A730" s="4">
        <v>726</v>
      </c>
      <c r="B730" s="4" t="str">
        <f>"20206012506"</f>
        <v>20206012506</v>
      </c>
      <c r="C730" s="4">
        <v>25</v>
      </c>
      <c r="D730" s="4">
        <v>6</v>
      </c>
      <c r="E730" s="4" t="s">
        <v>41</v>
      </c>
      <c r="F730" s="4" t="str">
        <f>"张雪"</f>
        <v>张雪</v>
      </c>
      <c r="G730" s="4" t="str">
        <f>"女"</f>
        <v>女</v>
      </c>
      <c r="H730" s="4" t="str">
        <f>"1996-10-15"</f>
        <v>1996-10-15</v>
      </c>
      <c r="I730" s="4">
        <v>72.2</v>
      </c>
      <c r="J730" s="5"/>
    </row>
    <row r="731" spans="1:10">
      <c r="A731" s="4">
        <v>727</v>
      </c>
      <c r="B731" s="4" t="str">
        <f>"20206012507"</f>
        <v>20206012507</v>
      </c>
      <c r="C731" s="4">
        <v>25</v>
      </c>
      <c r="D731" s="4">
        <v>7</v>
      </c>
      <c r="E731" s="4" t="s">
        <v>41</v>
      </c>
      <c r="F731" s="4" t="str">
        <f>"秦宇"</f>
        <v>秦宇</v>
      </c>
      <c r="G731" s="4" t="str">
        <f>"女"</f>
        <v>女</v>
      </c>
      <c r="H731" s="4" t="str">
        <f>"1997-12-12"</f>
        <v>1997-12-12</v>
      </c>
      <c r="I731" s="4">
        <v>68.8</v>
      </c>
      <c r="J731" s="5"/>
    </row>
    <row r="732" spans="1:10">
      <c r="A732" s="4">
        <v>728</v>
      </c>
      <c r="B732" s="4" t="str">
        <f>"20206012508"</f>
        <v>20206012508</v>
      </c>
      <c r="C732" s="4">
        <v>25</v>
      </c>
      <c r="D732" s="4">
        <v>8</v>
      </c>
      <c r="E732" s="4" t="s">
        <v>41</v>
      </c>
      <c r="F732" s="4" t="str">
        <f>"胡静"</f>
        <v>胡静</v>
      </c>
      <c r="G732" s="4" t="str">
        <f>"女"</f>
        <v>女</v>
      </c>
      <c r="H732" s="4" t="str">
        <f>"1994-09-29"</f>
        <v>1994-09-29</v>
      </c>
      <c r="I732" s="4">
        <v>49.7</v>
      </c>
      <c r="J732" s="5"/>
    </row>
    <row r="733" spans="1:10">
      <c r="A733" s="4">
        <v>729</v>
      </c>
      <c r="B733" s="4" t="str">
        <f>"20206012509"</f>
        <v>20206012509</v>
      </c>
      <c r="C733" s="4">
        <v>25</v>
      </c>
      <c r="D733" s="4">
        <v>9</v>
      </c>
      <c r="E733" s="4" t="s">
        <v>41</v>
      </c>
      <c r="F733" s="4" t="str">
        <f>"杨梦园"</f>
        <v>杨梦园</v>
      </c>
      <c r="G733" s="4" t="str">
        <f>"男"</f>
        <v>男</v>
      </c>
      <c r="H733" s="4" t="str">
        <f>"1997-08-26"</f>
        <v>1997-08-26</v>
      </c>
      <c r="I733" s="4" t="s">
        <v>12</v>
      </c>
      <c r="J733" s="5"/>
    </row>
    <row r="734" spans="1:10">
      <c r="A734" s="4">
        <v>730</v>
      </c>
      <c r="B734" s="4" t="str">
        <f>"20206012510"</f>
        <v>20206012510</v>
      </c>
      <c r="C734" s="4">
        <v>25</v>
      </c>
      <c r="D734" s="4">
        <v>10</v>
      </c>
      <c r="E734" s="4" t="s">
        <v>41</v>
      </c>
      <c r="F734" s="4" t="str">
        <f>"樊亚龙"</f>
        <v>樊亚龙</v>
      </c>
      <c r="G734" s="4" t="str">
        <f>"男"</f>
        <v>男</v>
      </c>
      <c r="H734" s="4" t="str">
        <f>"1996-10-25"</f>
        <v>1996-10-25</v>
      </c>
      <c r="I734" s="4">
        <v>51.3</v>
      </c>
      <c r="J734" s="5"/>
    </row>
    <row r="735" spans="1:10">
      <c r="A735" s="4">
        <v>731</v>
      </c>
      <c r="B735" s="4" t="str">
        <f>"20206012511"</f>
        <v>20206012511</v>
      </c>
      <c r="C735" s="4">
        <v>25</v>
      </c>
      <c r="D735" s="4">
        <v>11</v>
      </c>
      <c r="E735" s="4" t="s">
        <v>41</v>
      </c>
      <c r="F735" s="4" t="str">
        <f>"魏杰"</f>
        <v>魏杰</v>
      </c>
      <c r="G735" s="4" t="str">
        <f>"男"</f>
        <v>男</v>
      </c>
      <c r="H735" s="4" t="str">
        <f>"1997-09-05"</f>
        <v>1997-09-05</v>
      </c>
      <c r="I735" s="4">
        <v>69.8</v>
      </c>
      <c r="J735" s="5"/>
    </row>
    <row r="736" spans="1:10">
      <c r="A736" s="4">
        <v>732</v>
      </c>
      <c r="B736" s="4" t="str">
        <f>"20206012512"</f>
        <v>20206012512</v>
      </c>
      <c r="C736" s="4">
        <v>25</v>
      </c>
      <c r="D736" s="4">
        <v>12</v>
      </c>
      <c r="E736" s="4" t="s">
        <v>41</v>
      </c>
      <c r="F736" s="4" t="str">
        <f>"李赛"</f>
        <v>李赛</v>
      </c>
      <c r="G736" s="4" t="str">
        <f>"男"</f>
        <v>男</v>
      </c>
      <c r="H736" s="4" t="str">
        <f>"1997-08-13"</f>
        <v>1997-08-13</v>
      </c>
      <c r="I736" s="4">
        <v>52.6</v>
      </c>
      <c r="J736" s="5"/>
    </row>
    <row r="737" spans="1:10">
      <c r="A737" s="4">
        <v>733</v>
      </c>
      <c r="B737" s="4" t="str">
        <f>"20206012513"</f>
        <v>20206012513</v>
      </c>
      <c r="C737" s="4">
        <v>25</v>
      </c>
      <c r="D737" s="4">
        <v>13</v>
      </c>
      <c r="E737" s="4" t="s">
        <v>41</v>
      </c>
      <c r="F737" s="4" t="str">
        <f>"樊启航"</f>
        <v>樊启航</v>
      </c>
      <c r="G737" s="4" t="str">
        <f>"女"</f>
        <v>女</v>
      </c>
      <c r="H737" s="4" t="str">
        <f>"1999-02-03"</f>
        <v>1999-02-03</v>
      </c>
      <c r="I737" s="4">
        <v>51.4</v>
      </c>
      <c r="J737" s="5"/>
    </row>
    <row r="738" spans="1:10">
      <c r="A738" s="4">
        <v>734</v>
      </c>
      <c r="B738" s="4" t="str">
        <f>"20206112514"</f>
        <v>20206112514</v>
      </c>
      <c r="C738" s="4">
        <v>25</v>
      </c>
      <c r="D738" s="4">
        <v>14</v>
      </c>
      <c r="E738" s="4" t="s">
        <v>42</v>
      </c>
      <c r="F738" s="4" t="str">
        <f>"张岚"</f>
        <v>张岚</v>
      </c>
      <c r="G738" s="4" t="str">
        <f>"女"</f>
        <v>女</v>
      </c>
      <c r="H738" s="4" t="str">
        <f>"1998-02-16"</f>
        <v>1998-02-16</v>
      </c>
      <c r="I738" s="4">
        <v>54</v>
      </c>
      <c r="J738" s="5"/>
    </row>
    <row r="739" spans="1:10">
      <c r="A739" s="4">
        <v>735</v>
      </c>
      <c r="B739" s="4" t="str">
        <f>"20206112515"</f>
        <v>20206112515</v>
      </c>
      <c r="C739" s="4">
        <v>25</v>
      </c>
      <c r="D739" s="4">
        <v>15</v>
      </c>
      <c r="E739" s="4" t="s">
        <v>42</v>
      </c>
      <c r="F739" s="4" t="str">
        <f>"岳梦延"</f>
        <v>岳梦延</v>
      </c>
      <c r="G739" s="4" t="str">
        <f>"男"</f>
        <v>男</v>
      </c>
      <c r="H739" s="4" t="str">
        <f>"1997-08-29"</f>
        <v>1997-08-29</v>
      </c>
      <c r="I739" s="4" t="s">
        <v>12</v>
      </c>
      <c r="J739" s="5"/>
    </row>
    <row r="740" spans="1:10">
      <c r="A740" s="4">
        <v>736</v>
      </c>
      <c r="B740" s="4" t="str">
        <f>"20206112516"</f>
        <v>20206112516</v>
      </c>
      <c r="C740" s="4">
        <v>25</v>
      </c>
      <c r="D740" s="4">
        <v>16</v>
      </c>
      <c r="E740" s="4" t="s">
        <v>42</v>
      </c>
      <c r="F740" s="4" t="str">
        <f>"张甲平"</f>
        <v>张甲平</v>
      </c>
      <c r="G740" s="4" t="str">
        <f t="shared" ref="G740:G745" si="33">"女"</f>
        <v>女</v>
      </c>
      <c r="H740" s="4" t="str">
        <f>"1998-03-14"</f>
        <v>1998-03-14</v>
      </c>
      <c r="I740" s="4">
        <v>72.6</v>
      </c>
      <c r="J740" s="5"/>
    </row>
    <row r="741" spans="1:10">
      <c r="A741" s="4">
        <v>737</v>
      </c>
      <c r="B741" s="4" t="str">
        <f>"20206112517"</f>
        <v>20206112517</v>
      </c>
      <c r="C741" s="4">
        <v>25</v>
      </c>
      <c r="D741" s="4">
        <v>17</v>
      </c>
      <c r="E741" s="4" t="s">
        <v>42</v>
      </c>
      <c r="F741" s="4" t="str">
        <f>"宋欣"</f>
        <v>宋欣</v>
      </c>
      <c r="G741" s="4" t="str">
        <f t="shared" si="33"/>
        <v>女</v>
      </c>
      <c r="H741" s="4" t="str">
        <f>"1996-11-02"</f>
        <v>1996-11-02</v>
      </c>
      <c r="I741" s="4" t="s">
        <v>12</v>
      </c>
      <c r="J741" s="5"/>
    </row>
    <row r="742" spans="1:10">
      <c r="A742" s="4">
        <v>738</v>
      </c>
      <c r="B742" s="4" t="str">
        <f>"20206112518"</f>
        <v>20206112518</v>
      </c>
      <c r="C742" s="4">
        <v>25</v>
      </c>
      <c r="D742" s="4">
        <v>18</v>
      </c>
      <c r="E742" s="4" t="s">
        <v>42</v>
      </c>
      <c r="F742" s="4" t="str">
        <f>"毕明如"</f>
        <v>毕明如</v>
      </c>
      <c r="G742" s="4" t="str">
        <f t="shared" si="33"/>
        <v>女</v>
      </c>
      <c r="H742" s="4" t="str">
        <f>"1998-10-07"</f>
        <v>1998-10-07</v>
      </c>
      <c r="I742" s="4">
        <v>50</v>
      </c>
      <c r="J742" s="5"/>
    </row>
    <row r="743" spans="1:10">
      <c r="A743" s="4">
        <v>739</v>
      </c>
      <c r="B743" s="4" t="str">
        <f>"20206112519"</f>
        <v>20206112519</v>
      </c>
      <c r="C743" s="4">
        <v>25</v>
      </c>
      <c r="D743" s="4">
        <v>19</v>
      </c>
      <c r="E743" s="4" t="s">
        <v>42</v>
      </c>
      <c r="F743" s="4" t="str">
        <f>"朱东亚"</f>
        <v>朱东亚</v>
      </c>
      <c r="G743" s="4" t="str">
        <f t="shared" si="33"/>
        <v>女</v>
      </c>
      <c r="H743" s="4" t="str">
        <f>"1996-10-21"</f>
        <v>1996-10-21</v>
      </c>
      <c r="I743" s="4">
        <v>50.7</v>
      </c>
      <c r="J743" s="5"/>
    </row>
    <row r="744" spans="1:10">
      <c r="A744" s="4">
        <v>740</v>
      </c>
      <c r="B744" s="4" t="str">
        <f>"20206112520"</f>
        <v>20206112520</v>
      </c>
      <c r="C744" s="4">
        <v>25</v>
      </c>
      <c r="D744" s="4">
        <v>20</v>
      </c>
      <c r="E744" s="4" t="s">
        <v>42</v>
      </c>
      <c r="F744" s="4" t="str">
        <f>"齐小慧"</f>
        <v>齐小慧</v>
      </c>
      <c r="G744" s="4" t="str">
        <f t="shared" si="33"/>
        <v>女</v>
      </c>
      <c r="H744" s="4" t="str">
        <f>"1995-09-09"</f>
        <v>1995-09-09</v>
      </c>
      <c r="I744" s="4" t="s">
        <v>12</v>
      </c>
      <c r="J744" s="5"/>
    </row>
    <row r="745" spans="1:10">
      <c r="A745" s="4">
        <v>741</v>
      </c>
      <c r="B745" s="4" t="str">
        <f>"20206112521"</f>
        <v>20206112521</v>
      </c>
      <c r="C745" s="4">
        <v>25</v>
      </c>
      <c r="D745" s="4">
        <v>21</v>
      </c>
      <c r="E745" s="4" t="s">
        <v>42</v>
      </c>
      <c r="F745" s="4" t="str">
        <f>"汪聪聪"</f>
        <v>汪聪聪</v>
      </c>
      <c r="G745" s="4" t="str">
        <f t="shared" si="33"/>
        <v>女</v>
      </c>
      <c r="H745" s="4" t="str">
        <f>"1997-04-01"</f>
        <v>1997-04-01</v>
      </c>
      <c r="I745" s="4" t="s">
        <v>12</v>
      </c>
      <c r="J745" s="5"/>
    </row>
    <row r="746" spans="1:10">
      <c r="A746" s="4">
        <v>742</v>
      </c>
      <c r="B746" s="4" t="str">
        <f>"20206112522"</f>
        <v>20206112522</v>
      </c>
      <c r="C746" s="4">
        <v>25</v>
      </c>
      <c r="D746" s="4">
        <v>22</v>
      </c>
      <c r="E746" s="4" t="s">
        <v>42</v>
      </c>
      <c r="F746" s="4" t="str">
        <f>"陈恒吉"</f>
        <v>陈恒吉</v>
      </c>
      <c r="G746" s="4" t="str">
        <f>"男"</f>
        <v>男</v>
      </c>
      <c r="H746" s="4" t="str">
        <f>"1999-11-01"</f>
        <v>1999-11-01</v>
      </c>
      <c r="I746" s="4">
        <v>72.5</v>
      </c>
      <c r="J746" s="5"/>
    </row>
    <row r="747" spans="1:10">
      <c r="A747" s="4">
        <v>743</v>
      </c>
      <c r="B747" s="4" t="str">
        <f>"20206112523"</f>
        <v>20206112523</v>
      </c>
      <c r="C747" s="4">
        <v>25</v>
      </c>
      <c r="D747" s="4">
        <v>23</v>
      </c>
      <c r="E747" s="4" t="s">
        <v>42</v>
      </c>
      <c r="F747" s="4" t="str">
        <f>"史琳"</f>
        <v>史琳</v>
      </c>
      <c r="G747" s="4" t="str">
        <f t="shared" ref="G747:G793" si="34">"女"</f>
        <v>女</v>
      </c>
      <c r="H747" s="4" t="str">
        <f>"1996-09-18"</f>
        <v>1996-09-18</v>
      </c>
      <c r="I747" s="4" t="s">
        <v>12</v>
      </c>
      <c r="J747" s="5"/>
    </row>
    <row r="748" spans="1:10">
      <c r="A748" s="4">
        <v>744</v>
      </c>
      <c r="B748" s="4" t="str">
        <f>"20206112524"</f>
        <v>20206112524</v>
      </c>
      <c r="C748" s="4">
        <v>25</v>
      </c>
      <c r="D748" s="4">
        <v>24</v>
      </c>
      <c r="E748" s="4" t="s">
        <v>42</v>
      </c>
      <c r="F748" s="4" t="str">
        <f>"张毓"</f>
        <v>张毓</v>
      </c>
      <c r="G748" s="4" t="str">
        <f t="shared" si="34"/>
        <v>女</v>
      </c>
      <c r="H748" s="4" t="str">
        <f>"1995-01-14"</f>
        <v>1995-01-14</v>
      </c>
      <c r="I748" s="4">
        <v>56.3</v>
      </c>
      <c r="J748" s="5"/>
    </row>
    <row r="749" spans="1:10">
      <c r="A749" s="4">
        <v>745</v>
      </c>
      <c r="B749" s="4" t="str">
        <f>"20206112525"</f>
        <v>20206112525</v>
      </c>
      <c r="C749" s="4">
        <v>25</v>
      </c>
      <c r="D749" s="4">
        <v>25</v>
      </c>
      <c r="E749" s="4" t="s">
        <v>42</v>
      </c>
      <c r="F749" s="4" t="str">
        <f>"周鹏云"</f>
        <v>周鹏云</v>
      </c>
      <c r="G749" s="4" t="str">
        <f t="shared" si="34"/>
        <v>女</v>
      </c>
      <c r="H749" s="4" t="str">
        <f>"1999-04-05"</f>
        <v>1999-04-05</v>
      </c>
      <c r="I749" s="4">
        <v>58.3</v>
      </c>
      <c r="J749" s="5"/>
    </row>
    <row r="750" spans="1:10">
      <c r="A750" s="4">
        <v>746</v>
      </c>
      <c r="B750" s="4" t="str">
        <f>"20206112526"</f>
        <v>20206112526</v>
      </c>
      <c r="C750" s="4">
        <v>25</v>
      </c>
      <c r="D750" s="4">
        <v>26</v>
      </c>
      <c r="E750" s="4" t="s">
        <v>42</v>
      </c>
      <c r="F750" s="4" t="str">
        <f>"刘晨"</f>
        <v>刘晨</v>
      </c>
      <c r="G750" s="4" t="str">
        <f t="shared" si="34"/>
        <v>女</v>
      </c>
      <c r="H750" s="4" t="str">
        <f>"1997-03-13"</f>
        <v>1997-03-13</v>
      </c>
      <c r="I750" s="4">
        <v>72.5</v>
      </c>
      <c r="J750" s="5"/>
    </row>
    <row r="751" spans="1:10">
      <c r="A751" s="4">
        <v>747</v>
      </c>
      <c r="B751" s="4" t="str">
        <f>"20206112527"</f>
        <v>20206112527</v>
      </c>
      <c r="C751" s="4">
        <v>25</v>
      </c>
      <c r="D751" s="4">
        <v>27</v>
      </c>
      <c r="E751" s="4" t="s">
        <v>42</v>
      </c>
      <c r="F751" s="4" t="str">
        <f>"张鸿洋"</f>
        <v>张鸿洋</v>
      </c>
      <c r="G751" s="4" t="str">
        <f t="shared" si="34"/>
        <v>女</v>
      </c>
      <c r="H751" s="4" t="str">
        <f>"1999-05-05"</f>
        <v>1999-05-05</v>
      </c>
      <c r="I751" s="4">
        <v>57.3</v>
      </c>
      <c r="J751" s="5"/>
    </row>
    <row r="752" spans="1:10">
      <c r="A752" s="4">
        <v>748</v>
      </c>
      <c r="B752" s="4" t="str">
        <f>"20206112528"</f>
        <v>20206112528</v>
      </c>
      <c r="C752" s="4">
        <v>25</v>
      </c>
      <c r="D752" s="4">
        <v>28</v>
      </c>
      <c r="E752" s="4" t="s">
        <v>42</v>
      </c>
      <c r="F752" s="4" t="str">
        <f>"丁四明"</f>
        <v>丁四明</v>
      </c>
      <c r="G752" s="4" t="str">
        <f t="shared" si="34"/>
        <v>女</v>
      </c>
      <c r="H752" s="4" t="str">
        <f>"1996-08-20"</f>
        <v>1996-08-20</v>
      </c>
      <c r="I752" s="4">
        <v>55.6</v>
      </c>
      <c r="J752" s="5"/>
    </row>
    <row r="753" spans="1:10">
      <c r="A753" s="4">
        <v>749</v>
      </c>
      <c r="B753" s="4" t="str">
        <f>"20206112529"</f>
        <v>20206112529</v>
      </c>
      <c r="C753" s="4">
        <v>25</v>
      </c>
      <c r="D753" s="4">
        <v>29</v>
      </c>
      <c r="E753" s="4" t="s">
        <v>42</v>
      </c>
      <c r="F753" s="4" t="str">
        <f>"肖子蕊"</f>
        <v>肖子蕊</v>
      </c>
      <c r="G753" s="4" t="str">
        <f t="shared" si="34"/>
        <v>女</v>
      </c>
      <c r="H753" s="4" t="str">
        <f>"1995-07-18"</f>
        <v>1995-07-18</v>
      </c>
      <c r="I753" s="4" t="s">
        <v>12</v>
      </c>
      <c r="J753" s="5"/>
    </row>
    <row r="754" spans="1:10">
      <c r="A754" s="4">
        <v>750</v>
      </c>
      <c r="B754" s="4" t="str">
        <f>"20206112530"</f>
        <v>20206112530</v>
      </c>
      <c r="C754" s="4">
        <v>25</v>
      </c>
      <c r="D754" s="4">
        <v>30</v>
      </c>
      <c r="E754" s="4" t="s">
        <v>42</v>
      </c>
      <c r="F754" s="4" t="str">
        <f>"常西瑶"</f>
        <v>常西瑶</v>
      </c>
      <c r="G754" s="4" t="str">
        <f t="shared" si="34"/>
        <v>女</v>
      </c>
      <c r="H754" s="4" t="str">
        <f>"1997-02-10"</f>
        <v>1997-02-10</v>
      </c>
      <c r="I754" s="4" t="s">
        <v>12</v>
      </c>
      <c r="J754" s="5"/>
    </row>
    <row r="755" spans="1:10">
      <c r="A755" s="4">
        <v>751</v>
      </c>
      <c r="B755" s="4" t="str">
        <f>"20206112601"</f>
        <v>20206112601</v>
      </c>
      <c r="C755" s="4">
        <v>26</v>
      </c>
      <c r="D755" s="4">
        <v>1</v>
      </c>
      <c r="E755" s="4" t="s">
        <v>42</v>
      </c>
      <c r="F755" s="4" t="str">
        <f>"余洋"</f>
        <v>余洋</v>
      </c>
      <c r="G755" s="4" t="str">
        <f t="shared" si="34"/>
        <v>女</v>
      </c>
      <c r="H755" s="4" t="str">
        <f>"1998-08-11"</f>
        <v>1998-08-11</v>
      </c>
      <c r="I755" s="4" t="s">
        <v>12</v>
      </c>
      <c r="J755" s="5"/>
    </row>
    <row r="756" spans="1:10">
      <c r="A756" s="4">
        <v>752</v>
      </c>
      <c r="B756" s="4" t="str">
        <f>"20206112602"</f>
        <v>20206112602</v>
      </c>
      <c r="C756" s="4">
        <v>26</v>
      </c>
      <c r="D756" s="4">
        <v>2</v>
      </c>
      <c r="E756" s="4" t="s">
        <v>42</v>
      </c>
      <c r="F756" s="4" t="str">
        <f>"徐乐"</f>
        <v>徐乐</v>
      </c>
      <c r="G756" s="4" t="str">
        <f t="shared" si="34"/>
        <v>女</v>
      </c>
      <c r="H756" s="4" t="str">
        <f>"1996-10-16"</f>
        <v>1996-10-16</v>
      </c>
      <c r="I756" s="4" t="s">
        <v>12</v>
      </c>
      <c r="J756" s="5"/>
    </row>
    <row r="757" spans="1:10">
      <c r="A757" s="4">
        <v>753</v>
      </c>
      <c r="B757" s="4" t="str">
        <f>"20206112603"</f>
        <v>20206112603</v>
      </c>
      <c r="C757" s="4">
        <v>26</v>
      </c>
      <c r="D757" s="4">
        <v>3</v>
      </c>
      <c r="E757" s="4" t="s">
        <v>42</v>
      </c>
      <c r="F757" s="4" t="str">
        <f>"兰馨"</f>
        <v>兰馨</v>
      </c>
      <c r="G757" s="4" t="str">
        <f t="shared" si="34"/>
        <v>女</v>
      </c>
      <c r="H757" s="4" t="str">
        <f>"1997-06-28"</f>
        <v>1997-06-28</v>
      </c>
      <c r="I757" s="4" t="s">
        <v>12</v>
      </c>
      <c r="J757" s="5"/>
    </row>
    <row r="758" spans="1:10">
      <c r="A758" s="4">
        <v>754</v>
      </c>
      <c r="B758" s="4" t="str">
        <f>"20206112604"</f>
        <v>20206112604</v>
      </c>
      <c r="C758" s="4">
        <v>26</v>
      </c>
      <c r="D758" s="4">
        <v>4</v>
      </c>
      <c r="E758" s="4" t="s">
        <v>42</v>
      </c>
      <c r="F758" s="4" t="str">
        <f>"牛源"</f>
        <v>牛源</v>
      </c>
      <c r="G758" s="4" t="str">
        <f t="shared" si="34"/>
        <v>女</v>
      </c>
      <c r="H758" s="4" t="str">
        <f>"1998-07-06"</f>
        <v>1998-07-06</v>
      </c>
      <c r="I758" s="4">
        <v>77.3</v>
      </c>
      <c r="J758" s="5"/>
    </row>
    <row r="759" spans="1:10">
      <c r="A759" s="4">
        <v>755</v>
      </c>
      <c r="B759" s="4" t="str">
        <f>"20206112605"</f>
        <v>20206112605</v>
      </c>
      <c r="C759" s="4">
        <v>26</v>
      </c>
      <c r="D759" s="4">
        <v>5</v>
      </c>
      <c r="E759" s="4" t="s">
        <v>42</v>
      </c>
      <c r="F759" s="4" t="str">
        <f>"李园"</f>
        <v>李园</v>
      </c>
      <c r="G759" s="4" t="str">
        <f t="shared" si="34"/>
        <v>女</v>
      </c>
      <c r="H759" s="4" t="str">
        <f>"1998-11-24"</f>
        <v>1998-11-24</v>
      </c>
      <c r="I759" s="4">
        <v>53.3</v>
      </c>
      <c r="J759" s="5"/>
    </row>
    <row r="760" spans="1:10">
      <c r="A760" s="4">
        <v>756</v>
      </c>
      <c r="B760" s="4" t="str">
        <f>"20206112606"</f>
        <v>20206112606</v>
      </c>
      <c r="C760" s="4">
        <v>26</v>
      </c>
      <c r="D760" s="4">
        <v>6</v>
      </c>
      <c r="E760" s="4" t="s">
        <v>42</v>
      </c>
      <c r="F760" s="4" t="str">
        <f>"丁诗韵"</f>
        <v>丁诗韵</v>
      </c>
      <c r="G760" s="4" t="str">
        <f t="shared" si="34"/>
        <v>女</v>
      </c>
      <c r="H760" s="4" t="str">
        <f>"1999-12-15"</f>
        <v>1999-12-15</v>
      </c>
      <c r="I760" s="4">
        <v>65.8</v>
      </c>
      <c r="J760" s="5"/>
    </row>
    <row r="761" spans="1:10">
      <c r="A761" s="4">
        <v>757</v>
      </c>
      <c r="B761" s="4" t="str">
        <f>"20206112607"</f>
        <v>20206112607</v>
      </c>
      <c r="C761" s="4">
        <v>26</v>
      </c>
      <c r="D761" s="4">
        <v>7</v>
      </c>
      <c r="E761" s="4" t="s">
        <v>42</v>
      </c>
      <c r="F761" s="4" t="str">
        <f>"曹玉春"</f>
        <v>曹玉春</v>
      </c>
      <c r="G761" s="4" t="str">
        <f t="shared" si="34"/>
        <v>女</v>
      </c>
      <c r="H761" s="4" t="str">
        <f>"1995-04-06"</f>
        <v>1995-04-06</v>
      </c>
      <c r="I761" s="4" t="s">
        <v>12</v>
      </c>
      <c r="J761" s="5"/>
    </row>
    <row r="762" spans="1:10">
      <c r="A762" s="4">
        <v>758</v>
      </c>
      <c r="B762" s="4" t="str">
        <f>"20206112608"</f>
        <v>20206112608</v>
      </c>
      <c r="C762" s="4">
        <v>26</v>
      </c>
      <c r="D762" s="4">
        <v>8</v>
      </c>
      <c r="E762" s="4" t="s">
        <v>42</v>
      </c>
      <c r="F762" s="4" t="str">
        <f>"杨巧庆"</f>
        <v>杨巧庆</v>
      </c>
      <c r="G762" s="4" t="str">
        <f t="shared" si="34"/>
        <v>女</v>
      </c>
      <c r="H762" s="4" t="str">
        <f>"1997-07-01"</f>
        <v>1997-07-01</v>
      </c>
      <c r="I762" s="4">
        <v>76.6</v>
      </c>
      <c r="J762" s="5"/>
    </row>
    <row r="763" spans="1:10">
      <c r="A763" s="4">
        <v>759</v>
      </c>
      <c r="B763" s="4" t="str">
        <f>"20206112609"</f>
        <v>20206112609</v>
      </c>
      <c r="C763" s="4">
        <v>26</v>
      </c>
      <c r="D763" s="4">
        <v>9</v>
      </c>
      <c r="E763" s="4" t="s">
        <v>42</v>
      </c>
      <c r="F763" s="4" t="str">
        <f>"郭家佳"</f>
        <v>郭家佳</v>
      </c>
      <c r="G763" s="4" t="str">
        <f t="shared" si="34"/>
        <v>女</v>
      </c>
      <c r="H763" s="4" t="str">
        <f>"1996-10-06"</f>
        <v>1996-10-06</v>
      </c>
      <c r="I763" s="4" t="s">
        <v>12</v>
      </c>
      <c r="J763" s="5"/>
    </row>
    <row r="764" spans="1:10">
      <c r="A764" s="4">
        <v>760</v>
      </c>
      <c r="B764" s="4" t="str">
        <f>"20206112610"</f>
        <v>20206112610</v>
      </c>
      <c r="C764" s="4">
        <v>26</v>
      </c>
      <c r="D764" s="4">
        <v>10</v>
      </c>
      <c r="E764" s="4" t="s">
        <v>42</v>
      </c>
      <c r="F764" s="4" t="str">
        <f>"李佳葳"</f>
        <v>李佳葳</v>
      </c>
      <c r="G764" s="4" t="str">
        <f t="shared" si="34"/>
        <v>女</v>
      </c>
      <c r="H764" s="4" t="str">
        <f>"1999-06-01"</f>
        <v>1999-06-01</v>
      </c>
      <c r="I764" s="4">
        <v>65.7</v>
      </c>
      <c r="J764" s="5"/>
    </row>
    <row r="765" spans="1:10">
      <c r="A765" s="4">
        <v>761</v>
      </c>
      <c r="B765" s="4" t="str">
        <f>"20206112611"</f>
        <v>20206112611</v>
      </c>
      <c r="C765" s="4">
        <v>26</v>
      </c>
      <c r="D765" s="4">
        <v>11</v>
      </c>
      <c r="E765" s="4" t="s">
        <v>42</v>
      </c>
      <c r="F765" s="4" t="str">
        <f>"朱义蒙"</f>
        <v>朱义蒙</v>
      </c>
      <c r="G765" s="4" t="str">
        <f t="shared" si="34"/>
        <v>女</v>
      </c>
      <c r="H765" s="4" t="str">
        <f>"2004-01-12"</f>
        <v>2004-01-12</v>
      </c>
      <c r="I765" s="4">
        <v>56.4</v>
      </c>
      <c r="J765" s="5"/>
    </row>
    <row r="766" spans="1:10">
      <c r="A766" s="4">
        <v>762</v>
      </c>
      <c r="B766" s="4" t="str">
        <f>"20206112612"</f>
        <v>20206112612</v>
      </c>
      <c r="C766" s="4">
        <v>26</v>
      </c>
      <c r="D766" s="4">
        <v>12</v>
      </c>
      <c r="E766" s="4" t="s">
        <v>42</v>
      </c>
      <c r="F766" s="4" t="str">
        <f>"余淼"</f>
        <v>余淼</v>
      </c>
      <c r="G766" s="4" t="str">
        <f t="shared" si="34"/>
        <v>女</v>
      </c>
      <c r="H766" s="4" t="str">
        <f>"1998-09-29"</f>
        <v>1998-09-29</v>
      </c>
      <c r="I766" s="4">
        <v>69.2</v>
      </c>
      <c r="J766" s="5"/>
    </row>
    <row r="767" spans="1:10">
      <c r="A767" s="4">
        <v>763</v>
      </c>
      <c r="B767" s="4" t="str">
        <f>"20206112613"</f>
        <v>20206112613</v>
      </c>
      <c r="C767" s="4">
        <v>26</v>
      </c>
      <c r="D767" s="4">
        <v>13</v>
      </c>
      <c r="E767" s="4" t="s">
        <v>42</v>
      </c>
      <c r="F767" s="4" t="str">
        <f>"王星"</f>
        <v>王星</v>
      </c>
      <c r="G767" s="4" t="str">
        <f t="shared" si="34"/>
        <v>女</v>
      </c>
      <c r="H767" s="4" t="str">
        <f>"1997-09-26"</f>
        <v>1997-09-26</v>
      </c>
      <c r="I767" s="4">
        <v>36.4</v>
      </c>
      <c r="J767" s="5"/>
    </row>
    <row r="768" spans="1:10">
      <c r="A768" s="4">
        <v>764</v>
      </c>
      <c r="B768" s="4" t="str">
        <f>"20206112614"</f>
        <v>20206112614</v>
      </c>
      <c r="C768" s="4">
        <v>26</v>
      </c>
      <c r="D768" s="4">
        <v>14</v>
      </c>
      <c r="E768" s="4" t="s">
        <v>42</v>
      </c>
      <c r="F768" s="4" t="str">
        <f>"杜轲帆"</f>
        <v>杜轲帆</v>
      </c>
      <c r="G768" s="4" t="str">
        <f t="shared" si="34"/>
        <v>女</v>
      </c>
      <c r="H768" s="4" t="str">
        <f>"1997-12-06"</f>
        <v>1997-12-06</v>
      </c>
      <c r="I768" s="4">
        <v>77.1</v>
      </c>
      <c r="J768" s="5"/>
    </row>
    <row r="769" spans="1:10">
      <c r="A769" s="4">
        <v>765</v>
      </c>
      <c r="B769" s="4" t="str">
        <f>"20206112615"</f>
        <v>20206112615</v>
      </c>
      <c r="C769" s="4">
        <v>26</v>
      </c>
      <c r="D769" s="4">
        <v>15</v>
      </c>
      <c r="E769" s="4" t="s">
        <v>42</v>
      </c>
      <c r="F769" s="4" t="str">
        <f>"勇婷"</f>
        <v>勇婷</v>
      </c>
      <c r="G769" s="4" t="str">
        <f t="shared" si="34"/>
        <v>女</v>
      </c>
      <c r="H769" s="4" t="str">
        <f>"1997-08-03"</f>
        <v>1997-08-03</v>
      </c>
      <c r="I769" s="4" t="s">
        <v>12</v>
      </c>
      <c r="J769" s="5"/>
    </row>
    <row r="770" spans="1:10">
      <c r="A770" s="4">
        <v>766</v>
      </c>
      <c r="B770" s="4" t="str">
        <f>"20206112616"</f>
        <v>20206112616</v>
      </c>
      <c r="C770" s="4">
        <v>26</v>
      </c>
      <c r="D770" s="4">
        <v>16</v>
      </c>
      <c r="E770" s="4" t="s">
        <v>42</v>
      </c>
      <c r="F770" s="4" t="str">
        <f>"张路"</f>
        <v>张路</v>
      </c>
      <c r="G770" s="4" t="str">
        <f t="shared" si="34"/>
        <v>女</v>
      </c>
      <c r="H770" s="4" t="str">
        <f>"1994-12-17"</f>
        <v>1994-12-17</v>
      </c>
      <c r="I770" s="4">
        <v>71.4</v>
      </c>
      <c r="J770" s="5"/>
    </row>
    <row r="771" spans="1:10">
      <c r="A771" s="4">
        <v>767</v>
      </c>
      <c r="B771" s="4" t="str">
        <f>"20206112617"</f>
        <v>20206112617</v>
      </c>
      <c r="C771" s="4">
        <v>26</v>
      </c>
      <c r="D771" s="4">
        <v>17</v>
      </c>
      <c r="E771" s="4" t="s">
        <v>42</v>
      </c>
      <c r="F771" s="4" t="str">
        <f>"张璇"</f>
        <v>张璇</v>
      </c>
      <c r="G771" s="4" t="str">
        <f t="shared" si="34"/>
        <v>女</v>
      </c>
      <c r="H771" s="4" t="str">
        <f>"1996-05-01"</f>
        <v>1996-05-01</v>
      </c>
      <c r="I771" s="4" t="s">
        <v>12</v>
      </c>
      <c r="J771" s="5"/>
    </row>
    <row r="772" spans="1:10">
      <c r="A772" s="4">
        <v>768</v>
      </c>
      <c r="B772" s="4" t="str">
        <f>"20206112618"</f>
        <v>20206112618</v>
      </c>
      <c r="C772" s="4">
        <v>26</v>
      </c>
      <c r="D772" s="4">
        <v>18</v>
      </c>
      <c r="E772" s="4" t="s">
        <v>42</v>
      </c>
      <c r="F772" s="4" t="str">
        <f>"王文鑫"</f>
        <v>王文鑫</v>
      </c>
      <c r="G772" s="4" t="str">
        <f t="shared" si="34"/>
        <v>女</v>
      </c>
      <c r="H772" s="4" t="str">
        <f>"1999-01-08"</f>
        <v>1999-01-08</v>
      </c>
      <c r="I772" s="4">
        <v>65.5</v>
      </c>
      <c r="J772" s="5"/>
    </row>
    <row r="773" spans="1:10">
      <c r="A773" s="4">
        <v>769</v>
      </c>
      <c r="B773" s="4" t="str">
        <f>"20206112619"</f>
        <v>20206112619</v>
      </c>
      <c r="C773" s="4">
        <v>26</v>
      </c>
      <c r="D773" s="4">
        <v>19</v>
      </c>
      <c r="E773" s="4" t="s">
        <v>42</v>
      </c>
      <c r="F773" s="4" t="str">
        <f>"袁园"</f>
        <v>袁园</v>
      </c>
      <c r="G773" s="4" t="str">
        <f t="shared" si="34"/>
        <v>女</v>
      </c>
      <c r="H773" s="4" t="str">
        <f>"1996-05-22"</f>
        <v>1996-05-22</v>
      </c>
      <c r="I773" s="4">
        <v>80.5</v>
      </c>
      <c r="J773" s="5"/>
    </row>
    <row r="774" spans="1:10">
      <c r="A774" s="4">
        <v>770</v>
      </c>
      <c r="B774" s="4" t="str">
        <f>"20206112620"</f>
        <v>20206112620</v>
      </c>
      <c r="C774" s="4">
        <v>26</v>
      </c>
      <c r="D774" s="4">
        <v>20</v>
      </c>
      <c r="E774" s="4" t="s">
        <v>42</v>
      </c>
      <c r="F774" s="4" t="str">
        <f>"刘丰婷"</f>
        <v>刘丰婷</v>
      </c>
      <c r="G774" s="4" t="str">
        <f t="shared" si="34"/>
        <v>女</v>
      </c>
      <c r="H774" s="4" t="str">
        <f>"1998-09-05"</f>
        <v>1998-09-05</v>
      </c>
      <c r="I774" s="4">
        <v>46.9</v>
      </c>
      <c r="J774" s="5"/>
    </row>
    <row r="775" spans="1:10">
      <c r="A775" s="4">
        <v>771</v>
      </c>
      <c r="B775" s="4" t="str">
        <f>"20206112621"</f>
        <v>20206112621</v>
      </c>
      <c r="C775" s="4">
        <v>26</v>
      </c>
      <c r="D775" s="4">
        <v>21</v>
      </c>
      <c r="E775" s="4" t="s">
        <v>42</v>
      </c>
      <c r="F775" s="4" t="str">
        <f>"宋丹"</f>
        <v>宋丹</v>
      </c>
      <c r="G775" s="4" t="str">
        <f t="shared" si="34"/>
        <v>女</v>
      </c>
      <c r="H775" s="4" t="str">
        <f>"1999-10-02"</f>
        <v>1999-10-02</v>
      </c>
      <c r="I775" s="4">
        <v>68.9</v>
      </c>
      <c r="J775" s="5"/>
    </row>
    <row r="776" spans="1:10">
      <c r="A776" s="4">
        <v>772</v>
      </c>
      <c r="B776" s="4" t="str">
        <f>"20206112622"</f>
        <v>20206112622</v>
      </c>
      <c r="C776" s="4">
        <v>26</v>
      </c>
      <c r="D776" s="4">
        <v>22</v>
      </c>
      <c r="E776" s="4" t="s">
        <v>42</v>
      </c>
      <c r="F776" s="4" t="str">
        <f>"张雅伦"</f>
        <v>张雅伦</v>
      </c>
      <c r="G776" s="4" t="str">
        <f t="shared" si="34"/>
        <v>女</v>
      </c>
      <c r="H776" s="4" t="str">
        <f>"1997-08-08"</f>
        <v>1997-08-08</v>
      </c>
      <c r="I776" s="4">
        <v>56.6</v>
      </c>
      <c r="J776" s="5"/>
    </row>
    <row r="777" spans="1:10">
      <c r="A777" s="4">
        <v>773</v>
      </c>
      <c r="B777" s="4" t="str">
        <f>"20206112623"</f>
        <v>20206112623</v>
      </c>
      <c r="C777" s="4">
        <v>26</v>
      </c>
      <c r="D777" s="4">
        <v>23</v>
      </c>
      <c r="E777" s="4" t="s">
        <v>42</v>
      </c>
      <c r="F777" s="4" t="str">
        <f>"陈静"</f>
        <v>陈静</v>
      </c>
      <c r="G777" s="4" t="str">
        <f t="shared" si="34"/>
        <v>女</v>
      </c>
      <c r="H777" s="4" t="str">
        <f>"1998-08-03"</f>
        <v>1998-08-03</v>
      </c>
      <c r="I777" s="4" t="s">
        <v>12</v>
      </c>
      <c r="J777" s="5"/>
    </row>
    <row r="778" spans="1:10">
      <c r="A778" s="4">
        <v>774</v>
      </c>
      <c r="B778" s="4" t="str">
        <f>"20206112624"</f>
        <v>20206112624</v>
      </c>
      <c r="C778" s="4">
        <v>26</v>
      </c>
      <c r="D778" s="4">
        <v>24</v>
      </c>
      <c r="E778" s="4" t="s">
        <v>42</v>
      </c>
      <c r="F778" s="4" t="str">
        <f>"赵杉"</f>
        <v>赵杉</v>
      </c>
      <c r="G778" s="4" t="str">
        <f t="shared" si="34"/>
        <v>女</v>
      </c>
      <c r="H778" s="4" t="str">
        <f>"1996-12-23"</f>
        <v>1996-12-23</v>
      </c>
      <c r="I778" s="4">
        <v>81.3</v>
      </c>
      <c r="J778" s="5"/>
    </row>
    <row r="779" spans="1:10">
      <c r="A779" s="4">
        <v>775</v>
      </c>
      <c r="B779" s="4" t="str">
        <f>"20206112625"</f>
        <v>20206112625</v>
      </c>
      <c r="C779" s="4">
        <v>26</v>
      </c>
      <c r="D779" s="4">
        <v>25</v>
      </c>
      <c r="E779" s="4" t="s">
        <v>42</v>
      </c>
      <c r="F779" s="4" t="str">
        <f>"赵荣娇"</f>
        <v>赵荣娇</v>
      </c>
      <c r="G779" s="4" t="str">
        <f t="shared" si="34"/>
        <v>女</v>
      </c>
      <c r="H779" s="4" t="str">
        <f>"1998-09-11"</f>
        <v>1998-09-11</v>
      </c>
      <c r="I779" s="4">
        <v>52</v>
      </c>
      <c r="J779" s="5"/>
    </row>
    <row r="780" spans="1:10">
      <c r="A780" s="4">
        <v>776</v>
      </c>
      <c r="B780" s="4" t="str">
        <f>"20206112626"</f>
        <v>20206112626</v>
      </c>
      <c r="C780" s="4">
        <v>26</v>
      </c>
      <c r="D780" s="4">
        <v>26</v>
      </c>
      <c r="E780" s="4" t="s">
        <v>42</v>
      </c>
      <c r="F780" s="4" t="str">
        <f>"张鑫琰"</f>
        <v>张鑫琰</v>
      </c>
      <c r="G780" s="4" t="str">
        <f t="shared" si="34"/>
        <v>女</v>
      </c>
      <c r="H780" s="4" t="str">
        <f>"1997-05-16"</f>
        <v>1997-05-16</v>
      </c>
      <c r="I780" s="4">
        <v>61.4</v>
      </c>
      <c r="J780" s="5"/>
    </row>
    <row r="781" spans="1:10">
      <c r="A781" s="4">
        <v>777</v>
      </c>
      <c r="B781" s="4" t="str">
        <f>"20206112627"</f>
        <v>20206112627</v>
      </c>
      <c r="C781" s="4">
        <v>26</v>
      </c>
      <c r="D781" s="4">
        <v>27</v>
      </c>
      <c r="E781" s="4" t="s">
        <v>42</v>
      </c>
      <c r="F781" s="4" t="str">
        <f>"景琪凤"</f>
        <v>景琪凤</v>
      </c>
      <c r="G781" s="4" t="str">
        <f t="shared" si="34"/>
        <v>女</v>
      </c>
      <c r="H781" s="4" t="str">
        <f>"1999-10-06"</f>
        <v>1999-10-06</v>
      </c>
      <c r="I781" s="4">
        <v>71.1</v>
      </c>
      <c r="J781" s="5"/>
    </row>
    <row r="782" spans="1:10">
      <c r="A782" s="4">
        <v>778</v>
      </c>
      <c r="B782" s="4" t="str">
        <f>"20206112628"</f>
        <v>20206112628</v>
      </c>
      <c r="C782" s="4">
        <v>26</v>
      </c>
      <c r="D782" s="4">
        <v>28</v>
      </c>
      <c r="E782" s="4" t="s">
        <v>42</v>
      </c>
      <c r="F782" s="4" t="str">
        <f>"陈羽涵"</f>
        <v>陈羽涵</v>
      </c>
      <c r="G782" s="4" t="str">
        <f t="shared" si="34"/>
        <v>女</v>
      </c>
      <c r="H782" s="4" t="str">
        <f>"2000-02-16"</f>
        <v>2000-02-16</v>
      </c>
      <c r="I782" s="4">
        <v>67.2</v>
      </c>
      <c r="J782" s="5"/>
    </row>
    <row r="783" spans="1:10">
      <c r="A783" s="4">
        <v>779</v>
      </c>
      <c r="B783" s="4" t="str">
        <f>"20206112629"</f>
        <v>20206112629</v>
      </c>
      <c r="C783" s="4">
        <v>26</v>
      </c>
      <c r="D783" s="4">
        <v>29</v>
      </c>
      <c r="E783" s="4" t="s">
        <v>42</v>
      </c>
      <c r="F783" s="4" t="str">
        <f>"周丽婷"</f>
        <v>周丽婷</v>
      </c>
      <c r="G783" s="4" t="str">
        <f t="shared" si="34"/>
        <v>女</v>
      </c>
      <c r="H783" s="4" t="str">
        <f>"1994-02-18"</f>
        <v>1994-02-18</v>
      </c>
      <c r="I783" s="4">
        <v>73.2</v>
      </c>
      <c r="J783" s="5"/>
    </row>
    <row r="784" spans="1:10">
      <c r="A784" s="4">
        <v>780</v>
      </c>
      <c r="B784" s="4" t="str">
        <f>"20206112630"</f>
        <v>20206112630</v>
      </c>
      <c r="C784" s="4">
        <v>26</v>
      </c>
      <c r="D784" s="4">
        <v>30</v>
      </c>
      <c r="E784" s="4" t="s">
        <v>42</v>
      </c>
      <c r="F784" s="4" t="str">
        <f>"吉艺林"</f>
        <v>吉艺林</v>
      </c>
      <c r="G784" s="4" t="str">
        <f t="shared" si="34"/>
        <v>女</v>
      </c>
      <c r="H784" s="4" t="str">
        <f>"1997-11-21"</f>
        <v>1997-11-21</v>
      </c>
      <c r="I784" s="4" t="s">
        <v>12</v>
      </c>
      <c r="J784" s="5"/>
    </row>
    <row r="785" spans="1:10">
      <c r="A785" s="4">
        <v>781</v>
      </c>
      <c r="B785" s="4" t="str">
        <f>"20206112701"</f>
        <v>20206112701</v>
      </c>
      <c r="C785" s="4">
        <v>27</v>
      </c>
      <c r="D785" s="4">
        <v>1</v>
      </c>
      <c r="E785" s="4" t="s">
        <v>42</v>
      </c>
      <c r="F785" s="4" t="str">
        <f>"刘雪雅"</f>
        <v>刘雪雅</v>
      </c>
      <c r="G785" s="4" t="str">
        <f t="shared" si="34"/>
        <v>女</v>
      </c>
      <c r="H785" s="4" t="str">
        <f>"2000-02-05"</f>
        <v>2000-02-05</v>
      </c>
      <c r="I785" s="4">
        <v>52.3</v>
      </c>
      <c r="J785" s="5"/>
    </row>
    <row r="786" spans="1:10">
      <c r="A786" s="4">
        <v>782</v>
      </c>
      <c r="B786" s="4" t="str">
        <f>"20206112702"</f>
        <v>20206112702</v>
      </c>
      <c r="C786" s="4">
        <v>27</v>
      </c>
      <c r="D786" s="4">
        <v>2</v>
      </c>
      <c r="E786" s="4" t="s">
        <v>42</v>
      </c>
      <c r="F786" s="4" t="str">
        <f>"李奕辉"</f>
        <v>李奕辉</v>
      </c>
      <c r="G786" s="4" t="str">
        <f t="shared" si="34"/>
        <v>女</v>
      </c>
      <c r="H786" s="4" t="str">
        <f>"1997-11-30"</f>
        <v>1997-11-30</v>
      </c>
      <c r="I786" s="4">
        <v>65.8</v>
      </c>
      <c r="J786" s="5"/>
    </row>
    <row r="787" spans="1:10">
      <c r="A787" s="4">
        <v>783</v>
      </c>
      <c r="B787" s="4" t="str">
        <f>"20206112703"</f>
        <v>20206112703</v>
      </c>
      <c r="C787" s="4">
        <v>27</v>
      </c>
      <c r="D787" s="4">
        <v>3</v>
      </c>
      <c r="E787" s="4" t="s">
        <v>42</v>
      </c>
      <c r="F787" s="4" t="str">
        <f>"朱夏彤"</f>
        <v>朱夏彤</v>
      </c>
      <c r="G787" s="4" t="str">
        <f t="shared" si="34"/>
        <v>女</v>
      </c>
      <c r="H787" s="4" t="str">
        <f>"1997-06-10"</f>
        <v>1997-06-10</v>
      </c>
      <c r="I787" s="4">
        <v>67.1</v>
      </c>
      <c r="J787" s="5"/>
    </row>
    <row r="788" spans="1:10">
      <c r="A788" s="4">
        <v>784</v>
      </c>
      <c r="B788" s="4" t="str">
        <f>"20206112704"</f>
        <v>20206112704</v>
      </c>
      <c r="C788" s="4">
        <v>27</v>
      </c>
      <c r="D788" s="4">
        <v>4</v>
      </c>
      <c r="E788" s="4" t="s">
        <v>42</v>
      </c>
      <c r="F788" s="4" t="str">
        <f>"毛欢"</f>
        <v>毛欢</v>
      </c>
      <c r="G788" s="4" t="str">
        <f t="shared" si="34"/>
        <v>女</v>
      </c>
      <c r="H788" s="4" t="str">
        <f>"1998-07-07"</f>
        <v>1998-07-07</v>
      </c>
      <c r="I788" s="4" t="s">
        <v>12</v>
      </c>
      <c r="J788" s="5"/>
    </row>
    <row r="789" spans="1:10">
      <c r="A789" s="4">
        <v>785</v>
      </c>
      <c r="B789" s="4" t="str">
        <f>"20206112705"</f>
        <v>20206112705</v>
      </c>
      <c r="C789" s="4">
        <v>27</v>
      </c>
      <c r="D789" s="4">
        <v>5</v>
      </c>
      <c r="E789" s="4" t="s">
        <v>42</v>
      </c>
      <c r="F789" s="4" t="str">
        <f>"陈瑶"</f>
        <v>陈瑶</v>
      </c>
      <c r="G789" s="4" t="str">
        <f t="shared" si="34"/>
        <v>女</v>
      </c>
      <c r="H789" s="4" t="str">
        <f>"1998-01-20"</f>
        <v>1998-01-20</v>
      </c>
      <c r="I789" s="4">
        <v>58.8</v>
      </c>
      <c r="J789" s="5"/>
    </row>
    <row r="790" spans="1:10">
      <c r="A790" s="4">
        <v>786</v>
      </c>
      <c r="B790" s="4" t="str">
        <f>"20206112706"</f>
        <v>20206112706</v>
      </c>
      <c r="C790" s="4">
        <v>27</v>
      </c>
      <c r="D790" s="4">
        <v>6</v>
      </c>
      <c r="E790" s="4" t="s">
        <v>42</v>
      </c>
      <c r="F790" s="4" t="str">
        <f>"陈然"</f>
        <v>陈然</v>
      </c>
      <c r="G790" s="4" t="str">
        <f t="shared" si="34"/>
        <v>女</v>
      </c>
      <c r="H790" s="4" t="str">
        <f>"1999-07-10"</f>
        <v>1999-07-10</v>
      </c>
      <c r="I790" s="4">
        <v>53.4</v>
      </c>
      <c r="J790" s="5"/>
    </row>
    <row r="791" spans="1:10">
      <c r="A791" s="4">
        <v>787</v>
      </c>
      <c r="B791" s="4" t="str">
        <f>"20206112707"</f>
        <v>20206112707</v>
      </c>
      <c r="C791" s="4">
        <v>27</v>
      </c>
      <c r="D791" s="4">
        <v>7</v>
      </c>
      <c r="E791" s="4" t="s">
        <v>42</v>
      </c>
      <c r="F791" s="4" t="str">
        <f>"李艺"</f>
        <v>李艺</v>
      </c>
      <c r="G791" s="4" t="str">
        <f t="shared" si="34"/>
        <v>女</v>
      </c>
      <c r="H791" s="4" t="str">
        <f>"1997-04-29"</f>
        <v>1997-04-29</v>
      </c>
      <c r="I791" s="4">
        <v>72.2</v>
      </c>
      <c r="J791" s="5"/>
    </row>
    <row r="792" spans="1:10">
      <c r="A792" s="4">
        <v>788</v>
      </c>
      <c r="B792" s="4" t="str">
        <f>"20206112708"</f>
        <v>20206112708</v>
      </c>
      <c r="C792" s="4">
        <v>27</v>
      </c>
      <c r="D792" s="4">
        <v>8</v>
      </c>
      <c r="E792" s="4" t="s">
        <v>42</v>
      </c>
      <c r="F792" s="4" t="str">
        <f>"吕伟双"</f>
        <v>吕伟双</v>
      </c>
      <c r="G792" s="4" t="str">
        <f t="shared" si="34"/>
        <v>女</v>
      </c>
      <c r="H792" s="4" t="str">
        <f>"1997-11-16"</f>
        <v>1997-11-16</v>
      </c>
      <c r="I792" s="4">
        <v>62.8</v>
      </c>
      <c r="J792" s="5"/>
    </row>
    <row r="793" spans="1:10">
      <c r="A793" s="4">
        <v>789</v>
      </c>
      <c r="B793" s="4" t="str">
        <f>"20206112709"</f>
        <v>20206112709</v>
      </c>
      <c r="C793" s="4">
        <v>27</v>
      </c>
      <c r="D793" s="4">
        <v>9</v>
      </c>
      <c r="E793" s="4" t="s">
        <v>42</v>
      </c>
      <c r="F793" s="4" t="str">
        <f>"王一鸣"</f>
        <v>王一鸣</v>
      </c>
      <c r="G793" s="4" t="str">
        <f t="shared" si="34"/>
        <v>女</v>
      </c>
      <c r="H793" s="4" t="str">
        <f>"1998-08-30"</f>
        <v>1998-08-30</v>
      </c>
      <c r="I793" s="4">
        <v>74.2</v>
      </c>
      <c r="J793" s="5"/>
    </row>
    <row r="794" spans="1:10">
      <c r="A794" s="4">
        <v>790</v>
      </c>
      <c r="B794" s="4" t="str">
        <f>"20206112710"</f>
        <v>20206112710</v>
      </c>
      <c r="C794" s="4">
        <v>27</v>
      </c>
      <c r="D794" s="4">
        <v>10</v>
      </c>
      <c r="E794" s="4" t="s">
        <v>42</v>
      </c>
      <c r="F794" s="4" t="str">
        <f>"白欣鑫"</f>
        <v>白欣鑫</v>
      </c>
      <c r="G794" s="4" t="str">
        <f>"男"</f>
        <v>男</v>
      </c>
      <c r="H794" s="4" t="str">
        <f>"1996-10-12"</f>
        <v>1996-10-12</v>
      </c>
      <c r="I794" s="4">
        <v>21</v>
      </c>
      <c r="J794" s="5"/>
    </row>
    <row r="795" spans="1:10">
      <c r="A795" s="4">
        <v>791</v>
      </c>
      <c r="B795" s="4" t="str">
        <f>"20206112711"</f>
        <v>20206112711</v>
      </c>
      <c r="C795" s="4">
        <v>27</v>
      </c>
      <c r="D795" s="4">
        <v>11</v>
      </c>
      <c r="E795" s="4" t="s">
        <v>42</v>
      </c>
      <c r="F795" s="4" t="str">
        <f>"李长安"</f>
        <v>李长安</v>
      </c>
      <c r="G795" s="4" t="str">
        <f>"男"</f>
        <v>男</v>
      </c>
      <c r="H795" s="4" t="str">
        <f>"1996-11-07"</f>
        <v>1996-11-07</v>
      </c>
      <c r="I795" s="4">
        <v>70.1</v>
      </c>
      <c r="J795" s="5"/>
    </row>
    <row r="796" spans="1:10">
      <c r="A796" s="4">
        <v>792</v>
      </c>
      <c r="B796" s="4" t="str">
        <f>"20206112712"</f>
        <v>20206112712</v>
      </c>
      <c r="C796" s="4">
        <v>27</v>
      </c>
      <c r="D796" s="4">
        <v>12</v>
      </c>
      <c r="E796" s="4" t="s">
        <v>42</v>
      </c>
      <c r="F796" s="4" t="str">
        <f>"丁君培"</f>
        <v>丁君培</v>
      </c>
      <c r="G796" s="4" t="str">
        <f>"女"</f>
        <v>女</v>
      </c>
      <c r="H796" s="4" t="str">
        <f>"1998-05-16"</f>
        <v>1998-05-16</v>
      </c>
      <c r="I796" s="4">
        <v>59.7</v>
      </c>
      <c r="J796" s="5"/>
    </row>
    <row r="797" spans="1:10">
      <c r="A797" s="4">
        <v>793</v>
      </c>
      <c r="B797" s="4" t="str">
        <f>"20206112713"</f>
        <v>20206112713</v>
      </c>
      <c r="C797" s="4">
        <v>27</v>
      </c>
      <c r="D797" s="4">
        <v>13</v>
      </c>
      <c r="E797" s="4" t="s">
        <v>42</v>
      </c>
      <c r="F797" s="4" t="str">
        <f>"尚少宇"</f>
        <v>尚少宇</v>
      </c>
      <c r="G797" s="4" t="str">
        <f>"女"</f>
        <v>女</v>
      </c>
      <c r="H797" s="4" t="str">
        <f>"1997-04-19"</f>
        <v>1997-04-19</v>
      </c>
      <c r="I797" s="4">
        <v>61.8</v>
      </c>
      <c r="J797" s="5"/>
    </row>
    <row r="798" spans="1:10">
      <c r="A798" s="4">
        <v>794</v>
      </c>
      <c r="B798" s="4" t="str">
        <f>"20206112714"</f>
        <v>20206112714</v>
      </c>
      <c r="C798" s="4">
        <v>27</v>
      </c>
      <c r="D798" s="4">
        <v>14</v>
      </c>
      <c r="E798" s="4" t="s">
        <v>42</v>
      </c>
      <c r="F798" s="4" t="str">
        <f>"胡亚君"</f>
        <v>胡亚君</v>
      </c>
      <c r="G798" s="4" t="str">
        <f>"女"</f>
        <v>女</v>
      </c>
      <c r="H798" s="4" t="str">
        <f>"1997-12-01"</f>
        <v>1997-12-01</v>
      </c>
      <c r="I798" s="4">
        <v>71.4</v>
      </c>
      <c r="J798" s="5"/>
    </row>
    <row r="799" spans="1:10">
      <c r="A799" s="4">
        <v>795</v>
      </c>
      <c r="B799" s="4" t="str">
        <f>"20206112715"</f>
        <v>20206112715</v>
      </c>
      <c r="C799" s="4">
        <v>27</v>
      </c>
      <c r="D799" s="4">
        <v>15</v>
      </c>
      <c r="E799" s="4" t="s">
        <v>42</v>
      </c>
      <c r="F799" s="4" t="str">
        <f>"焦耀璞"</f>
        <v>焦耀璞</v>
      </c>
      <c r="G799" s="4" t="str">
        <f>"女"</f>
        <v>女</v>
      </c>
      <c r="H799" s="4" t="str">
        <f>"1996-09-28"</f>
        <v>1996-09-28</v>
      </c>
      <c r="I799" s="4">
        <v>82.2</v>
      </c>
      <c r="J799" s="5"/>
    </row>
    <row r="800" spans="1:10">
      <c r="A800" s="4">
        <v>796</v>
      </c>
      <c r="B800" s="4" t="str">
        <f>"20206112716"</f>
        <v>20206112716</v>
      </c>
      <c r="C800" s="4">
        <v>27</v>
      </c>
      <c r="D800" s="4">
        <v>16</v>
      </c>
      <c r="E800" s="4" t="s">
        <v>42</v>
      </c>
      <c r="F800" s="4" t="str">
        <f>"陈锴良"</f>
        <v>陈锴良</v>
      </c>
      <c r="G800" s="4" t="str">
        <f>"男"</f>
        <v>男</v>
      </c>
      <c r="H800" s="4" t="str">
        <f>"1998-02-13"</f>
        <v>1998-02-13</v>
      </c>
      <c r="I800" s="4" t="s">
        <v>12</v>
      </c>
      <c r="J800" s="5"/>
    </row>
    <row r="801" spans="1:10">
      <c r="A801" s="4">
        <v>797</v>
      </c>
      <c r="B801" s="4" t="str">
        <f>"20206112717"</f>
        <v>20206112717</v>
      </c>
      <c r="C801" s="4">
        <v>27</v>
      </c>
      <c r="D801" s="4">
        <v>17</v>
      </c>
      <c r="E801" s="4" t="s">
        <v>42</v>
      </c>
      <c r="F801" s="4" t="str">
        <f>"李珂"</f>
        <v>李珂</v>
      </c>
      <c r="G801" s="4" t="str">
        <f t="shared" ref="G801:G822" si="35">"女"</f>
        <v>女</v>
      </c>
      <c r="H801" s="4" t="str">
        <f>"1996-09-02"</f>
        <v>1996-09-02</v>
      </c>
      <c r="I801" s="4">
        <v>62.3</v>
      </c>
      <c r="J801" s="5"/>
    </row>
    <row r="802" spans="1:10">
      <c r="A802" s="4">
        <v>798</v>
      </c>
      <c r="B802" s="4" t="str">
        <f>"20206112718"</f>
        <v>20206112718</v>
      </c>
      <c r="C802" s="4">
        <v>27</v>
      </c>
      <c r="D802" s="4">
        <v>18</v>
      </c>
      <c r="E802" s="4" t="s">
        <v>42</v>
      </c>
      <c r="F802" s="4" t="str">
        <f>"徐夏鑫"</f>
        <v>徐夏鑫</v>
      </c>
      <c r="G802" s="4" t="str">
        <f t="shared" si="35"/>
        <v>女</v>
      </c>
      <c r="H802" s="4" t="str">
        <f>"1998-05-26"</f>
        <v>1998-05-26</v>
      </c>
      <c r="I802" s="4">
        <v>71.4</v>
      </c>
      <c r="J802" s="5"/>
    </row>
    <row r="803" spans="1:10">
      <c r="A803" s="4">
        <v>799</v>
      </c>
      <c r="B803" s="4" t="str">
        <f>"20206112719"</f>
        <v>20206112719</v>
      </c>
      <c r="C803" s="4">
        <v>27</v>
      </c>
      <c r="D803" s="4">
        <v>19</v>
      </c>
      <c r="E803" s="4" t="s">
        <v>42</v>
      </c>
      <c r="F803" s="4" t="str">
        <f>"于晶晶"</f>
        <v>于晶晶</v>
      </c>
      <c r="G803" s="4" t="str">
        <f t="shared" si="35"/>
        <v>女</v>
      </c>
      <c r="H803" s="4" t="str">
        <f>"1994-11-20"</f>
        <v>1994-11-20</v>
      </c>
      <c r="I803" s="4">
        <v>53.4</v>
      </c>
      <c r="J803" s="5"/>
    </row>
    <row r="804" spans="1:10">
      <c r="A804" s="4">
        <v>800</v>
      </c>
      <c r="B804" s="4" t="str">
        <f>"20206112720"</f>
        <v>20206112720</v>
      </c>
      <c r="C804" s="4">
        <v>27</v>
      </c>
      <c r="D804" s="4">
        <v>20</v>
      </c>
      <c r="E804" s="4" t="s">
        <v>42</v>
      </c>
      <c r="F804" s="4" t="str">
        <f>"王梦真"</f>
        <v>王梦真</v>
      </c>
      <c r="G804" s="4" t="str">
        <f t="shared" si="35"/>
        <v>女</v>
      </c>
      <c r="H804" s="4" t="str">
        <f>"1996-06-19"</f>
        <v>1996-06-19</v>
      </c>
      <c r="I804" s="4" t="s">
        <v>12</v>
      </c>
      <c r="J804" s="5"/>
    </row>
    <row r="805" spans="1:10">
      <c r="A805" s="4">
        <v>801</v>
      </c>
      <c r="B805" s="4" t="str">
        <f>"20206112721"</f>
        <v>20206112721</v>
      </c>
      <c r="C805" s="4">
        <v>27</v>
      </c>
      <c r="D805" s="4">
        <v>21</v>
      </c>
      <c r="E805" s="4" t="s">
        <v>42</v>
      </c>
      <c r="F805" s="4" t="str">
        <f>"贾咪"</f>
        <v>贾咪</v>
      </c>
      <c r="G805" s="4" t="str">
        <f t="shared" si="35"/>
        <v>女</v>
      </c>
      <c r="H805" s="4" t="str">
        <f>"1999-08-25"</f>
        <v>1999-08-25</v>
      </c>
      <c r="I805" s="4" t="s">
        <v>12</v>
      </c>
      <c r="J805" s="5"/>
    </row>
    <row r="806" spans="1:10">
      <c r="A806" s="4">
        <v>802</v>
      </c>
      <c r="B806" s="4" t="str">
        <f>"20206112722"</f>
        <v>20206112722</v>
      </c>
      <c r="C806" s="4">
        <v>27</v>
      </c>
      <c r="D806" s="4">
        <v>22</v>
      </c>
      <c r="E806" s="4" t="s">
        <v>42</v>
      </c>
      <c r="F806" s="4" t="str">
        <f>"黄丰菊"</f>
        <v>黄丰菊</v>
      </c>
      <c r="G806" s="4" t="str">
        <f t="shared" si="35"/>
        <v>女</v>
      </c>
      <c r="H806" s="4" t="str">
        <f>"1997-10-13"</f>
        <v>1997-10-13</v>
      </c>
      <c r="I806" s="4">
        <v>64.1</v>
      </c>
      <c r="J806" s="5"/>
    </row>
    <row r="807" spans="1:10">
      <c r="A807" s="4">
        <v>803</v>
      </c>
      <c r="B807" s="4" t="str">
        <f>"20206112723"</f>
        <v>20206112723</v>
      </c>
      <c r="C807" s="4">
        <v>27</v>
      </c>
      <c r="D807" s="4">
        <v>23</v>
      </c>
      <c r="E807" s="4" t="s">
        <v>42</v>
      </c>
      <c r="F807" s="4" t="str">
        <f>"秦亚岭"</f>
        <v>秦亚岭</v>
      </c>
      <c r="G807" s="4" t="str">
        <f t="shared" si="35"/>
        <v>女</v>
      </c>
      <c r="H807" s="4" t="str">
        <f>"1999-01-06"</f>
        <v>1999-01-06</v>
      </c>
      <c r="I807" s="4">
        <v>52</v>
      </c>
      <c r="J807" s="5"/>
    </row>
    <row r="808" spans="1:10">
      <c r="A808" s="4">
        <v>804</v>
      </c>
      <c r="B808" s="4" t="str">
        <f>"20206112724"</f>
        <v>20206112724</v>
      </c>
      <c r="C808" s="4">
        <v>27</v>
      </c>
      <c r="D808" s="4">
        <v>24</v>
      </c>
      <c r="E808" s="4" t="s">
        <v>42</v>
      </c>
      <c r="F808" s="4" t="str">
        <f>"闫旭晗"</f>
        <v>闫旭晗</v>
      </c>
      <c r="G808" s="4" t="str">
        <f t="shared" si="35"/>
        <v>女</v>
      </c>
      <c r="H808" s="4" t="str">
        <f>"1995-10-12"</f>
        <v>1995-10-12</v>
      </c>
      <c r="I808" s="4">
        <v>75.2</v>
      </c>
      <c r="J808" s="5"/>
    </row>
    <row r="809" spans="1:10">
      <c r="A809" s="4">
        <v>805</v>
      </c>
      <c r="B809" s="4" t="str">
        <f>"20206112725"</f>
        <v>20206112725</v>
      </c>
      <c r="C809" s="4">
        <v>27</v>
      </c>
      <c r="D809" s="4">
        <v>25</v>
      </c>
      <c r="E809" s="4" t="s">
        <v>42</v>
      </c>
      <c r="F809" s="4" t="str">
        <f>"徐瑞凯"</f>
        <v>徐瑞凯</v>
      </c>
      <c r="G809" s="4" t="str">
        <f t="shared" si="35"/>
        <v>女</v>
      </c>
      <c r="H809" s="4" t="str">
        <f>"1997-01-13"</f>
        <v>1997-01-13</v>
      </c>
      <c r="I809" s="4">
        <v>68.5</v>
      </c>
      <c r="J809" s="5"/>
    </row>
    <row r="810" spans="1:10">
      <c r="A810" s="4">
        <v>806</v>
      </c>
      <c r="B810" s="4" t="str">
        <f>"20206112726"</f>
        <v>20206112726</v>
      </c>
      <c r="C810" s="4">
        <v>27</v>
      </c>
      <c r="D810" s="4">
        <v>26</v>
      </c>
      <c r="E810" s="4" t="s">
        <v>42</v>
      </c>
      <c r="F810" s="4" t="str">
        <f>"杜跃杰"</f>
        <v>杜跃杰</v>
      </c>
      <c r="G810" s="4" t="str">
        <f t="shared" si="35"/>
        <v>女</v>
      </c>
      <c r="H810" s="4" t="str">
        <f>"1998-11-09"</f>
        <v>1998-11-09</v>
      </c>
      <c r="I810" s="4">
        <v>74.6</v>
      </c>
      <c r="J810" s="5"/>
    </row>
    <row r="811" spans="1:10">
      <c r="A811" s="4">
        <v>807</v>
      </c>
      <c r="B811" s="4" t="str">
        <f>"20206112727"</f>
        <v>20206112727</v>
      </c>
      <c r="C811" s="4">
        <v>27</v>
      </c>
      <c r="D811" s="4">
        <v>27</v>
      </c>
      <c r="E811" s="4" t="s">
        <v>42</v>
      </c>
      <c r="F811" s="4" t="str">
        <f>"李静"</f>
        <v>李静</v>
      </c>
      <c r="G811" s="4" t="str">
        <f t="shared" si="35"/>
        <v>女</v>
      </c>
      <c r="H811" s="4" t="str">
        <f>"1995-02-16"</f>
        <v>1995-02-16</v>
      </c>
      <c r="I811" s="4" t="s">
        <v>12</v>
      </c>
      <c r="J811" s="5"/>
    </row>
    <row r="812" spans="1:10">
      <c r="A812" s="4">
        <v>808</v>
      </c>
      <c r="B812" s="4" t="str">
        <f>"20206112728"</f>
        <v>20206112728</v>
      </c>
      <c r="C812" s="4">
        <v>27</v>
      </c>
      <c r="D812" s="4">
        <v>28</v>
      </c>
      <c r="E812" s="4" t="s">
        <v>42</v>
      </c>
      <c r="F812" s="4" t="str">
        <f>"张嘉乐"</f>
        <v>张嘉乐</v>
      </c>
      <c r="G812" s="4" t="str">
        <f t="shared" si="35"/>
        <v>女</v>
      </c>
      <c r="H812" s="4" t="str">
        <f>"1992-10-25"</f>
        <v>1992-10-25</v>
      </c>
      <c r="I812" s="4">
        <v>69.3</v>
      </c>
      <c r="J812" s="5"/>
    </row>
    <row r="813" spans="1:10">
      <c r="A813" s="4">
        <v>809</v>
      </c>
      <c r="B813" s="4" t="str">
        <f>"20206112729"</f>
        <v>20206112729</v>
      </c>
      <c r="C813" s="4">
        <v>27</v>
      </c>
      <c r="D813" s="4">
        <v>29</v>
      </c>
      <c r="E813" s="4" t="s">
        <v>42</v>
      </c>
      <c r="F813" s="4" t="str">
        <f>"吴文贤"</f>
        <v>吴文贤</v>
      </c>
      <c r="G813" s="4" t="str">
        <f t="shared" si="35"/>
        <v>女</v>
      </c>
      <c r="H813" s="4" t="str">
        <f>"1997-05-22"</f>
        <v>1997-05-22</v>
      </c>
      <c r="I813" s="4">
        <v>44.6</v>
      </c>
      <c r="J813" s="5"/>
    </row>
    <row r="814" spans="1:10">
      <c r="A814" s="4">
        <v>810</v>
      </c>
      <c r="B814" s="4" t="str">
        <f>"20206112730"</f>
        <v>20206112730</v>
      </c>
      <c r="C814" s="4">
        <v>27</v>
      </c>
      <c r="D814" s="4">
        <v>30</v>
      </c>
      <c r="E814" s="4" t="s">
        <v>42</v>
      </c>
      <c r="F814" s="4" t="str">
        <f>"朱丽妍"</f>
        <v>朱丽妍</v>
      </c>
      <c r="G814" s="4" t="str">
        <f t="shared" si="35"/>
        <v>女</v>
      </c>
      <c r="H814" s="4" t="str">
        <f>"1997-04-28"</f>
        <v>1997-04-28</v>
      </c>
      <c r="I814" s="4">
        <v>73.5</v>
      </c>
      <c r="J814" s="5"/>
    </row>
    <row r="815" spans="1:10">
      <c r="A815" s="4">
        <v>811</v>
      </c>
      <c r="B815" s="4" t="str">
        <f>"20206112801"</f>
        <v>20206112801</v>
      </c>
      <c r="C815" s="4">
        <v>28</v>
      </c>
      <c r="D815" s="4">
        <v>1</v>
      </c>
      <c r="E815" s="4" t="s">
        <v>42</v>
      </c>
      <c r="F815" s="4" t="str">
        <f>"郭伟巍"</f>
        <v>郭伟巍</v>
      </c>
      <c r="G815" s="4" t="str">
        <f t="shared" si="35"/>
        <v>女</v>
      </c>
      <c r="H815" s="4" t="str">
        <f>"1998-11-19"</f>
        <v>1998-11-19</v>
      </c>
      <c r="I815" s="4">
        <v>67.1</v>
      </c>
      <c r="J815" s="5"/>
    </row>
    <row r="816" spans="1:10">
      <c r="A816" s="4">
        <v>812</v>
      </c>
      <c r="B816" s="4" t="str">
        <f>"20206112802"</f>
        <v>20206112802</v>
      </c>
      <c r="C816" s="4">
        <v>28</v>
      </c>
      <c r="D816" s="4">
        <v>2</v>
      </c>
      <c r="E816" s="4" t="s">
        <v>42</v>
      </c>
      <c r="F816" s="4" t="str">
        <f>"张静"</f>
        <v>张静</v>
      </c>
      <c r="G816" s="4" t="str">
        <f t="shared" si="35"/>
        <v>女</v>
      </c>
      <c r="H816" s="4" t="str">
        <f>"1994-06-18"</f>
        <v>1994-06-18</v>
      </c>
      <c r="I816" s="4">
        <v>77.8</v>
      </c>
      <c r="J816" s="5"/>
    </row>
    <row r="817" spans="1:10">
      <c r="A817" s="4">
        <v>813</v>
      </c>
      <c r="B817" s="4" t="str">
        <f>"20206112803"</f>
        <v>20206112803</v>
      </c>
      <c r="C817" s="4">
        <v>28</v>
      </c>
      <c r="D817" s="4">
        <v>3</v>
      </c>
      <c r="E817" s="4" t="s">
        <v>42</v>
      </c>
      <c r="F817" s="4" t="str">
        <f>"吕梦莹"</f>
        <v>吕梦莹</v>
      </c>
      <c r="G817" s="4" t="str">
        <f t="shared" si="35"/>
        <v>女</v>
      </c>
      <c r="H817" s="4" t="str">
        <f>"1995-12-20"</f>
        <v>1995-12-20</v>
      </c>
      <c r="I817" s="4">
        <v>68.1</v>
      </c>
      <c r="J817" s="5"/>
    </row>
    <row r="818" spans="1:10">
      <c r="A818" s="4">
        <v>814</v>
      </c>
      <c r="B818" s="4" t="str">
        <f>"20206112804"</f>
        <v>20206112804</v>
      </c>
      <c r="C818" s="4">
        <v>28</v>
      </c>
      <c r="D818" s="4">
        <v>4</v>
      </c>
      <c r="E818" s="4" t="s">
        <v>42</v>
      </c>
      <c r="F818" s="4" t="str">
        <f>"崔源"</f>
        <v>崔源</v>
      </c>
      <c r="G818" s="4" t="str">
        <f t="shared" si="35"/>
        <v>女</v>
      </c>
      <c r="H818" s="4" t="str">
        <f>"1995-06-18"</f>
        <v>1995-06-18</v>
      </c>
      <c r="I818" s="4">
        <v>74.5</v>
      </c>
      <c r="J818" s="5"/>
    </row>
    <row r="819" spans="1:10">
      <c r="A819" s="4">
        <v>815</v>
      </c>
      <c r="B819" s="4" t="str">
        <f>"20206112805"</f>
        <v>20206112805</v>
      </c>
      <c r="C819" s="4">
        <v>28</v>
      </c>
      <c r="D819" s="4">
        <v>5</v>
      </c>
      <c r="E819" s="4" t="s">
        <v>42</v>
      </c>
      <c r="F819" s="4" t="str">
        <f>"王慧"</f>
        <v>王慧</v>
      </c>
      <c r="G819" s="4" t="str">
        <f t="shared" si="35"/>
        <v>女</v>
      </c>
      <c r="H819" s="4" t="str">
        <f>"1997-04-03"</f>
        <v>1997-04-03</v>
      </c>
      <c r="I819" s="4">
        <v>74.5</v>
      </c>
      <c r="J819" s="5"/>
    </row>
    <row r="820" spans="1:10">
      <c r="A820" s="4">
        <v>816</v>
      </c>
      <c r="B820" s="4" t="str">
        <f>"20206112806"</f>
        <v>20206112806</v>
      </c>
      <c r="C820" s="4">
        <v>28</v>
      </c>
      <c r="D820" s="4">
        <v>6</v>
      </c>
      <c r="E820" s="4" t="s">
        <v>42</v>
      </c>
      <c r="F820" s="4" t="str">
        <f>"陈爽爽"</f>
        <v>陈爽爽</v>
      </c>
      <c r="G820" s="4" t="str">
        <f t="shared" si="35"/>
        <v>女</v>
      </c>
      <c r="H820" s="4" t="str">
        <f>"1996-08-07"</f>
        <v>1996-08-07</v>
      </c>
      <c r="I820" s="4" t="s">
        <v>12</v>
      </c>
      <c r="J820" s="5"/>
    </row>
    <row r="821" spans="1:10">
      <c r="A821" s="4">
        <v>817</v>
      </c>
      <c r="B821" s="4" t="str">
        <f>"20206112807"</f>
        <v>20206112807</v>
      </c>
      <c r="C821" s="4">
        <v>28</v>
      </c>
      <c r="D821" s="4">
        <v>7</v>
      </c>
      <c r="E821" s="4" t="s">
        <v>42</v>
      </c>
      <c r="F821" s="4" t="str">
        <f>"谢宛欣"</f>
        <v>谢宛欣</v>
      </c>
      <c r="G821" s="4" t="str">
        <f t="shared" si="35"/>
        <v>女</v>
      </c>
      <c r="H821" s="4" t="str">
        <f>"1997-11-24"</f>
        <v>1997-11-24</v>
      </c>
      <c r="I821" s="4">
        <v>66.1</v>
      </c>
      <c r="J821" s="5"/>
    </row>
    <row r="822" spans="1:10">
      <c r="A822" s="4">
        <v>818</v>
      </c>
      <c r="B822" s="4" t="str">
        <f>"20206112808"</f>
        <v>20206112808</v>
      </c>
      <c r="C822" s="4">
        <v>28</v>
      </c>
      <c r="D822" s="4">
        <v>8</v>
      </c>
      <c r="E822" s="4" t="s">
        <v>42</v>
      </c>
      <c r="F822" s="4" t="str">
        <f>"李鑫轮"</f>
        <v>李鑫轮</v>
      </c>
      <c r="G822" s="4" t="str">
        <f t="shared" si="35"/>
        <v>女</v>
      </c>
      <c r="H822" s="4" t="str">
        <f>"1995-11-28"</f>
        <v>1995-11-28</v>
      </c>
      <c r="I822" s="4">
        <v>76.1</v>
      </c>
      <c r="J822" s="5"/>
    </row>
    <row r="823" spans="1:10">
      <c r="A823" s="4">
        <v>819</v>
      </c>
      <c r="B823" s="4" t="str">
        <f>"20206112809"</f>
        <v>20206112809</v>
      </c>
      <c r="C823" s="4">
        <v>28</v>
      </c>
      <c r="D823" s="4">
        <v>9</v>
      </c>
      <c r="E823" s="4" t="s">
        <v>42</v>
      </c>
      <c r="F823" s="4" t="str">
        <f>"张宏鑫"</f>
        <v>张宏鑫</v>
      </c>
      <c r="G823" s="4" t="str">
        <f>"男"</f>
        <v>男</v>
      </c>
      <c r="H823" s="4" t="str">
        <f>"1998-09-07"</f>
        <v>1998-09-07</v>
      </c>
      <c r="I823" s="4">
        <v>68.5</v>
      </c>
      <c r="J823" s="5"/>
    </row>
    <row r="824" spans="1:10">
      <c r="A824" s="4">
        <v>820</v>
      </c>
      <c r="B824" s="4" t="str">
        <f>"20206112810"</f>
        <v>20206112810</v>
      </c>
      <c r="C824" s="4">
        <v>28</v>
      </c>
      <c r="D824" s="4">
        <v>10</v>
      </c>
      <c r="E824" s="4" t="s">
        <v>42</v>
      </c>
      <c r="F824" s="4" t="str">
        <f>"李连平"</f>
        <v>李连平</v>
      </c>
      <c r="G824" s="4" t="str">
        <f t="shared" ref="G824:G876" si="36">"女"</f>
        <v>女</v>
      </c>
      <c r="H824" s="4" t="str">
        <f>"1997-12-27"</f>
        <v>1997-12-27</v>
      </c>
      <c r="I824" s="4">
        <v>54.1</v>
      </c>
      <c r="J824" s="5"/>
    </row>
    <row r="825" spans="1:10">
      <c r="A825" s="4">
        <v>821</v>
      </c>
      <c r="B825" s="4" t="str">
        <f>"20206112811"</f>
        <v>20206112811</v>
      </c>
      <c r="C825" s="4">
        <v>28</v>
      </c>
      <c r="D825" s="4">
        <v>11</v>
      </c>
      <c r="E825" s="4" t="s">
        <v>42</v>
      </c>
      <c r="F825" s="4" t="str">
        <f>"周孟可"</f>
        <v>周孟可</v>
      </c>
      <c r="G825" s="4" t="str">
        <f t="shared" si="36"/>
        <v>女</v>
      </c>
      <c r="H825" s="4" t="str">
        <f>"1998-06-23"</f>
        <v>1998-06-23</v>
      </c>
      <c r="I825" s="4">
        <v>60</v>
      </c>
      <c r="J825" s="5"/>
    </row>
    <row r="826" spans="1:10">
      <c r="A826" s="4">
        <v>822</v>
      </c>
      <c r="B826" s="4" t="str">
        <f>"20206112812"</f>
        <v>20206112812</v>
      </c>
      <c r="C826" s="4">
        <v>28</v>
      </c>
      <c r="D826" s="4">
        <v>12</v>
      </c>
      <c r="E826" s="4" t="s">
        <v>42</v>
      </c>
      <c r="F826" s="4" t="str">
        <f>"韩明新"</f>
        <v>韩明新</v>
      </c>
      <c r="G826" s="4" t="str">
        <f t="shared" si="36"/>
        <v>女</v>
      </c>
      <c r="H826" s="4" t="str">
        <f>"1998-01-27"</f>
        <v>1998-01-27</v>
      </c>
      <c r="I826" s="4">
        <v>58.6</v>
      </c>
      <c r="J826" s="5"/>
    </row>
    <row r="827" spans="1:10">
      <c r="A827" s="4">
        <v>823</v>
      </c>
      <c r="B827" s="4" t="str">
        <f>"20206112813"</f>
        <v>20206112813</v>
      </c>
      <c r="C827" s="4">
        <v>28</v>
      </c>
      <c r="D827" s="4">
        <v>13</v>
      </c>
      <c r="E827" s="4" t="s">
        <v>42</v>
      </c>
      <c r="F827" s="4" t="str">
        <f>"靳佳莹"</f>
        <v>靳佳莹</v>
      </c>
      <c r="G827" s="4" t="str">
        <f t="shared" si="36"/>
        <v>女</v>
      </c>
      <c r="H827" s="4" t="str">
        <f>"1995-11-08"</f>
        <v>1995-11-08</v>
      </c>
      <c r="I827" s="4">
        <v>74.1</v>
      </c>
      <c r="J827" s="5"/>
    </row>
    <row r="828" spans="1:10">
      <c r="A828" s="4">
        <v>824</v>
      </c>
      <c r="B828" s="4" t="str">
        <f>"20206112814"</f>
        <v>20206112814</v>
      </c>
      <c r="C828" s="4">
        <v>28</v>
      </c>
      <c r="D828" s="4">
        <v>14</v>
      </c>
      <c r="E828" s="4" t="s">
        <v>42</v>
      </c>
      <c r="F828" s="4" t="str">
        <f>"黄双双"</f>
        <v>黄双双</v>
      </c>
      <c r="G828" s="4" t="str">
        <f t="shared" si="36"/>
        <v>女</v>
      </c>
      <c r="H828" s="4" t="str">
        <f>"1997-12-08"</f>
        <v>1997-12-08</v>
      </c>
      <c r="I828" s="4">
        <v>67.1</v>
      </c>
      <c r="J828" s="5"/>
    </row>
    <row r="829" spans="1:10">
      <c r="A829" s="4">
        <v>825</v>
      </c>
      <c r="B829" s="4" t="str">
        <f>"20206112815"</f>
        <v>20206112815</v>
      </c>
      <c r="C829" s="4">
        <v>28</v>
      </c>
      <c r="D829" s="4">
        <v>15</v>
      </c>
      <c r="E829" s="4" t="s">
        <v>42</v>
      </c>
      <c r="F829" s="4" t="str">
        <f>"周捷"</f>
        <v>周捷</v>
      </c>
      <c r="G829" s="4" t="str">
        <f t="shared" si="36"/>
        <v>女</v>
      </c>
      <c r="H829" s="4" t="str">
        <f>"2000-04-13"</f>
        <v>2000-04-13</v>
      </c>
      <c r="I829" s="4">
        <v>48</v>
      </c>
      <c r="J829" s="5"/>
    </row>
    <row r="830" spans="1:10">
      <c r="A830" s="4">
        <v>826</v>
      </c>
      <c r="B830" s="4" t="str">
        <f>"20206112816"</f>
        <v>20206112816</v>
      </c>
      <c r="C830" s="4">
        <v>28</v>
      </c>
      <c r="D830" s="4">
        <v>16</v>
      </c>
      <c r="E830" s="4" t="s">
        <v>42</v>
      </c>
      <c r="F830" s="4" t="str">
        <f>"窦文袖"</f>
        <v>窦文袖</v>
      </c>
      <c r="G830" s="4" t="str">
        <f t="shared" si="36"/>
        <v>女</v>
      </c>
      <c r="H830" s="4" t="str">
        <f>"1996-02-25"</f>
        <v>1996-02-25</v>
      </c>
      <c r="I830" s="4" t="s">
        <v>12</v>
      </c>
      <c r="J830" s="5"/>
    </row>
    <row r="831" spans="1:10">
      <c r="A831" s="4">
        <v>827</v>
      </c>
      <c r="B831" s="4" t="str">
        <f>"20206112817"</f>
        <v>20206112817</v>
      </c>
      <c r="C831" s="4">
        <v>28</v>
      </c>
      <c r="D831" s="4">
        <v>17</v>
      </c>
      <c r="E831" s="4" t="s">
        <v>42</v>
      </c>
      <c r="F831" s="4" t="str">
        <f>"周扬"</f>
        <v>周扬</v>
      </c>
      <c r="G831" s="4" t="str">
        <f t="shared" si="36"/>
        <v>女</v>
      </c>
      <c r="H831" s="4" t="str">
        <f>"1995-11-08"</f>
        <v>1995-11-08</v>
      </c>
      <c r="I831" s="4">
        <v>48.7</v>
      </c>
      <c r="J831" s="5"/>
    </row>
    <row r="832" spans="1:10">
      <c r="A832" s="4">
        <v>828</v>
      </c>
      <c r="B832" s="4" t="str">
        <f>"20206112818"</f>
        <v>20206112818</v>
      </c>
      <c r="C832" s="4">
        <v>28</v>
      </c>
      <c r="D832" s="4">
        <v>18</v>
      </c>
      <c r="E832" s="4" t="s">
        <v>42</v>
      </c>
      <c r="F832" s="4" t="str">
        <f>"王杨"</f>
        <v>王杨</v>
      </c>
      <c r="G832" s="4" t="str">
        <f t="shared" si="36"/>
        <v>女</v>
      </c>
      <c r="H832" s="4" t="str">
        <f>"1996-02-19"</f>
        <v>1996-02-19</v>
      </c>
      <c r="I832" s="4">
        <v>64.8</v>
      </c>
      <c r="J832" s="5"/>
    </row>
    <row r="833" spans="1:10">
      <c r="A833" s="4">
        <v>829</v>
      </c>
      <c r="B833" s="4" t="str">
        <f>"20206112819"</f>
        <v>20206112819</v>
      </c>
      <c r="C833" s="4">
        <v>28</v>
      </c>
      <c r="D833" s="4">
        <v>19</v>
      </c>
      <c r="E833" s="4" t="s">
        <v>42</v>
      </c>
      <c r="F833" s="4" t="str">
        <f>"陈梦君"</f>
        <v>陈梦君</v>
      </c>
      <c r="G833" s="4" t="str">
        <f t="shared" si="36"/>
        <v>女</v>
      </c>
      <c r="H833" s="4" t="str">
        <f>"1998-02-28"</f>
        <v>1998-02-28</v>
      </c>
      <c r="I833" s="4" t="s">
        <v>12</v>
      </c>
      <c r="J833" s="5"/>
    </row>
    <row r="834" spans="1:10">
      <c r="A834" s="4">
        <v>830</v>
      </c>
      <c r="B834" s="4" t="str">
        <f>"20206112820"</f>
        <v>20206112820</v>
      </c>
      <c r="C834" s="4">
        <v>28</v>
      </c>
      <c r="D834" s="4">
        <v>20</v>
      </c>
      <c r="E834" s="4" t="s">
        <v>42</v>
      </c>
      <c r="F834" s="4" t="str">
        <f>"武园园"</f>
        <v>武园园</v>
      </c>
      <c r="G834" s="4" t="str">
        <f t="shared" si="36"/>
        <v>女</v>
      </c>
      <c r="H834" s="4" t="str">
        <f>"1995-02-10"</f>
        <v>1995-02-10</v>
      </c>
      <c r="I834" s="4">
        <v>70.4</v>
      </c>
      <c r="J834" s="5"/>
    </row>
    <row r="835" spans="1:10">
      <c r="A835" s="4">
        <v>831</v>
      </c>
      <c r="B835" s="4" t="str">
        <f>"20206112821"</f>
        <v>20206112821</v>
      </c>
      <c r="C835" s="4">
        <v>28</v>
      </c>
      <c r="D835" s="4">
        <v>21</v>
      </c>
      <c r="E835" s="4" t="s">
        <v>42</v>
      </c>
      <c r="F835" s="4" t="str">
        <f>"朱凯"</f>
        <v>朱凯</v>
      </c>
      <c r="G835" s="4" t="str">
        <f t="shared" si="36"/>
        <v>女</v>
      </c>
      <c r="H835" s="4" t="str">
        <f>"1996-10-05"</f>
        <v>1996-10-05</v>
      </c>
      <c r="I835" s="4">
        <v>82.5</v>
      </c>
      <c r="J835" s="5"/>
    </row>
    <row r="836" spans="1:10">
      <c r="A836" s="4">
        <v>832</v>
      </c>
      <c r="B836" s="4" t="str">
        <f>"20206112822"</f>
        <v>20206112822</v>
      </c>
      <c r="C836" s="4">
        <v>28</v>
      </c>
      <c r="D836" s="4">
        <v>22</v>
      </c>
      <c r="E836" s="4" t="s">
        <v>42</v>
      </c>
      <c r="F836" s="4" t="str">
        <f>"张濮"</f>
        <v>张濮</v>
      </c>
      <c r="G836" s="4" t="str">
        <f t="shared" si="36"/>
        <v>女</v>
      </c>
      <c r="H836" s="4" t="str">
        <f>"1998-11-01"</f>
        <v>1998-11-01</v>
      </c>
      <c r="I836" s="4">
        <v>64.4</v>
      </c>
      <c r="J836" s="5"/>
    </row>
    <row r="837" spans="1:10">
      <c r="A837" s="4">
        <v>833</v>
      </c>
      <c r="B837" s="4" t="str">
        <f>"20206112823"</f>
        <v>20206112823</v>
      </c>
      <c r="C837" s="4">
        <v>28</v>
      </c>
      <c r="D837" s="4">
        <v>23</v>
      </c>
      <c r="E837" s="4" t="s">
        <v>42</v>
      </c>
      <c r="F837" s="4" t="str">
        <f>"张思梦"</f>
        <v>张思梦</v>
      </c>
      <c r="G837" s="4" t="str">
        <f t="shared" si="36"/>
        <v>女</v>
      </c>
      <c r="H837" s="4" t="str">
        <f>"1996-12-06"</f>
        <v>1996-12-06</v>
      </c>
      <c r="I837" s="4">
        <v>72.6</v>
      </c>
      <c r="J837" s="5"/>
    </row>
    <row r="838" spans="1:10">
      <c r="A838" s="4">
        <v>834</v>
      </c>
      <c r="B838" s="4" t="str">
        <f>"20206112824"</f>
        <v>20206112824</v>
      </c>
      <c r="C838" s="4">
        <v>28</v>
      </c>
      <c r="D838" s="4">
        <v>24</v>
      </c>
      <c r="E838" s="4" t="s">
        <v>42</v>
      </c>
      <c r="F838" s="4" t="str">
        <f>"张晨"</f>
        <v>张晨</v>
      </c>
      <c r="G838" s="4" t="str">
        <f t="shared" si="36"/>
        <v>女</v>
      </c>
      <c r="H838" s="4" t="str">
        <f>"1997-05-18"</f>
        <v>1997-05-18</v>
      </c>
      <c r="I838" s="4">
        <v>67.4</v>
      </c>
      <c r="J838" s="5"/>
    </row>
    <row r="839" spans="1:10">
      <c r="A839" s="4">
        <v>835</v>
      </c>
      <c r="B839" s="4" t="str">
        <f>"20206112825"</f>
        <v>20206112825</v>
      </c>
      <c r="C839" s="4">
        <v>28</v>
      </c>
      <c r="D839" s="4">
        <v>25</v>
      </c>
      <c r="E839" s="4" t="s">
        <v>42</v>
      </c>
      <c r="F839" s="4" t="str">
        <f>"张迎"</f>
        <v>张迎</v>
      </c>
      <c r="G839" s="4" t="str">
        <f t="shared" si="36"/>
        <v>女</v>
      </c>
      <c r="H839" s="4" t="str">
        <f>"1997-02-25"</f>
        <v>1997-02-25</v>
      </c>
      <c r="I839" s="4">
        <v>69.4</v>
      </c>
      <c r="J839" s="5"/>
    </row>
    <row r="840" spans="1:10">
      <c r="A840" s="4">
        <v>836</v>
      </c>
      <c r="B840" s="4" t="str">
        <f>"20206112826"</f>
        <v>20206112826</v>
      </c>
      <c r="C840" s="4">
        <v>28</v>
      </c>
      <c r="D840" s="4">
        <v>26</v>
      </c>
      <c r="E840" s="4" t="s">
        <v>42</v>
      </c>
      <c r="F840" s="4" t="str">
        <f>"马洪洋"</f>
        <v>马洪洋</v>
      </c>
      <c r="G840" s="4" t="str">
        <f t="shared" si="36"/>
        <v>女</v>
      </c>
      <c r="H840" s="4" t="str">
        <f>"1997-05-02"</f>
        <v>1997-05-02</v>
      </c>
      <c r="I840" s="4">
        <v>73.4</v>
      </c>
      <c r="J840" s="5"/>
    </row>
    <row r="841" spans="1:10">
      <c r="A841" s="4">
        <v>837</v>
      </c>
      <c r="B841" s="4" t="str">
        <f>"20206112827"</f>
        <v>20206112827</v>
      </c>
      <c r="C841" s="4">
        <v>28</v>
      </c>
      <c r="D841" s="4">
        <v>27</v>
      </c>
      <c r="E841" s="4" t="s">
        <v>42</v>
      </c>
      <c r="F841" s="4" t="str">
        <f>"王启涵"</f>
        <v>王启涵</v>
      </c>
      <c r="G841" s="4" t="str">
        <f t="shared" si="36"/>
        <v>女</v>
      </c>
      <c r="H841" s="4" t="str">
        <f>"1997-08-17"</f>
        <v>1997-08-17</v>
      </c>
      <c r="I841" s="4" t="s">
        <v>12</v>
      </c>
      <c r="J841" s="5"/>
    </row>
    <row r="842" spans="1:10">
      <c r="A842" s="4">
        <v>838</v>
      </c>
      <c r="B842" s="4" t="str">
        <f>"20206112828"</f>
        <v>20206112828</v>
      </c>
      <c r="C842" s="4">
        <v>28</v>
      </c>
      <c r="D842" s="4">
        <v>28</v>
      </c>
      <c r="E842" s="4" t="s">
        <v>42</v>
      </c>
      <c r="F842" s="4" t="str">
        <f>"吴俊仪"</f>
        <v>吴俊仪</v>
      </c>
      <c r="G842" s="4" t="str">
        <f t="shared" si="36"/>
        <v>女</v>
      </c>
      <c r="H842" s="4" t="str">
        <f>"2001-12-26"</f>
        <v>2001-12-26</v>
      </c>
      <c r="I842" s="4">
        <v>50</v>
      </c>
      <c r="J842" s="5"/>
    </row>
    <row r="843" spans="1:10">
      <c r="A843" s="4">
        <v>839</v>
      </c>
      <c r="B843" s="4" t="str">
        <f>"20206112829"</f>
        <v>20206112829</v>
      </c>
      <c r="C843" s="4">
        <v>28</v>
      </c>
      <c r="D843" s="4">
        <v>29</v>
      </c>
      <c r="E843" s="4" t="s">
        <v>42</v>
      </c>
      <c r="F843" s="4" t="str">
        <f>"李妮"</f>
        <v>李妮</v>
      </c>
      <c r="G843" s="4" t="str">
        <f t="shared" si="36"/>
        <v>女</v>
      </c>
      <c r="H843" s="4" t="str">
        <f>"1998-01-08"</f>
        <v>1998-01-08</v>
      </c>
      <c r="I843" s="4">
        <v>54.6</v>
      </c>
      <c r="J843" s="5"/>
    </row>
    <row r="844" spans="1:10">
      <c r="A844" s="4">
        <v>840</v>
      </c>
      <c r="B844" s="4" t="str">
        <f>"20206112830"</f>
        <v>20206112830</v>
      </c>
      <c r="C844" s="4">
        <v>28</v>
      </c>
      <c r="D844" s="4">
        <v>30</v>
      </c>
      <c r="E844" s="4" t="s">
        <v>42</v>
      </c>
      <c r="F844" s="4" t="str">
        <f>"刘杉"</f>
        <v>刘杉</v>
      </c>
      <c r="G844" s="4" t="str">
        <f t="shared" si="36"/>
        <v>女</v>
      </c>
      <c r="H844" s="4" t="str">
        <f>"1996-10-15"</f>
        <v>1996-10-15</v>
      </c>
      <c r="I844" s="4">
        <v>53.7</v>
      </c>
      <c r="J844" s="5"/>
    </row>
    <row r="845" spans="1:10">
      <c r="A845" s="4">
        <v>841</v>
      </c>
      <c r="B845" s="4" t="str">
        <f>"20206112901"</f>
        <v>20206112901</v>
      </c>
      <c r="C845" s="4">
        <v>29</v>
      </c>
      <c r="D845" s="4">
        <v>1</v>
      </c>
      <c r="E845" s="4" t="s">
        <v>42</v>
      </c>
      <c r="F845" s="4" t="str">
        <f>"朱俊品"</f>
        <v>朱俊品</v>
      </c>
      <c r="G845" s="4" t="str">
        <f t="shared" si="36"/>
        <v>女</v>
      </c>
      <c r="H845" s="4" t="str">
        <f>"1996-12-01"</f>
        <v>1996-12-01</v>
      </c>
      <c r="I845" s="4" t="s">
        <v>12</v>
      </c>
      <c r="J845" s="5"/>
    </row>
    <row r="846" spans="1:10">
      <c r="A846" s="4">
        <v>842</v>
      </c>
      <c r="B846" s="4" t="str">
        <f>"20206112902"</f>
        <v>20206112902</v>
      </c>
      <c r="C846" s="4">
        <v>29</v>
      </c>
      <c r="D846" s="4">
        <v>2</v>
      </c>
      <c r="E846" s="4" t="s">
        <v>42</v>
      </c>
      <c r="F846" s="4" t="str">
        <f>"宋振伟"</f>
        <v>宋振伟</v>
      </c>
      <c r="G846" s="4" t="str">
        <f t="shared" si="36"/>
        <v>女</v>
      </c>
      <c r="H846" s="4" t="str">
        <f>"1993-09-22"</f>
        <v>1993-09-22</v>
      </c>
      <c r="I846" s="4" t="s">
        <v>12</v>
      </c>
      <c r="J846" s="5"/>
    </row>
    <row r="847" spans="1:10">
      <c r="A847" s="4">
        <v>843</v>
      </c>
      <c r="B847" s="4" t="str">
        <f>"20206112903"</f>
        <v>20206112903</v>
      </c>
      <c r="C847" s="4">
        <v>29</v>
      </c>
      <c r="D847" s="4">
        <v>3</v>
      </c>
      <c r="E847" s="4" t="s">
        <v>42</v>
      </c>
      <c r="F847" s="4" t="str">
        <f>"付宇宇"</f>
        <v>付宇宇</v>
      </c>
      <c r="G847" s="4" t="str">
        <f t="shared" si="36"/>
        <v>女</v>
      </c>
      <c r="H847" s="4" t="str">
        <f>"1998-04-20"</f>
        <v>1998-04-20</v>
      </c>
      <c r="I847" s="4">
        <v>53.6</v>
      </c>
      <c r="J847" s="5"/>
    </row>
    <row r="848" spans="1:10">
      <c r="A848" s="4">
        <v>844</v>
      </c>
      <c r="B848" s="4" t="str">
        <f>"20206112904"</f>
        <v>20206112904</v>
      </c>
      <c r="C848" s="4">
        <v>29</v>
      </c>
      <c r="D848" s="4">
        <v>4</v>
      </c>
      <c r="E848" s="4" t="s">
        <v>42</v>
      </c>
      <c r="F848" s="4" t="str">
        <f>"陈韵涵"</f>
        <v>陈韵涵</v>
      </c>
      <c r="G848" s="4" t="str">
        <f t="shared" si="36"/>
        <v>女</v>
      </c>
      <c r="H848" s="4" t="str">
        <f>"1996-10-02"</f>
        <v>1996-10-02</v>
      </c>
      <c r="I848" s="4">
        <v>76.5</v>
      </c>
      <c r="J848" s="5"/>
    </row>
    <row r="849" spans="1:10">
      <c r="A849" s="4">
        <v>845</v>
      </c>
      <c r="B849" s="4" t="str">
        <f>"20206112905"</f>
        <v>20206112905</v>
      </c>
      <c r="C849" s="4">
        <v>29</v>
      </c>
      <c r="D849" s="4">
        <v>5</v>
      </c>
      <c r="E849" s="4" t="s">
        <v>42</v>
      </c>
      <c r="F849" s="4" t="str">
        <f>"吕楠"</f>
        <v>吕楠</v>
      </c>
      <c r="G849" s="4" t="str">
        <f t="shared" si="36"/>
        <v>女</v>
      </c>
      <c r="H849" s="4" t="str">
        <f>"1998-03-01"</f>
        <v>1998-03-01</v>
      </c>
      <c r="I849" s="4">
        <v>50.3</v>
      </c>
      <c r="J849" s="5"/>
    </row>
    <row r="850" spans="1:10">
      <c r="A850" s="4">
        <v>846</v>
      </c>
      <c r="B850" s="4" t="str">
        <f>"20206112906"</f>
        <v>20206112906</v>
      </c>
      <c r="C850" s="4">
        <v>29</v>
      </c>
      <c r="D850" s="4">
        <v>6</v>
      </c>
      <c r="E850" s="4" t="s">
        <v>42</v>
      </c>
      <c r="F850" s="4" t="str">
        <f>"殷倩"</f>
        <v>殷倩</v>
      </c>
      <c r="G850" s="4" t="str">
        <f t="shared" si="36"/>
        <v>女</v>
      </c>
      <c r="H850" s="4" t="str">
        <f>"1999-02-14"</f>
        <v>1999-02-14</v>
      </c>
      <c r="I850" s="4">
        <v>62.1</v>
      </c>
      <c r="J850" s="5"/>
    </row>
    <row r="851" spans="1:10">
      <c r="A851" s="4">
        <v>847</v>
      </c>
      <c r="B851" s="4" t="str">
        <f>"20206112907"</f>
        <v>20206112907</v>
      </c>
      <c r="C851" s="4">
        <v>29</v>
      </c>
      <c r="D851" s="4">
        <v>7</v>
      </c>
      <c r="E851" s="4" t="s">
        <v>42</v>
      </c>
      <c r="F851" s="4" t="str">
        <f>"刘畅"</f>
        <v>刘畅</v>
      </c>
      <c r="G851" s="4" t="str">
        <f t="shared" si="36"/>
        <v>女</v>
      </c>
      <c r="H851" s="4" t="str">
        <f>"1996-10-15"</f>
        <v>1996-10-15</v>
      </c>
      <c r="I851" s="4" t="s">
        <v>12</v>
      </c>
      <c r="J851" s="5"/>
    </row>
    <row r="852" spans="1:10">
      <c r="A852" s="4">
        <v>848</v>
      </c>
      <c r="B852" s="4" t="str">
        <f>"20206112908"</f>
        <v>20206112908</v>
      </c>
      <c r="C852" s="4">
        <v>29</v>
      </c>
      <c r="D852" s="4">
        <v>8</v>
      </c>
      <c r="E852" s="4" t="s">
        <v>42</v>
      </c>
      <c r="F852" s="4" t="str">
        <f>"崔书铮"</f>
        <v>崔书铮</v>
      </c>
      <c r="G852" s="4" t="str">
        <f t="shared" si="36"/>
        <v>女</v>
      </c>
      <c r="H852" s="4" t="str">
        <f>"1997-02-19"</f>
        <v>1997-02-19</v>
      </c>
      <c r="I852" s="4">
        <v>68.8</v>
      </c>
      <c r="J852" s="5"/>
    </row>
    <row r="853" spans="1:10">
      <c r="A853" s="4">
        <v>849</v>
      </c>
      <c r="B853" s="4" t="str">
        <f>"20206112909"</f>
        <v>20206112909</v>
      </c>
      <c r="C853" s="4">
        <v>29</v>
      </c>
      <c r="D853" s="4">
        <v>9</v>
      </c>
      <c r="E853" s="4" t="s">
        <v>42</v>
      </c>
      <c r="F853" s="4" t="str">
        <f>"乔丹"</f>
        <v>乔丹</v>
      </c>
      <c r="G853" s="4" t="str">
        <f t="shared" si="36"/>
        <v>女</v>
      </c>
      <c r="H853" s="4" t="str">
        <f>"1996-11-10"</f>
        <v>1996-11-10</v>
      </c>
      <c r="I853" s="4">
        <v>72.6</v>
      </c>
      <c r="J853" s="5"/>
    </row>
    <row r="854" spans="1:10">
      <c r="A854" s="4">
        <v>850</v>
      </c>
      <c r="B854" s="4" t="str">
        <f>"20206112910"</f>
        <v>20206112910</v>
      </c>
      <c r="C854" s="4">
        <v>29</v>
      </c>
      <c r="D854" s="4">
        <v>10</v>
      </c>
      <c r="E854" s="4" t="s">
        <v>42</v>
      </c>
      <c r="F854" s="4" t="str">
        <f>"岳明阳"</f>
        <v>岳明阳</v>
      </c>
      <c r="G854" s="4" t="str">
        <f t="shared" si="36"/>
        <v>女</v>
      </c>
      <c r="H854" s="4" t="str">
        <f>"1998-04-10"</f>
        <v>1998-04-10</v>
      </c>
      <c r="I854" s="4">
        <v>54.1</v>
      </c>
      <c r="J854" s="5"/>
    </row>
    <row r="855" spans="1:10">
      <c r="A855" s="4">
        <v>851</v>
      </c>
      <c r="B855" s="4" t="str">
        <f>"20206112911"</f>
        <v>20206112911</v>
      </c>
      <c r="C855" s="4">
        <v>29</v>
      </c>
      <c r="D855" s="4">
        <v>11</v>
      </c>
      <c r="E855" s="4" t="s">
        <v>42</v>
      </c>
      <c r="F855" s="4" t="str">
        <f>"张旖倩"</f>
        <v>张旖倩</v>
      </c>
      <c r="G855" s="4" t="str">
        <f t="shared" si="36"/>
        <v>女</v>
      </c>
      <c r="H855" s="4" t="str">
        <f>"1997-11-19"</f>
        <v>1997-11-19</v>
      </c>
      <c r="I855" s="4">
        <v>63.3</v>
      </c>
      <c r="J855" s="5"/>
    </row>
    <row r="856" spans="1:10">
      <c r="A856" s="4">
        <v>852</v>
      </c>
      <c r="B856" s="4" t="str">
        <f>"20206112912"</f>
        <v>20206112912</v>
      </c>
      <c r="C856" s="4">
        <v>29</v>
      </c>
      <c r="D856" s="4">
        <v>12</v>
      </c>
      <c r="E856" s="4" t="s">
        <v>42</v>
      </c>
      <c r="F856" s="4" t="str">
        <f>"冯玲玲"</f>
        <v>冯玲玲</v>
      </c>
      <c r="G856" s="4" t="str">
        <f t="shared" si="36"/>
        <v>女</v>
      </c>
      <c r="H856" s="4" t="str">
        <f>"1996-02-01"</f>
        <v>1996-02-01</v>
      </c>
      <c r="I856" s="4" t="s">
        <v>12</v>
      </c>
      <c r="J856" s="5"/>
    </row>
    <row r="857" spans="1:10">
      <c r="A857" s="4">
        <v>853</v>
      </c>
      <c r="B857" s="4" t="str">
        <f>"20206112913"</f>
        <v>20206112913</v>
      </c>
      <c r="C857" s="4">
        <v>29</v>
      </c>
      <c r="D857" s="4">
        <v>13</v>
      </c>
      <c r="E857" s="4" t="s">
        <v>42</v>
      </c>
      <c r="F857" s="4" t="str">
        <f>"张盟"</f>
        <v>张盟</v>
      </c>
      <c r="G857" s="4" t="str">
        <f t="shared" si="36"/>
        <v>女</v>
      </c>
      <c r="H857" s="4" t="str">
        <f>"1996-04-26"</f>
        <v>1996-04-26</v>
      </c>
      <c r="I857" s="4">
        <v>65.7</v>
      </c>
      <c r="J857" s="5"/>
    </row>
    <row r="858" spans="1:10">
      <c r="A858" s="4">
        <v>854</v>
      </c>
      <c r="B858" s="4" t="str">
        <f>"20206112914"</f>
        <v>20206112914</v>
      </c>
      <c r="C858" s="4">
        <v>29</v>
      </c>
      <c r="D858" s="4">
        <v>14</v>
      </c>
      <c r="E858" s="4" t="s">
        <v>42</v>
      </c>
      <c r="F858" s="4" t="str">
        <f>"戴良田"</f>
        <v>戴良田</v>
      </c>
      <c r="G858" s="4" t="str">
        <f t="shared" si="36"/>
        <v>女</v>
      </c>
      <c r="H858" s="4" t="str">
        <f>"1997-05-16"</f>
        <v>1997-05-16</v>
      </c>
      <c r="I858" s="4">
        <v>63.9</v>
      </c>
      <c r="J858" s="5"/>
    </row>
    <row r="859" spans="1:10">
      <c r="A859" s="4">
        <v>855</v>
      </c>
      <c r="B859" s="4" t="str">
        <f>"20206112915"</f>
        <v>20206112915</v>
      </c>
      <c r="C859" s="4">
        <v>29</v>
      </c>
      <c r="D859" s="4">
        <v>15</v>
      </c>
      <c r="E859" s="4" t="s">
        <v>42</v>
      </c>
      <c r="F859" s="4" t="str">
        <f>"丁梓英"</f>
        <v>丁梓英</v>
      </c>
      <c r="G859" s="4" t="str">
        <f t="shared" si="36"/>
        <v>女</v>
      </c>
      <c r="H859" s="4" t="str">
        <f>"1996-11-21"</f>
        <v>1996-11-21</v>
      </c>
      <c r="I859" s="4">
        <v>60.1</v>
      </c>
      <c r="J859" s="5"/>
    </row>
    <row r="860" spans="1:10">
      <c r="A860" s="4">
        <v>856</v>
      </c>
      <c r="B860" s="4" t="str">
        <f>"20206112916"</f>
        <v>20206112916</v>
      </c>
      <c r="C860" s="4">
        <v>29</v>
      </c>
      <c r="D860" s="4">
        <v>16</v>
      </c>
      <c r="E860" s="4" t="s">
        <v>42</v>
      </c>
      <c r="F860" s="4" t="str">
        <f>"赵芳菲"</f>
        <v>赵芳菲</v>
      </c>
      <c r="G860" s="4" t="str">
        <f t="shared" si="36"/>
        <v>女</v>
      </c>
      <c r="H860" s="4" t="str">
        <f>"1998-07-20"</f>
        <v>1998-07-20</v>
      </c>
      <c r="I860" s="4">
        <v>66.8</v>
      </c>
      <c r="J860" s="5"/>
    </row>
    <row r="861" spans="1:10">
      <c r="A861" s="4">
        <v>857</v>
      </c>
      <c r="B861" s="4" t="str">
        <f>"20206112917"</f>
        <v>20206112917</v>
      </c>
      <c r="C861" s="4">
        <v>29</v>
      </c>
      <c r="D861" s="4">
        <v>17</v>
      </c>
      <c r="E861" s="4" t="s">
        <v>42</v>
      </c>
      <c r="F861" s="4" t="str">
        <f>"罗琳"</f>
        <v>罗琳</v>
      </c>
      <c r="G861" s="4" t="str">
        <f t="shared" si="36"/>
        <v>女</v>
      </c>
      <c r="H861" s="4" t="str">
        <f>"1998-12-02"</f>
        <v>1998-12-02</v>
      </c>
      <c r="I861" s="4">
        <v>48.6</v>
      </c>
      <c r="J861" s="5"/>
    </row>
    <row r="862" spans="1:10">
      <c r="A862" s="4">
        <v>858</v>
      </c>
      <c r="B862" s="4" t="str">
        <f>"20206112918"</f>
        <v>20206112918</v>
      </c>
      <c r="C862" s="4">
        <v>29</v>
      </c>
      <c r="D862" s="4">
        <v>18</v>
      </c>
      <c r="E862" s="4" t="s">
        <v>42</v>
      </c>
      <c r="F862" s="4" t="str">
        <f>"李梦雅"</f>
        <v>李梦雅</v>
      </c>
      <c r="G862" s="4" t="str">
        <f t="shared" si="36"/>
        <v>女</v>
      </c>
      <c r="H862" s="4" t="str">
        <f>"1998-02-13"</f>
        <v>1998-02-13</v>
      </c>
      <c r="I862" s="4">
        <v>58.7</v>
      </c>
      <c r="J862" s="5"/>
    </row>
    <row r="863" spans="1:10">
      <c r="A863" s="4">
        <v>859</v>
      </c>
      <c r="B863" s="4" t="str">
        <f>"20206112919"</f>
        <v>20206112919</v>
      </c>
      <c r="C863" s="4">
        <v>29</v>
      </c>
      <c r="D863" s="4">
        <v>19</v>
      </c>
      <c r="E863" s="4" t="s">
        <v>42</v>
      </c>
      <c r="F863" s="4" t="str">
        <f>"秦冰洋"</f>
        <v>秦冰洋</v>
      </c>
      <c r="G863" s="4" t="str">
        <f t="shared" si="36"/>
        <v>女</v>
      </c>
      <c r="H863" s="4" t="str">
        <f>"1997-04-28"</f>
        <v>1997-04-28</v>
      </c>
      <c r="I863" s="4">
        <v>60.5</v>
      </c>
      <c r="J863" s="5"/>
    </row>
    <row r="864" spans="1:10">
      <c r="A864" s="4">
        <v>860</v>
      </c>
      <c r="B864" s="4" t="str">
        <f>"20206112920"</f>
        <v>20206112920</v>
      </c>
      <c r="C864" s="4">
        <v>29</v>
      </c>
      <c r="D864" s="4">
        <v>20</v>
      </c>
      <c r="E864" s="4" t="s">
        <v>42</v>
      </c>
      <c r="F864" s="4" t="str">
        <f>"李新园"</f>
        <v>李新园</v>
      </c>
      <c r="G864" s="4" t="str">
        <f t="shared" si="36"/>
        <v>女</v>
      </c>
      <c r="H864" s="4" t="str">
        <f>"1996-08-16"</f>
        <v>1996-08-16</v>
      </c>
      <c r="I864" s="4">
        <v>60.5</v>
      </c>
      <c r="J864" s="5"/>
    </row>
    <row r="865" spans="1:10">
      <c r="A865" s="4">
        <v>861</v>
      </c>
      <c r="B865" s="4" t="str">
        <f>"20206112921"</f>
        <v>20206112921</v>
      </c>
      <c r="C865" s="4">
        <v>29</v>
      </c>
      <c r="D865" s="4">
        <v>21</v>
      </c>
      <c r="E865" s="4" t="s">
        <v>42</v>
      </c>
      <c r="F865" s="4" t="str">
        <f>"张桃利"</f>
        <v>张桃利</v>
      </c>
      <c r="G865" s="4" t="str">
        <f t="shared" si="36"/>
        <v>女</v>
      </c>
      <c r="H865" s="4" t="str">
        <f>"1995-09-23"</f>
        <v>1995-09-23</v>
      </c>
      <c r="I865" s="4">
        <v>71.6</v>
      </c>
      <c r="J865" s="5"/>
    </row>
    <row r="866" spans="1:10">
      <c r="A866" s="4">
        <v>862</v>
      </c>
      <c r="B866" s="4" t="str">
        <f>"20206112922"</f>
        <v>20206112922</v>
      </c>
      <c r="C866" s="4">
        <v>29</v>
      </c>
      <c r="D866" s="4">
        <v>22</v>
      </c>
      <c r="E866" s="4" t="s">
        <v>42</v>
      </c>
      <c r="F866" s="4" t="str">
        <f>"张蒙楠"</f>
        <v>张蒙楠</v>
      </c>
      <c r="G866" s="4" t="str">
        <f t="shared" si="36"/>
        <v>女</v>
      </c>
      <c r="H866" s="4" t="str">
        <f>"1999-10-22"</f>
        <v>1999-10-22</v>
      </c>
      <c r="I866" s="4">
        <v>54.1</v>
      </c>
      <c r="J866" s="5"/>
    </row>
    <row r="867" spans="1:10">
      <c r="A867" s="4">
        <v>863</v>
      </c>
      <c r="B867" s="4" t="str">
        <f>"20206112923"</f>
        <v>20206112923</v>
      </c>
      <c r="C867" s="4">
        <v>29</v>
      </c>
      <c r="D867" s="4">
        <v>23</v>
      </c>
      <c r="E867" s="4" t="s">
        <v>42</v>
      </c>
      <c r="F867" s="4" t="str">
        <f>"曹雨"</f>
        <v>曹雨</v>
      </c>
      <c r="G867" s="4" t="str">
        <f t="shared" si="36"/>
        <v>女</v>
      </c>
      <c r="H867" s="4" t="str">
        <f>"1999-08-12"</f>
        <v>1999-08-12</v>
      </c>
      <c r="I867" s="4">
        <v>77.9</v>
      </c>
      <c r="J867" s="5"/>
    </row>
    <row r="868" spans="1:10">
      <c r="A868" s="4">
        <v>864</v>
      </c>
      <c r="B868" s="4" t="str">
        <f>"20206112924"</f>
        <v>20206112924</v>
      </c>
      <c r="C868" s="4">
        <v>29</v>
      </c>
      <c r="D868" s="4">
        <v>24</v>
      </c>
      <c r="E868" s="4" t="s">
        <v>42</v>
      </c>
      <c r="F868" s="4" t="str">
        <f>"徐禄"</f>
        <v>徐禄</v>
      </c>
      <c r="G868" s="4" t="str">
        <f t="shared" si="36"/>
        <v>女</v>
      </c>
      <c r="H868" s="4" t="str">
        <f>"1999-01-17"</f>
        <v>1999-01-17</v>
      </c>
      <c r="I868" s="4">
        <v>65.4</v>
      </c>
      <c r="J868" s="5"/>
    </row>
    <row r="869" spans="1:10">
      <c r="A869" s="4">
        <v>865</v>
      </c>
      <c r="B869" s="4" t="str">
        <f>"20206112925"</f>
        <v>20206112925</v>
      </c>
      <c r="C869" s="4">
        <v>29</v>
      </c>
      <c r="D869" s="4">
        <v>25</v>
      </c>
      <c r="E869" s="4" t="s">
        <v>42</v>
      </c>
      <c r="F869" s="4" t="str">
        <f>"左芳琦"</f>
        <v>左芳琦</v>
      </c>
      <c r="G869" s="4" t="str">
        <f t="shared" si="36"/>
        <v>女</v>
      </c>
      <c r="H869" s="4" t="str">
        <f>"1996-05-16"</f>
        <v>1996-05-16</v>
      </c>
      <c r="I869" s="4">
        <v>67.8</v>
      </c>
      <c r="J869" s="5"/>
    </row>
    <row r="870" spans="1:10">
      <c r="A870" s="4">
        <v>866</v>
      </c>
      <c r="B870" s="4" t="str">
        <f>"20206112926"</f>
        <v>20206112926</v>
      </c>
      <c r="C870" s="4">
        <v>29</v>
      </c>
      <c r="D870" s="4">
        <v>26</v>
      </c>
      <c r="E870" s="4" t="s">
        <v>42</v>
      </c>
      <c r="F870" s="4" t="str">
        <f>"范文彩"</f>
        <v>范文彩</v>
      </c>
      <c r="G870" s="4" t="str">
        <f t="shared" si="36"/>
        <v>女</v>
      </c>
      <c r="H870" s="4" t="str">
        <f>"1997-01-26"</f>
        <v>1997-01-26</v>
      </c>
      <c r="I870" s="4">
        <v>61.1</v>
      </c>
      <c r="J870" s="5"/>
    </row>
    <row r="871" spans="1:10">
      <c r="A871" s="4">
        <v>867</v>
      </c>
      <c r="B871" s="4" t="str">
        <f>"20206112927"</f>
        <v>20206112927</v>
      </c>
      <c r="C871" s="4">
        <v>29</v>
      </c>
      <c r="D871" s="4">
        <v>27</v>
      </c>
      <c r="E871" s="4" t="s">
        <v>42</v>
      </c>
      <c r="F871" s="4" t="str">
        <f>"张欣"</f>
        <v>张欣</v>
      </c>
      <c r="G871" s="4" t="str">
        <f t="shared" si="36"/>
        <v>女</v>
      </c>
      <c r="H871" s="4" t="str">
        <f>"1998-12-07"</f>
        <v>1998-12-07</v>
      </c>
      <c r="I871" s="4" t="s">
        <v>12</v>
      </c>
      <c r="J871" s="5"/>
    </row>
    <row r="872" spans="1:10">
      <c r="A872" s="4">
        <v>868</v>
      </c>
      <c r="B872" s="4" t="str">
        <f>"20206112928"</f>
        <v>20206112928</v>
      </c>
      <c r="C872" s="4">
        <v>29</v>
      </c>
      <c r="D872" s="4">
        <v>28</v>
      </c>
      <c r="E872" s="4" t="s">
        <v>42</v>
      </c>
      <c r="F872" s="4" t="str">
        <f>"汤勤"</f>
        <v>汤勤</v>
      </c>
      <c r="G872" s="4" t="str">
        <f t="shared" si="36"/>
        <v>女</v>
      </c>
      <c r="H872" s="4" t="str">
        <f>"1998-05-05"</f>
        <v>1998-05-05</v>
      </c>
      <c r="I872" s="4">
        <v>65.8</v>
      </c>
      <c r="J872" s="5"/>
    </row>
    <row r="873" spans="1:10">
      <c r="A873" s="4">
        <v>869</v>
      </c>
      <c r="B873" s="4" t="str">
        <f>"20206112929"</f>
        <v>20206112929</v>
      </c>
      <c r="C873" s="4">
        <v>29</v>
      </c>
      <c r="D873" s="4">
        <v>29</v>
      </c>
      <c r="E873" s="4" t="s">
        <v>42</v>
      </c>
      <c r="F873" s="4" t="str">
        <f>"尹延勤"</f>
        <v>尹延勤</v>
      </c>
      <c r="G873" s="4" t="str">
        <f t="shared" si="36"/>
        <v>女</v>
      </c>
      <c r="H873" s="4" t="str">
        <f>"1998-01-18"</f>
        <v>1998-01-18</v>
      </c>
      <c r="I873" s="4">
        <v>61.8</v>
      </c>
      <c r="J873" s="5"/>
    </row>
    <row r="874" spans="1:10">
      <c r="A874" s="4">
        <v>870</v>
      </c>
      <c r="B874" s="4" t="str">
        <f>"20206112930"</f>
        <v>20206112930</v>
      </c>
      <c r="C874" s="4">
        <v>29</v>
      </c>
      <c r="D874" s="4">
        <v>30</v>
      </c>
      <c r="E874" s="4" t="s">
        <v>42</v>
      </c>
      <c r="F874" s="4" t="str">
        <f>"李晓娜"</f>
        <v>李晓娜</v>
      </c>
      <c r="G874" s="4" t="str">
        <f t="shared" si="36"/>
        <v>女</v>
      </c>
      <c r="H874" s="4" t="str">
        <f>"2000-07-09"</f>
        <v>2000-07-09</v>
      </c>
      <c r="I874" s="4">
        <v>50.4</v>
      </c>
      <c r="J874" s="5"/>
    </row>
    <row r="875" spans="1:10">
      <c r="A875" s="4">
        <v>871</v>
      </c>
      <c r="B875" s="4" t="str">
        <f>"20206113001"</f>
        <v>20206113001</v>
      </c>
      <c r="C875" s="4">
        <v>30</v>
      </c>
      <c r="D875" s="4">
        <v>1</v>
      </c>
      <c r="E875" s="4" t="s">
        <v>42</v>
      </c>
      <c r="F875" s="4" t="str">
        <f>"李慧"</f>
        <v>李慧</v>
      </c>
      <c r="G875" s="4" t="str">
        <f t="shared" si="36"/>
        <v>女</v>
      </c>
      <c r="H875" s="4" t="str">
        <f>"1992-12-08"</f>
        <v>1992-12-08</v>
      </c>
      <c r="I875" s="4">
        <v>69.1</v>
      </c>
      <c r="J875" s="5"/>
    </row>
    <row r="876" spans="1:10">
      <c r="A876" s="4">
        <v>872</v>
      </c>
      <c r="B876" s="4" t="str">
        <f>"20206113002"</f>
        <v>20206113002</v>
      </c>
      <c r="C876" s="4">
        <v>30</v>
      </c>
      <c r="D876" s="4">
        <v>2</v>
      </c>
      <c r="E876" s="4" t="s">
        <v>42</v>
      </c>
      <c r="F876" s="4" t="str">
        <f>"马柯"</f>
        <v>马柯</v>
      </c>
      <c r="G876" s="4" t="str">
        <f t="shared" si="36"/>
        <v>女</v>
      </c>
      <c r="H876" s="4" t="str">
        <f>"1997-06-24"</f>
        <v>1997-06-24</v>
      </c>
      <c r="I876" s="4">
        <v>59.1</v>
      </c>
      <c r="J876" s="5"/>
    </row>
    <row r="877" spans="1:10">
      <c r="A877" s="4">
        <v>873</v>
      </c>
      <c r="B877" s="4" t="str">
        <f>"20206113003"</f>
        <v>20206113003</v>
      </c>
      <c r="C877" s="4">
        <v>30</v>
      </c>
      <c r="D877" s="4">
        <v>3</v>
      </c>
      <c r="E877" s="4" t="s">
        <v>42</v>
      </c>
      <c r="F877" s="4" t="str">
        <f>"王乐乐"</f>
        <v>王乐乐</v>
      </c>
      <c r="G877" s="4" t="str">
        <f>"男"</f>
        <v>男</v>
      </c>
      <c r="H877" s="4" t="str">
        <f>"1999-11-18"</f>
        <v>1999-11-18</v>
      </c>
      <c r="I877" s="4">
        <v>57</v>
      </c>
      <c r="J877" s="5"/>
    </row>
    <row r="878" spans="1:10">
      <c r="A878" s="4">
        <v>874</v>
      </c>
      <c r="B878" s="4" t="str">
        <f>"20206113004"</f>
        <v>20206113004</v>
      </c>
      <c r="C878" s="4">
        <v>30</v>
      </c>
      <c r="D878" s="4">
        <v>4</v>
      </c>
      <c r="E878" s="4" t="s">
        <v>42</v>
      </c>
      <c r="F878" s="4" t="str">
        <f>"吴新静"</f>
        <v>吴新静</v>
      </c>
      <c r="G878" s="4" t="str">
        <f>"女"</f>
        <v>女</v>
      </c>
      <c r="H878" s="4" t="str">
        <f>"1998-09-03"</f>
        <v>1998-09-03</v>
      </c>
      <c r="I878" s="4" t="s">
        <v>12</v>
      </c>
      <c r="J878" s="5"/>
    </row>
    <row r="879" spans="1:10">
      <c r="A879" s="4">
        <v>875</v>
      </c>
      <c r="B879" s="4" t="str">
        <f>"20206113005"</f>
        <v>20206113005</v>
      </c>
      <c r="C879" s="4">
        <v>30</v>
      </c>
      <c r="D879" s="4">
        <v>5</v>
      </c>
      <c r="E879" s="4" t="s">
        <v>42</v>
      </c>
      <c r="F879" s="4" t="str">
        <f>"袁开欣"</f>
        <v>袁开欣</v>
      </c>
      <c r="G879" s="4" t="str">
        <f>"女"</f>
        <v>女</v>
      </c>
      <c r="H879" s="4" t="str">
        <f>"1998-01-03"</f>
        <v>1998-01-03</v>
      </c>
      <c r="I879" s="4">
        <v>58.4</v>
      </c>
      <c r="J879" s="5"/>
    </row>
    <row r="880" spans="1:10">
      <c r="A880" s="4">
        <v>876</v>
      </c>
      <c r="B880" s="4" t="str">
        <f>"20206113006"</f>
        <v>20206113006</v>
      </c>
      <c r="C880" s="4">
        <v>30</v>
      </c>
      <c r="D880" s="4">
        <v>6</v>
      </c>
      <c r="E880" s="4" t="s">
        <v>42</v>
      </c>
      <c r="F880" s="4" t="str">
        <f>"韩明剑"</f>
        <v>韩明剑</v>
      </c>
      <c r="G880" s="4" t="str">
        <f>"男"</f>
        <v>男</v>
      </c>
      <c r="H880" s="4" t="str">
        <f>"2000-07-22"</f>
        <v>2000-07-22</v>
      </c>
      <c r="I880" s="4">
        <v>62</v>
      </c>
      <c r="J880" s="5"/>
    </row>
    <row r="881" spans="1:10">
      <c r="A881" s="4">
        <v>877</v>
      </c>
      <c r="B881" s="4" t="str">
        <f>"20206113007"</f>
        <v>20206113007</v>
      </c>
      <c r="C881" s="4">
        <v>30</v>
      </c>
      <c r="D881" s="4">
        <v>7</v>
      </c>
      <c r="E881" s="4" t="s">
        <v>42</v>
      </c>
      <c r="F881" s="4" t="str">
        <f>"单培莲"</f>
        <v>单培莲</v>
      </c>
      <c r="G881" s="4" t="str">
        <f t="shared" ref="G881:G902" si="37">"女"</f>
        <v>女</v>
      </c>
      <c r="H881" s="4" t="str">
        <f>"1994-04-09"</f>
        <v>1994-04-09</v>
      </c>
      <c r="I881" s="4">
        <v>82.3</v>
      </c>
      <c r="J881" s="5"/>
    </row>
    <row r="882" spans="1:10">
      <c r="A882" s="4">
        <v>878</v>
      </c>
      <c r="B882" s="4" t="str">
        <f>"20206113008"</f>
        <v>20206113008</v>
      </c>
      <c r="C882" s="4">
        <v>30</v>
      </c>
      <c r="D882" s="4">
        <v>8</v>
      </c>
      <c r="E882" s="4" t="s">
        <v>42</v>
      </c>
      <c r="F882" s="4" t="str">
        <f>"黄钰淇"</f>
        <v>黄钰淇</v>
      </c>
      <c r="G882" s="4" t="str">
        <f t="shared" si="37"/>
        <v>女</v>
      </c>
      <c r="H882" s="4" t="str">
        <f>"1997-03-08"</f>
        <v>1997-03-08</v>
      </c>
      <c r="I882" s="4">
        <v>64.4</v>
      </c>
      <c r="J882" s="5"/>
    </row>
    <row r="883" spans="1:10">
      <c r="A883" s="4">
        <v>879</v>
      </c>
      <c r="B883" s="4" t="str">
        <f>"20206113009"</f>
        <v>20206113009</v>
      </c>
      <c r="C883" s="4">
        <v>30</v>
      </c>
      <c r="D883" s="4">
        <v>9</v>
      </c>
      <c r="E883" s="4" t="s">
        <v>42</v>
      </c>
      <c r="F883" s="4" t="str">
        <f>"魏兰钰"</f>
        <v>魏兰钰</v>
      </c>
      <c r="G883" s="4" t="str">
        <f t="shared" si="37"/>
        <v>女</v>
      </c>
      <c r="H883" s="4" t="str">
        <f>"1998-03-25"</f>
        <v>1998-03-25</v>
      </c>
      <c r="I883" s="4" t="s">
        <v>12</v>
      </c>
      <c r="J883" s="5"/>
    </row>
    <row r="884" spans="1:10">
      <c r="A884" s="4">
        <v>880</v>
      </c>
      <c r="B884" s="4" t="str">
        <f>"20206113010"</f>
        <v>20206113010</v>
      </c>
      <c r="C884" s="4">
        <v>30</v>
      </c>
      <c r="D884" s="4">
        <v>10</v>
      </c>
      <c r="E884" s="4" t="s">
        <v>42</v>
      </c>
      <c r="F884" s="4" t="str">
        <f>"张凡"</f>
        <v>张凡</v>
      </c>
      <c r="G884" s="4" t="str">
        <f t="shared" si="37"/>
        <v>女</v>
      </c>
      <c r="H884" s="4" t="str">
        <f>"1998-08-20"</f>
        <v>1998-08-20</v>
      </c>
      <c r="I884" s="4">
        <v>57.4</v>
      </c>
      <c r="J884" s="5"/>
    </row>
    <row r="885" spans="1:10">
      <c r="A885" s="4">
        <v>881</v>
      </c>
      <c r="B885" s="4" t="str">
        <f>"20206113011"</f>
        <v>20206113011</v>
      </c>
      <c r="C885" s="4">
        <v>30</v>
      </c>
      <c r="D885" s="4">
        <v>11</v>
      </c>
      <c r="E885" s="4" t="s">
        <v>42</v>
      </c>
      <c r="F885" s="4" t="str">
        <f>"李玥"</f>
        <v>李玥</v>
      </c>
      <c r="G885" s="4" t="str">
        <f t="shared" si="37"/>
        <v>女</v>
      </c>
      <c r="H885" s="4" t="str">
        <f>"1999-11-13"</f>
        <v>1999-11-13</v>
      </c>
      <c r="I885" s="4">
        <v>64.1</v>
      </c>
      <c r="J885" s="5"/>
    </row>
    <row r="886" spans="1:10">
      <c r="A886" s="4">
        <v>882</v>
      </c>
      <c r="B886" s="4" t="str">
        <f>"20206113012"</f>
        <v>20206113012</v>
      </c>
      <c r="C886" s="4">
        <v>30</v>
      </c>
      <c r="D886" s="4">
        <v>12</v>
      </c>
      <c r="E886" s="4" t="s">
        <v>42</v>
      </c>
      <c r="F886" s="4" t="str">
        <f>"李泱"</f>
        <v>李泱</v>
      </c>
      <c r="G886" s="4" t="str">
        <f t="shared" si="37"/>
        <v>女</v>
      </c>
      <c r="H886" s="4" t="str">
        <f>"1996-12-17"</f>
        <v>1996-12-17</v>
      </c>
      <c r="I886" s="4">
        <v>75.6</v>
      </c>
      <c r="J886" s="5"/>
    </row>
    <row r="887" spans="1:10">
      <c r="A887" s="4">
        <v>883</v>
      </c>
      <c r="B887" s="4" t="str">
        <f>"20206113013"</f>
        <v>20206113013</v>
      </c>
      <c r="C887" s="4">
        <v>30</v>
      </c>
      <c r="D887" s="4">
        <v>13</v>
      </c>
      <c r="E887" s="4" t="s">
        <v>42</v>
      </c>
      <c r="F887" s="4" t="str">
        <f>"方欣"</f>
        <v>方欣</v>
      </c>
      <c r="G887" s="4" t="str">
        <f t="shared" si="37"/>
        <v>女</v>
      </c>
      <c r="H887" s="4" t="str">
        <f>"1998-09-18"</f>
        <v>1998-09-18</v>
      </c>
      <c r="I887" s="4" t="s">
        <v>12</v>
      </c>
      <c r="J887" s="5"/>
    </row>
    <row r="888" spans="1:10">
      <c r="A888" s="4">
        <v>884</v>
      </c>
      <c r="B888" s="4" t="str">
        <f>"20206113014"</f>
        <v>20206113014</v>
      </c>
      <c r="C888" s="4">
        <v>30</v>
      </c>
      <c r="D888" s="4">
        <v>14</v>
      </c>
      <c r="E888" s="4" t="s">
        <v>42</v>
      </c>
      <c r="F888" s="4" t="str">
        <f>"皮露洁"</f>
        <v>皮露洁</v>
      </c>
      <c r="G888" s="4" t="str">
        <f t="shared" si="37"/>
        <v>女</v>
      </c>
      <c r="H888" s="4" t="str">
        <f>"1997-05-08"</f>
        <v>1997-05-08</v>
      </c>
      <c r="I888" s="4" t="s">
        <v>12</v>
      </c>
      <c r="J888" s="5"/>
    </row>
    <row r="889" spans="1:10">
      <c r="A889" s="4">
        <v>885</v>
      </c>
      <c r="B889" s="4" t="str">
        <f>"20206113015"</f>
        <v>20206113015</v>
      </c>
      <c r="C889" s="4">
        <v>30</v>
      </c>
      <c r="D889" s="4">
        <v>15</v>
      </c>
      <c r="E889" s="4" t="s">
        <v>42</v>
      </c>
      <c r="F889" s="4" t="str">
        <f>"李贝贝"</f>
        <v>李贝贝</v>
      </c>
      <c r="G889" s="4" t="str">
        <f t="shared" si="37"/>
        <v>女</v>
      </c>
      <c r="H889" s="4" t="str">
        <f>"1995-02-22"</f>
        <v>1995-02-22</v>
      </c>
      <c r="I889" s="4">
        <v>58.3</v>
      </c>
      <c r="J889" s="5"/>
    </row>
    <row r="890" spans="1:10">
      <c r="A890" s="4">
        <v>886</v>
      </c>
      <c r="B890" s="4" t="str">
        <f>"20206113016"</f>
        <v>20206113016</v>
      </c>
      <c r="C890" s="4">
        <v>30</v>
      </c>
      <c r="D890" s="4">
        <v>16</v>
      </c>
      <c r="E890" s="4" t="s">
        <v>42</v>
      </c>
      <c r="F890" s="4" t="str">
        <f>"王静意"</f>
        <v>王静意</v>
      </c>
      <c r="G890" s="4" t="str">
        <f t="shared" si="37"/>
        <v>女</v>
      </c>
      <c r="H890" s="4" t="str">
        <f>"1996-06-05"</f>
        <v>1996-06-05</v>
      </c>
      <c r="I890" s="4">
        <v>50</v>
      </c>
      <c r="J890" s="5"/>
    </row>
    <row r="891" spans="1:10">
      <c r="A891" s="4">
        <v>887</v>
      </c>
      <c r="B891" s="4" t="str">
        <f>"20206113017"</f>
        <v>20206113017</v>
      </c>
      <c r="C891" s="4">
        <v>30</v>
      </c>
      <c r="D891" s="4">
        <v>17</v>
      </c>
      <c r="E891" s="4" t="s">
        <v>42</v>
      </c>
      <c r="F891" s="4" t="str">
        <f>"程琳"</f>
        <v>程琳</v>
      </c>
      <c r="G891" s="4" t="str">
        <f t="shared" si="37"/>
        <v>女</v>
      </c>
      <c r="H891" s="4" t="str">
        <f>"2000-03-06"</f>
        <v>2000-03-06</v>
      </c>
      <c r="I891" s="4">
        <v>72.5</v>
      </c>
      <c r="J891" s="5"/>
    </row>
    <row r="892" spans="1:10">
      <c r="A892" s="4">
        <v>888</v>
      </c>
      <c r="B892" s="4" t="str">
        <f>"20206113018"</f>
        <v>20206113018</v>
      </c>
      <c r="C892" s="4">
        <v>30</v>
      </c>
      <c r="D892" s="4">
        <v>18</v>
      </c>
      <c r="E892" s="4" t="s">
        <v>42</v>
      </c>
      <c r="F892" s="4" t="str">
        <f>"张路"</f>
        <v>张路</v>
      </c>
      <c r="G892" s="4" t="str">
        <f t="shared" si="37"/>
        <v>女</v>
      </c>
      <c r="H892" s="4" t="str">
        <f>"2000-01-10"</f>
        <v>2000-01-10</v>
      </c>
      <c r="I892" s="4">
        <v>51.3</v>
      </c>
      <c r="J892" s="5"/>
    </row>
    <row r="893" spans="1:10">
      <c r="A893" s="4">
        <v>889</v>
      </c>
      <c r="B893" s="4" t="str">
        <f>"20206113019"</f>
        <v>20206113019</v>
      </c>
      <c r="C893" s="4">
        <v>30</v>
      </c>
      <c r="D893" s="4">
        <v>19</v>
      </c>
      <c r="E893" s="4" t="s">
        <v>42</v>
      </c>
      <c r="F893" s="4" t="str">
        <f>"苏静"</f>
        <v>苏静</v>
      </c>
      <c r="G893" s="4" t="str">
        <f t="shared" si="37"/>
        <v>女</v>
      </c>
      <c r="H893" s="4" t="str">
        <f>"1998-09-01"</f>
        <v>1998-09-01</v>
      </c>
      <c r="I893" s="4">
        <v>68</v>
      </c>
      <c r="J893" s="5"/>
    </row>
    <row r="894" spans="1:10">
      <c r="A894" s="4">
        <v>890</v>
      </c>
      <c r="B894" s="4" t="str">
        <f>"20206113020"</f>
        <v>20206113020</v>
      </c>
      <c r="C894" s="4">
        <v>30</v>
      </c>
      <c r="D894" s="4">
        <v>20</v>
      </c>
      <c r="E894" s="4" t="s">
        <v>42</v>
      </c>
      <c r="F894" s="4" t="str">
        <f>"吕冠华"</f>
        <v>吕冠华</v>
      </c>
      <c r="G894" s="4" t="str">
        <f t="shared" si="37"/>
        <v>女</v>
      </c>
      <c r="H894" s="4" t="str">
        <f>"1996-02-19"</f>
        <v>1996-02-19</v>
      </c>
      <c r="I894" s="4">
        <v>72.5</v>
      </c>
      <c r="J894" s="5"/>
    </row>
    <row r="895" spans="1:10">
      <c r="A895" s="4">
        <v>891</v>
      </c>
      <c r="B895" s="4" t="str">
        <f>"20206113021"</f>
        <v>20206113021</v>
      </c>
      <c r="C895" s="4">
        <v>30</v>
      </c>
      <c r="D895" s="4">
        <v>21</v>
      </c>
      <c r="E895" s="4" t="s">
        <v>42</v>
      </c>
      <c r="F895" s="4" t="str">
        <f>"徐婷"</f>
        <v>徐婷</v>
      </c>
      <c r="G895" s="4" t="str">
        <f t="shared" si="37"/>
        <v>女</v>
      </c>
      <c r="H895" s="4" t="str">
        <f>"1997-04-03"</f>
        <v>1997-04-03</v>
      </c>
      <c r="I895" s="4">
        <v>68.1</v>
      </c>
      <c r="J895" s="5"/>
    </row>
    <row r="896" spans="1:10">
      <c r="A896" s="4">
        <v>892</v>
      </c>
      <c r="B896" s="4" t="str">
        <f>"20206113022"</f>
        <v>20206113022</v>
      </c>
      <c r="C896" s="4">
        <v>30</v>
      </c>
      <c r="D896" s="4">
        <v>22</v>
      </c>
      <c r="E896" s="4" t="s">
        <v>42</v>
      </c>
      <c r="F896" s="4" t="str">
        <f>"刘丰仪"</f>
        <v>刘丰仪</v>
      </c>
      <c r="G896" s="4" t="str">
        <f t="shared" si="37"/>
        <v>女</v>
      </c>
      <c r="H896" s="4" t="str">
        <f>"1999-11-08"</f>
        <v>1999-11-08</v>
      </c>
      <c r="I896" s="4">
        <v>51.3</v>
      </c>
      <c r="J896" s="5"/>
    </row>
    <row r="897" spans="1:10">
      <c r="A897" s="4">
        <v>893</v>
      </c>
      <c r="B897" s="4" t="str">
        <f>"20206113023"</f>
        <v>20206113023</v>
      </c>
      <c r="C897" s="4">
        <v>30</v>
      </c>
      <c r="D897" s="4">
        <v>23</v>
      </c>
      <c r="E897" s="4" t="s">
        <v>42</v>
      </c>
      <c r="F897" s="4" t="str">
        <f>"唐春雪"</f>
        <v>唐春雪</v>
      </c>
      <c r="G897" s="4" t="str">
        <f t="shared" si="37"/>
        <v>女</v>
      </c>
      <c r="H897" s="4" t="str">
        <f>"1998-03-08"</f>
        <v>1998-03-08</v>
      </c>
      <c r="I897" s="4">
        <v>59.7</v>
      </c>
      <c r="J897" s="5"/>
    </row>
    <row r="898" spans="1:10">
      <c r="A898" s="4">
        <v>894</v>
      </c>
      <c r="B898" s="4" t="str">
        <f>"20206113024"</f>
        <v>20206113024</v>
      </c>
      <c r="C898" s="4">
        <v>30</v>
      </c>
      <c r="D898" s="4">
        <v>24</v>
      </c>
      <c r="E898" s="4" t="s">
        <v>42</v>
      </c>
      <c r="F898" s="4" t="str">
        <f>"吴佳鑫"</f>
        <v>吴佳鑫</v>
      </c>
      <c r="G898" s="4" t="str">
        <f t="shared" si="37"/>
        <v>女</v>
      </c>
      <c r="H898" s="4" t="str">
        <f>"1995-11-20"</f>
        <v>1995-11-20</v>
      </c>
      <c r="I898" s="4">
        <v>74.6</v>
      </c>
      <c r="J898" s="5"/>
    </row>
    <row r="899" spans="1:10">
      <c r="A899" s="4">
        <v>895</v>
      </c>
      <c r="B899" s="4" t="str">
        <f>"20206113025"</f>
        <v>20206113025</v>
      </c>
      <c r="C899" s="4">
        <v>30</v>
      </c>
      <c r="D899" s="4">
        <v>25</v>
      </c>
      <c r="E899" s="4" t="s">
        <v>42</v>
      </c>
      <c r="F899" s="4" t="str">
        <f>"刘崇"</f>
        <v>刘崇</v>
      </c>
      <c r="G899" s="4" t="str">
        <f t="shared" si="37"/>
        <v>女</v>
      </c>
      <c r="H899" s="4" t="str">
        <f>"1998-09-10"</f>
        <v>1998-09-10</v>
      </c>
      <c r="I899" s="4">
        <v>70.8</v>
      </c>
      <c r="J899" s="5"/>
    </row>
    <row r="900" spans="1:10">
      <c r="A900" s="4">
        <v>896</v>
      </c>
      <c r="B900" s="4" t="str">
        <f>"20206113026"</f>
        <v>20206113026</v>
      </c>
      <c r="C900" s="4">
        <v>30</v>
      </c>
      <c r="D900" s="4">
        <v>26</v>
      </c>
      <c r="E900" s="4" t="s">
        <v>42</v>
      </c>
      <c r="F900" s="4" t="str">
        <f>"冯晶微"</f>
        <v>冯晶微</v>
      </c>
      <c r="G900" s="4" t="str">
        <f t="shared" si="37"/>
        <v>女</v>
      </c>
      <c r="H900" s="4" t="str">
        <f>"1995-02-06"</f>
        <v>1995-02-06</v>
      </c>
      <c r="I900" s="4">
        <v>40</v>
      </c>
      <c r="J900" s="5"/>
    </row>
    <row r="901" spans="1:10">
      <c r="A901" s="4">
        <v>897</v>
      </c>
      <c r="B901" s="4" t="str">
        <f>"20206113027"</f>
        <v>20206113027</v>
      </c>
      <c r="C901" s="4">
        <v>30</v>
      </c>
      <c r="D901" s="4">
        <v>27</v>
      </c>
      <c r="E901" s="4" t="s">
        <v>42</v>
      </c>
      <c r="F901" s="4" t="str">
        <f>"田佳"</f>
        <v>田佳</v>
      </c>
      <c r="G901" s="4" t="str">
        <f t="shared" si="37"/>
        <v>女</v>
      </c>
      <c r="H901" s="4" t="str">
        <f>"1997-10-04"</f>
        <v>1997-10-04</v>
      </c>
      <c r="I901" s="4">
        <v>49.9</v>
      </c>
      <c r="J901" s="5"/>
    </row>
    <row r="902" spans="1:10">
      <c r="A902" s="4">
        <v>898</v>
      </c>
      <c r="B902" s="4" t="str">
        <f>"20206113028"</f>
        <v>20206113028</v>
      </c>
      <c r="C902" s="4">
        <v>30</v>
      </c>
      <c r="D902" s="4">
        <v>28</v>
      </c>
      <c r="E902" s="4" t="s">
        <v>42</v>
      </c>
      <c r="F902" s="4" t="str">
        <f>"陈利鸽"</f>
        <v>陈利鸽</v>
      </c>
      <c r="G902" s="4" t="str">
        <f t="shared" si="37"/>
        <v>女</v>
      </c>
      <c r="H902" s="4" t="str">
        <f>"1993-09-03"</f>
        <v>1993-09-03</v>
      </c>
      <c r="I902" s="4">
        <v>74.8</v>
      </c>
      <c r="J902" s="5"/>
    </row>
    <row r="903" spans="1:10">
      <c r="A903" s="4">
        <v>899</v>
      </c>
      <c r="B903" s="4" t="str">
        <f>"20206113029"</f>
        <v>20206113029</v>
      </c>
      <c r="C903" s="4">
        <v>30</v>
      </c>
      <c r="D903" s="4">
        <v>29</v>
      </c>
      <c r="E903" s="4" t="s">
        <v>42</v>
      </c>
      <c r="F903" s="4" t="str">
        <f>"尹传港"</f>
        <v>尹传港</v>
      </c>
      <c r="G903" s="4" t="str">
        <f>"男"</f>
        <v>男</v>
      </c>
      <c r="H903" s="4" t="str">
        <f>"1997-10-03"</f>
        <v>1997-10-03</v>
      </c>
      <c r="I903" s="4" t="s">
        <v>12</v>
      </c>
      <c r="J903" s="5"/>
    </row>
    <row r="904" spans="1:10">
      <c r="A904" s="4">
        <v>900</v>
      </c>
      <c r="B904" s="4" t="str">
        <f>"20206113030"</f>
        <v>20206113030</v>
      </c>
      <c r="C904" s="4">
        <v>30</v>
      </c>
      <c r="D904" s="4">
        <v>30</v>
      </c>
      <c r="E904" s="4" t="s">
        <v>42</v>
      </c>
      <c r="F904" s="4" t="str">
        <f>"齐艳菲"</f>
        <v>齐艳菲</v>
      </c>
      <c r="G904" s="4" t="str">
        <f t="shared" ref="G904:G909" si="38">"女"</f>
        <v>女</v>
      </c>
      <c r="H904" s="4" t="str">
        <f>"1995-05-13"</f>
        <v>1995-05-13</v>
      </c>
      <c r="I904" s="4">
        <v>53</v>
      </c>
      <c r="J904" s="5"/>
    </row>
    <row r="905" spans="1:10">
      <c r="A905" s="4">
        <v>901</v>
      </c>
      <c r="B905" s="4" t="str">
        <f>"20206123101"</f>
        <v>20206123101</v>
      </c>
      <c r="C905" s="4">
        <v>31</v>
      </c>
      <c r="D905" s="4">
        <v>1</v>
      </c>
      <c r="E905" s="4" t="s">
        <v>42</v>
      </c>
      <c r="F905" s="4" t="str">
        <f>"赵延飞"</f>
        <v>赵延飞</v>
      </c>
      <c r="G905" s="4" t="str">
        <f t="shared" si="38"/>
        <v>女</v>
      </c>
      <c r="H905" s="4" t="str">
        <f>"1996-02-02"</f>
        <v>1996-02-02</v>
      </c>
      <c r="I905" s="4" t="s">
        <v>12</v>
      </c>
      <c r="J905" s="5"/>
    </row>
    <row r="906" spans="1:10">
      <c r="A906" s="4">
        <v>902</v>
      </c>
      <c r="B906" s="4" t="str">
        <f>"20206123102"</f>
        <v>20206123102</v>
      </c>
      <c r="C906" s="4">
        <v>31</v>
      </c>
      <c r="D906" s="4">
        <v>2</v>
      </c>
      <c r="E906" s="4" t="s">
        <v>42</v>
      </c>
      <c r="F906" s="4" t="str">
        <f>"李丽娜"</f>
        <v>李丽娜</v>
      </c>
      <c r="G906" s="4" t="str">
        <f t="shared" si="38"/>
        <v>女</v>
      </c>
      <c r="H906" s="4" t="str">
        <f>"1994-10-05"</f>
        <v>1994-10-05</v>
      </c>
      <c r="I906" s="4">
        <v>54.4</v>
      </c>
      <c r="J906" s="5"/>
    </row>
    <row r="907" spans="1:10">
      <c r="A907" s="4">
        <v>903</v>
      </c>
      <c r="B907" s="4" t="str">
        <f>"20206123103"</f>
        <v>20206123103</v>
      </c>
      <c r="C907" s="4">
        <v>31</v>
      </c>
      <c r="D907" s="4">
        <v>3</v>
      </c>
      <c r="E907" s="4" t="s">
        <v>42</v>
      </c>
      <c r="F907" s="4" t="str">
        <f>"王淼"</f>
        <v>王淼</v>
      </c>
      <c r="G907" s="4" t="str">
        <f t="shared" si="38"/>
        <v>女</v>
      </c>
      <c r="H907" s="4" t="str">
        <f>"1998-07-21"</f>
        <v>1998-07-21</v>
      </c>
      <c r="I907" s="4">
        <v>49.9</v>
      </c>
      <c r="J907" s="5"/>
    </row>
    <row r="908" spans="1:10">
      <c r="A908" s="4">
        <v>904</v>
      </c>
      <c r="B908" s="4" t="str">
        <f>"20206123104"</f>
        <v>20206123104</v>
      </c>
      <c r="C908" s="4">
        <v>31</v>
      </c>
      <c r="D908" s="4">
        <v>4</v>
      </c>
      <c r="E908" s="4" t="s">
        <v>42</v>
      </c>
      <c r="F908" s="4" t="str">
        <f>"李倩"</f>
        <v>李倩</v>
      </c>
      <c r="G908" s="4" t="str">
        <f t="shared" si="38"/>
        <v>女</v>
      </c>
      <c r="H908" s="4" t="str">
        <f>"1995-07-10"</f>
        <v>1995-07-10</v>
      </c>
      <c r="I908" s="4">
        <v>62.8</v>
      </c>
      <c r="J908" s="5"/>
    </row>
    <row r="909" spans="1:10">
      <c r="A909" s="4">
        <v>905</v>
      </c>
      <c r="B909" s="4" t="str">
        <f>"20206123105"</f>
        <v>20206123105</v>
      </c>
      <c r="C909" s="4">
        <v>31</v>
      </c>
      <c r="D909" s="4">
        <v>5</v>
      </c>
      <c r="E909" s="4" t="s">
        <v>42</v>
      </c>
      <c r="F909" s="4" t="str">
        <f>"李亚楠"</f>
        <v>李亚楠</v>
      </c>
      <c r="G909" s="4" t="str">
        <f t="shared" si="38"/>
        <v>女</v>
      </c>
      <c r="H909" s="4" t="str">
        <f>"1997-03-20"</f>
        <v>1997-03-20</v>
      </c>
      <c r="I909" s="4">
        <v>62.3</v>
      </c>
      <c r="J909" s="5"/>
    </row>
    <row r="910" spans="1:10">
      <c r="A910" s="4">
        <v>906</v>
      </c>
      <c r="B910" s="4" t="str">
        <f>"20206123106"</f>
        <v>20206123106</v>
      </c>
      <c r="C910" s="4">
        <v>31</v>
      </c>
      <c r="D910" s="4">
        <v>6</v>
      </c>
      <c r="E910" s="4" t="s">
        <v>42</v>
      </c>
      <c r="F910" s="4" t="str">
        <f>"陈佳琪"</f>
        <v>陈佳琪</v>
      </c>
      <c r="G910" s="4" t="str">
        <f>"男"</f>
        <v>男</v>
      </c>
      <c r="H910" s="4" t="str">
        <f>"1997-06-01"</f>
        <v>1997-06-01</v>
      </c>
      <c r="I910" s="4">
        <v>73.2</v>
      </c>
      <c r="J910" s="5"/>
    </row>
    <row r="911" spans="1:10">
      <c r="A911" s="4">
        <v>907</v>
      </c>
      <c r="B911" s="4" t="str">
        <f>"20206123107"</f>
        <v>20206123107</v>
      </c>
      <c r="C911" s="4">
        <v>31</v>
      </c>
      <c r="D911" s="4">
        <v>7</v>
      </c>
      <c r="E911" s="4" t="s">
        <v>42</v>
      </c>
      <c r="F911" s="4" t="str">
        <f>"苗青青"</f>
        <v>苗青青</v>
      </c>
      <c r="G911" s="4" t="str">
        <f t="shared" ref="G911:G949" si="39">"女"</f>
        <v>女</v>
      </c>
      <c r="H911" s="4" t="str">
        <f>"1995-11-04"</f>
        <v>1995-11-04</v>
      </c>
      <c r="I911" s="4">
        <v>52</v>
      </c>
      <c r="J911" s="5"/>
    </row>
    <row r="912" spans="1:10">
      <c r="A912" s="4">
        <v>908</v>
      </c>
      <c r="B912" s="4" t="str">
        <f>"20206123108"</f>
        <v>20206123108</v>
      </c>
      <c r="C912" s="4">
        <v>31</v>
      </c>
      <c r="D912" s="4">
        <v>8</v>
      </c>
      <c r="E912" s="4" t="s">
        <v>42</v>
      </c>
      <c r="F912" s="4" t="str">
        <f>"李菲娅"</f>
        <v>李菲娅</v>
      </c>
      <c r="G912" s="4" t="str">
        <f t="shared" si="39"/>
        <v>女</v>
      </c>
      <c r="H912" s="4" t="str">
        <f>"1999-06-16"</f>
        <v>1999-06-16</v>
      </c>
      <c r="I912" s="4" t="s">
        <v>12</v>
      </c>
      <c r="J912" s="5"/>
    </row>
    <row r="913" spans="1:10">
      <c r="A913" s="4">
        <v>909</v>
      </c>
      <c r="B913" s="4" t="str">
        <f>"20206123109"</f>
        <v>20206123109</v>
      </c>
      <c r="C913" s="4">
        <v>31</v>
      </c>
      <c r="D913" s="4">
        <v>9</v>
      </c>
      <c r="E913" s="4" t="s">
        <v>42</v>
      </c>
      <c r="F913" s="4" t="str">
        <f>"杨静宜"</f>
        <v>杨静宜</v>
      </c>
      <c r="G913" s="4" t="str">
        <f t="shared" si="39"/>
        <v>女</v>
      </c>
      <c r="H913" s="4" t="str">
        <f>"1995-12-12"</f>
        <v>1995-12-12</v>
      </c>
      <c r="I913" s="4" t="s">
        <v>12</v>
      </c>
      <c r="J913" s="5"/>
    </row>
    <row r="914" spans="1:10">
      <c r="A914" s="4">
        <v>910</v>
      </c>
      <c r="B914" s="4" t="str">
        <f>"20206123110"</f>
        <v>20206123110</v>
      </c>
      <c r="C914" s="4">
        <v>31</v>
      </c>
      <c r="D914" s="4">
        <v>10</v>
      </c>
      <c r="E914" s="4" t="s">
        <v>42</v>
      </c>
      <c r="F914" s="4" t="str">
        <f>"石惠银"</f>
        <v>石惠银</v>
      </c>
      <c r="G914" s="4" t="str">
        <f t="shared" si="39"/>
        <v>女</v>
      </c>
      <c r="H914" s="4" t="str">
        <f>"1997-06-27"</f>
        <v>1997-06-27</v>
      </c>
      <c r="I914" s="4">
        <v>64.1</v>
      </c>
      <c r="J914" s="5"/>
    </row>
    <row r="915" spans="1:10">
      <c r="A915" s="4">
        <v>911</v>
      </c>
      <c r="B915" s="4" t="str">
        <f>"20206123111"</f>
        <v>20206123111</v>
      </c>
      <c r="C915" s="4">
        <v>31</v>
      </c>
      <c r="D915" s="4">
        <v>11</v>
      </c>
      <c r="E915" s="4" t="s">
        <v>42</v>
      </c>
      <c r="F915" s="4" t="str">
        <f>"吴媛媛"</f>
        <v>吴媛媛</v>
      </c>
      <c r="G915" s="4" t="str">
        <f t="shared" si="39"/>
        <v>女</v>
      </c>
      <c r="H915" s="4" t="str">
        <f>"1998-09-08"</f>
        <v>1998-09-08</v>
      </c>
      <c r="I915" s="4">
        <v>54.6</v>
      </c>
      <c r="J915" s="5"/>
    </row>
    <row r="916" spans="1:10">
      <c r="A916" s="4">
        <v>912</v>
      </c>
      <c r="B916" s="4" t="str">
        <f>"20206123112"</f>
        <v>20206123112</v>
      </c>
      <c r="C916" s="4">
        <v>31</v>
      </c>
      <c r="D916" s="4">
        <v>12</v>
      </c>
      <c r="E916" s="4" t="s">
        <v>42</v>
      </c>
      <c r="F916" s="4" t="str">
        <f>"张梦真"</f>
        <v>张梦真</v>
      </c>
      <c r="G916" s="4" t="str">
        <f t="shared" si="39"/>
        <v>女</v>
      </c>
      <c r="H916" s="4" t="str">
        <f>"1996-10-17"</f>
        <v>1996-10-17</v>
      </c>
      <c r="I916" s="4" t="s">
        <v>12</v>
      </c>
      <c r="J916" s="5"/>
    </row>
    <row r="917" spans="1:10">
      <c r="A917" s="4">
        <v>913</v>
      </c>
      <c r="B917" s="4" t="str">
        <f>"20206123113"</f>
        <v>20206123113</v>
      </c>
      <c r="C917" s="4">
        <v>31</v>
      </c>
      <c r="D917" s="4">
        <v>13</v>
      </c>
      <c r="E917" s="4" t="s">
        <v>42</v>
      </c>
      <c r="F917" s="4" t="str">
        <f>"谢亚楠"</f>
        <v>谢亚楠</v>
      </c>
      <c r="G917" s="4" t="str">
        <f t="shared" si="39"/>
        <v>女</v>
      </c>
      <c r="H917" s="4" t="str">
        <f>"1998-02-25"</f>
        <v>1998-02-25</v>
      </c>
      <c r="I917" s="4">
        <v>42</v>
      </c>
      <c r="J917" s="5"/>
    </row>
    <row r="918" spans="1:10">
      <c r="A918" s="4">
        <v>914</v>
      </c>
      <c r="B918" s="4" t="str">
        <f>"20206123114"</f>
        <v>20206123114</v>
      </c>
      <c r="C918" s="4">
        <v>31</v>
      </c>
      <c r="D918" s="4">
        <v>14</v>
      </c>
      <c r="E918" s="4" t="s">
        <v>42</v>
      </c>
      <c r="F918" s="4" t="str">
        <f>"徐志存"</f>
        <v>徐志存</v>
      </c>
      <c r="G918" s="4" t="str">
        <f t="shared" si="39"/>
        <v>女</v>
      </c>
      <c r="H918" s="4" t="str">
        <f>"1996-11-25"</f>
        <v>1996-11-25</v>
      </c>
      <c r="I918" s="4">
        <v>49.7</v>
      </c>
      <c r="J918" s="5"/>
    </row>
    <row r="919" spans="1:10">
      <c r="A919" s="4">
        <v>915</v>
      </c>
      <c r="B919" s="4" t="str">
        <f>"20206123115"</f>
        <v>20206123115</v>
      </c>
      <c r="C919" s="4">
        <v>31</v>
      </c>
      <c r="D919" s="4">
        <v>15</v>
      </c>
      <c r="E919" s="4" t="s">
        <v>42</v>
      </c>
      <c r="F919" s="4" t="str">
        <f>"陈曼婷"</f>
        <v>陈曼婷</v>
      </c>
      <c r="G919" s="4" t="str">
        <f t="shared" si="39"/>
        <v>女</v>
      </c>
      <c r="H919" s="4" t="str">
        <f>"1995-03-10"</f>
        <v>1995-03-10</v>
      </c>
      <c r="I919" s="4" t="s">
        <v>12</v>
      </c>
      <c r="J919" s="5"/>
    </row>
    <row r="920" spans="1:10">
      <c r="A920" s="4">
        <v>916</v>
      </c>
      <c r="B920" s="4" t="str">
        <f>"20206123116"</f>
        <v>20206123116</v>
      </c>
      <c r="C920" s="4">
        <v>31</v>
      </c>
      <c r="D920" s="4">
        <v>16</v>
      </c>
      <c r="E920" s="4" t="s">
        <v>42</v>
      </c>
      <c r="F920" s="4" t="str">
        <f>"杜玲玲"</f>
        <v>杜玲玲</v>
      </c>
      <c r="G920" s="4" t="str">
        <f t="shared" si="39"/>
        <v>女</v>
      </c>
      <c r="H920" s="4" t="str">
        <f>"1997-10-10"</f>
        <v>1997-10-10</v>
      </c>
      <c r="I920" s="4">
        <v>53.4</v>
      </c>
      <c r="J920" s="5"/>
    </row>
    <row r="921" spans="1:10">
      <c r="A921" s="4">
        <v>917</v>
      </c>
      <c r="B921" s="4" t="str">
        <f>"20206123117"</f>
        <v>20206123117</v>
      </c>
      <c r="C921" s="4">
        <v>31</v>
      </c>
      <c r="D921" s="4">
        <v>17</v>
      </c>
      <c r="E921" s="4" t="s">
        <v>42</v>
      </c>
      <c r="F921" s="4" t="str">
        <f>"余明"</f>
        <v>余明</v>
      </c>
      <c r="G921" s="4" t="str">
        <f t="shared" si="39"/>
        <v>女</v>
      </c>
      <c r="H921" s="4" t="str">
        <f>"1995-08-27"</f>
        <v>1995-08-27</v>
      </c>
      <c r="I921" s="4">
        <v>75.5</v>
      </c>
      <c r="J921" s="5"/>
    </row>
    <row r="922" spans="1:10">
      <c r="A922" s="4">
        <v>918</v>
      </c>
      <c r="B922" s="4" t="str">
        <f>"20206123118"</f>
        <v>20206123118</v>
      </c>
      <c r="C922" s="4">
        <v>31</v>
      </c>
      <c r="D922" s="4">
        <v>18</v>
      </c>
      <c r="E922" s="4" t="s">
        <v>42</v>
      </c>
      <c r="F922" s="4" t="str">
        <f>"张召帅"</f>
        <v>张召帅</v>
      </c>
      <c r="G922" s="4" t="str">
        <f t="shared" si="39"/>
        <v>女</v>
      </c>
      <c r="H922" s="4" t="str">
        <f>"1998-04-18"</f>
        <v>1998-04-18</v>
      </c>
      <c r="I922" s="4">
        <v>80.4</v>
      </c>
      <c r="J922" s="5"/>
    </row>
    <row r="923" spans="1:10">
      <c r="A923" s="4">
        <v>919</v>
      </c>
      <c r="B923" s="4" t="str">
        <f>"20206123119"</f>
        <v>20206123119</v>
      </c>
      <c r="C923" s="4">
        <v>31</v>
      </c>
      <c r="D923" s="4">
        <v>19</v>
      </c>
      <c r="E923" s="4" t="s">
        <v>42</v>
      </c>
      <c r="F923" s="4" t="str">
        <f>"杨茹帆"</f>
        <v>杨茹帆</v>
      </c>
      <c r="G923" s="4" t="str">
        <f t="shared" si="39"/>
        <v>女</v>
      </c>
      <c r="H923" s="4" t="str">
        <f>"1997-07-08"</f>
        <v>1997-07-08</v>
      </c>
      <c r="I923" s="4">
        <v>60.4</v>
      </c>
      <c r="J923" s="5"/>
    </row>
    <row r="924" spans="1:10">
      <c r="A924" s="4">
        <v>920</v>
      </c>
      <c r="B924" s="4" t="str">
        <f>"20206123120"</f>
        <v>20206123120</v>
      </c>
      <c r="C924" s="4">
        <v>31</v>
      </c>
      <c r="D924" s="4">
        <v>20</v>
      </c>
      <c r="E924" s="4" t="s">
        <v>42</v>
      </c>
      <c r="F924" s="4" t="str">
        <f>"曹佳"</f>
        <v>曹佳</v>
      </c>
      <c r="G924" s="4" t="str">
        <f t="shared" si="39"/>
        <v>女</v>
      </c>
      <c r="H924" s="4" t="str">
        <f>"1994-05-08"</f>
        <v>1994-05-08</v>
      </c>
      <c r="I924" s="4">
        <v>56.1</v>
      </c>
      <c r="J924" s="5"/>
    </row>
    <row r="925" spans="1:10">
      <c r="A925" s="4">
        <v>921</v>
      </c>
      <c r="B925" s="4" t="str">
        <f>"20206123121"</f>
        <v>20206123121</v>
      </c>
      <c r="C925" s="4">
        <v>31</v>
      </c>
      <c r="D925" s="4">
        <v>21</v>
      </c>
      <c r="E925" s="4" t="s">
        <v>42</v>
      </c>
      <c r="F925" s="4" t="str">
        <f>"林洋"</f>
        <v>林洋</v>
      </c>
      <c r="G925" s="4" t="str">
        <f t="shared" si="39"/>
        <v>女</v>
      </c>
      <c r="H925" s="4" t="str">
        <f>"1995-10-06"</f>
        <v>1995-10-06</v>
      </c>
      <c r="I925" s="4" t="s">
        <v>12</v>
      </c>
      <c r="J925" s="5"/>
    </row>
    <row r="926" spans="1:10">
      <c r="A926" s="4">
        <v>922</v>
      </c>
      <c r="B926" s="4" t="str">
        <f>"20206123122"</f>
        <v>20206123122</v>
      </c>
      <c r="C926" s="4">
        <v>31</v>
      </c>
      <c r="D926" s="4">
        <v>22</v>
      </c>
      <c r="E926" s="4" t="s">
        <v>42</v>
      </c>
      <c r="F926" s="4" t="str">
        <f>"宗欣"</f>
        <v>宗欣</v>
      </c>
      <c r="G926" s="4" t="str">
        <f t="shared" si="39"/>
        <v>女</v>
      </c>
      <c r="H926" s="4" t="str">
        <f>"1997-06-08"</f>
        <v>1997-06-08</v>
      </c>
      <c r="I926" s="4">
        <v>45.3</v>
      </c>
      <c r="J926" s="5"/>
    </row>
    <row r="927" spans="1:10">
      <c r="A927" s="4">
        <v>923</v>
      </c>
      <c r="B927" s="4" t="str">
        <f>"20206123123"</f>
        <v>20206123123</v>
      </c>
      <c r="C927" s="4">
        <v>31</v>
      </c>
      <c r="D927" s="4">
        <v>23</v>
      </c>
      <c r="E927" s="4" t="s">
        <v>42</v>
      </c>
      <c r="F927" s="4" t="str">
        <f>"丁梦迪"</f>
        <v>丁梦迪</v>
      </c>
      <c r="G927" s="4" t="str">
        <f t="shared" si="39"/>
        <v>女</v>
      </c>
      <c r="H927" s="4" t="str">
        <f>"1997-12-21"</f>
        <v>1997-12-21</v>
      </c>
      <c r="I927" s="4">
        <v>65.1</v>
      </c>
      <c r="J927" s="5"/>
    </row>
    <row r="928" spans="1:10">
      <c r="A928" s="4">
        <v>924</v>
      </c>
      <c r="B928" s="4" t="str">
        <f>"20206123124"</f>
        <v>20206123124</v>
      </c>
      <c r="C928" s="4">
        <v>31</v>
      </c>
      <c r="D928" s="4">
        <v>24</v>
      </c>
      <c r="E928" s="4" t="s">
        <v>42</v>
      </c>
      <c r="F928" s="4" t="str">
        <f>"张素影"</f>
        <v>张素影</v>
      </c>
      <c r="G928" s="4" t="str">
        <f t="shared" si="39"/>
        <v>女</v>
      </c>
      <c r="H928" s="4" t="str">
        <f>"1997-09-15"</f>
        <v>1997-09-15</v>
      </c>
      <c r="I928" s="4">
        <v>66.1</v>
      </c>
      <c r="J928" s="5"/>
    </row>
    <row r="929" spans="1:10">
      <c r="A929" s="4">
        <v>925</v>
      </c>
      <c r="B929" s="4" t="str">
        <f>"20206123125"</f>
        <v>20206123125</v>
      </c>
      <c r="C929" s="4">
        <v>31</v>
      </c>
      <c r="D929" s="4">
        <v>25</v>
      </c>
      <c r="E929" s="4" t="s">
        <v>42</v>
      </c>
      <c r="F929" s="4" t="str">
        <f>"王君婷"</f>
        <v>王君婷</v>
      </c>
      <c r="G929" s="4" t="str">
        <f t="shared" si="39"/>
        <v>女</v>
      </c>
      <c r="H929" s="4" t="str">
        <f>"1997-08-04"</f>
        <v>1997-08-04</v>
      </c>
      <c r="I929" s="4" t="s">
        <v>12</v>
      </c>
      <c r="J929" s="5"/>
    </row>
    <row r="930" spans="1:10">
      <c r="A930" s="4">
        <v>926</v>
      </c>
      <c r="B930" s="4" t="str">
        <f>"20206123126"</f>
        <v>20206123126</v>
      </c>
      <c r="C930" s="4">
        <v>31</v>
      </c>
      <c r="D930" s="4">
        <v>26</v>
      </c>
      <c r="E930" s="4" t="s">
        <v>42</v>
      </c>
      <c r="F930" s="4" t="str">
        <f>"曹岩"</f>
        <v>曹岩</v>
      </c>
      <c r="G930" s="4" t="str">
        <f t="shared" si="39"/>
        <v>女</v>
      </c>
      <c r="H930" s="4" t="str">
        <f>"1998-11-06"</f>
        <v>1998-11-06</v>
      </c>
      <c r="I930" s="4">
        <v>45.4</v>
      </c>
      <c r="J930" s="5"/>
    </row>
    <row r="931" spans="1:10">
      <c r="A931" s="4">
        <v>927</v>
      </c>
      <c r="B931" s="4" t="str">
        <f>"20206123127"</f>
        <v>20206123127</v>
      </c>
      <c r="C931" s="4">
        <v>31</v>
      </c>
      <c r="D931" s="4">
        <v>27</v>
      </c>
      <c r="E931" s="4" t="s">
        <v>42</v>
      </c>
      <c r="F931" s="4" t="str">
        <f>"周滢"</f>
        <v>周滢</v>
      </c>
      <c r="G931" s="4" t="str">
        <f t="shared" si="39"/>
        <v>女</v>
      </c>
      <c r="H931" s="4" t="str">
        <f>"1998-09-16"</f>
        <v>1998-09-16</v>
      </c>
      <c r="I931" s="4">
        <v>51.6</v>
      </c>
      <c r="J931" s="5"/>
    </row>
    <row r="932" spans="1:10">
      <c r="A932" s="4">
        <v>928</v>
      </c>
      <c r="B932" s="4" t="str">
        <f>"20206123128"</f>
        <v>20206123128</v>
      </c>
      <c r="C932" s="4">
        <v>31</v>
      </c>
      <c r="D932" s="4">
        <v>28</v>
      </c>
      <c r="E932" s="4" t="s">
        <v>42</v>
      </c>
      <c r="F932" s="4" t="str">
        <f>"赵一博"</f>
        <v>赵一博</v>
      </c>
      <c r="G932" s="4" t="str">
        <f t="shared" si="39"/>
        <v>女</v>
      </c>
      <c r="H932" s="4" t="str">
        <f>"1997-02-18"</f>
        <v>1997-02-18</v>
      </c>
      <c r="I932" s="4" t="s">
        <v>12</v>
      </c>
      <c r="J932" s="5"/>
    </row>
    <row r="933" spans="1:10">
      <c r="A933" s="4">
        <v>929</v>
      </c>
      <c r="B933" s="4" t="str">
        <f>"20206123129"</f>
        <v>20206123129</v>
      </c>
      <c r="C933" s="4">
        <v>31</v>
      </c>
      <c r="D933" s="4">
        <v>29</v>
      </c>
      <c r="E933" s="4" t="s">
        <v>42</v>
      </c>
      <c r="F933" s="4" t="str">
        <f>"陈迎仙"</f>
        <v>陈迎仙</v>
      </c>
      <c r="G933" s="4" t="str">
        <f t="shared" si="39"/>
        <v>女</v>
      </c>
      <c r="H933" s="4" t="str">
        <f>"1996-10-15"</f>
        <v>1996-10-15</v>
      </c>
      <c r="I933" s="4">
        <v>77.2</v>
      </c>
      <c r="J933" s="5"/>
    </row>
    <row r="934" spans="1:10">
      <c r="A934" s="4">
        <v>930</v>
      </c>
      <c r="B934" s="4" t="str">
        <f>"20206123130"</f>
        <v>20206123130</v>
      </c>
      <c r="C934" s="4">
        <v>31</v>
      </c>
      <c r="D934" s="4">
        <v>30</v>
      </c>
      <c r="E934" s="4" t="s">
        <v>42</v>
      </c>
      <c r="F934" s="4" t="str">
        <f>"王晶"</f>
        <v>王晶</v>
      </c>
      <c r="G934" s="4" t="str">
        <f t="shared" si="39"/>
        <v>女</v>
      </c>
      <c r="H934" s="4" t="str">
        <f>"1997-09-21"</f>
        <v>1997-09-21</v>
      </c>
      <c r="I934" s="4" t="s">
        <v>12</v>
      </c>
      <c r="J934" s="5"/>
    </row>
    <row r="935" spans="1:10">
      <c r="A935" s="4">
        <v>931</v>
      </c>
      <c r="B935" s="4" t="str">
        <f>"20206123201"</f>
        <v>20206123201</v>
      </c>
      <c r="C935" s="4">
        <v>32</v>
      </c>
      <c r="D935" s="4">
        <v>1</v>
      </c>
      <c r="E935" s="4" t="s">
        <v>42</v>
      </c>
      <c r="F935" s="4" t="str">
        <f>"孙萍"</f>
        <v>孙萍</v>
      </c>
      <c r="G935" s="4" t="str">
        <f t="shared" si="39"/>
        <v>女</v>
      </c>
      <c r="H935" s="4" t="str">
        <f>"1998-02-19"</f>
        <v>1998-02-19</v>
      </c>
      <c r="I935" s="4">
        <v>63.1</v>
      </c>
      <c r="J935" s="5"/>
    </row>
    <row r="936" spans="1:10">
      <c r="A936" s="4">
        <v>932</v>
      </c>
      <c r="B936" s="4" t="str">
        <f>"20206123202"</f>
        <v>20206123202</v>
      </c>
      <c r="C936" s="4">
        <v>32</v>
      </c>
      <c r="D936" s="4">
        <v>2</v>
      </c>
      <c r="E936" s="4" t="s">
        <v>42</v>
      </c>
      <c r="F936" s="4" t="str">
        <f>"杜胤萱"</f>
        <v>杜胤萱</v>
      </c>
      <c r="G936" s="4" t="str">
        <f t="shared" si="39"/>
        <v>女</v>
      </c>
      <c r="H936" s="4" t="str">
        <f>"1999-01-26"</f>
        <v>1999-01-26</v>
      </c>
      <c r="I936" s="4">
        <v>47.6</v>
      </c>
      <c r="J936" s="5"/>
    </row>
    <row r="937" spans="1:10">
      <c r="A937" s="4">
        <v>933</v>
      </c>
      <c r="B937" s="4" t="str">
        <f>"20206123203"</f>
        <v>20206123203</v>
      </c>
      <c r="C937" s="4">
        <v>32</v>
      </c>
      <c r="D937" s="4">
        <v>3</v>
      </c>
      <c r="E937" s="4" t="s">
        <v>42</v>
      </c>
      <c r="F937" s="4" t="str">
        <f>"孙海梅"</f>
        <v>孙海梅</v>
      </c>
      <c r="G937" s="4" t="str">
        <f t="shared" si="39"/>
        <v>女</v>
      </c>
      <c r="H937" s="4" t="str">
        <f>"1995-09-10"</f>
        <v>1995-09-10</v>
      </c>
      <c r="I937" s="4" t="s">
        <v>12</v>
      </c>
      <c r="J937" s="5"/>
    </row>
    <row r="938" spans="1:10">
      <c r="A938" s="4">
        <v>934</v>
      </c>
      <c r="B938" s="4" t="str">
        <f>"20206123204"</f>
        <v>20206123204</v>
      </c>
      <c r="C938" s="4">
        <v>32</v>
      </c>
      <c r="D938" s="4">
        <v>4</v>
      </c>
      <c r="E938" s="4" t="s">
        <v>42</v>
      </c>
      <c r="F938" s="4" t="str">
        <f>"郭青霖"</f>
        <v>郭青霖</v>
      </c>
      <c r="G938" s="4" t="str">
        <f t="shared" si="39"/>
        <v>女</v>
      </c>
      <c r="H938" s="4" t="str">
        <f>"1999-08-19"</f>
        <v>1999-08-19</v>
      </c>
      <c r="I938" s="4">
        <v>60.7</v>
      </c>
      <c r="J938" s="5"/>
    </row>
    <row r="939" spans="1:10">
      <c r="A939" s="4">
        <v>935</v>
      </c>
      <c r="B939" s="4" t="str">
        <f>"20206123205"</f>
        <v>20206123205</v>
      </c>
      <c r="C939" s="4">
        <v>32</v>
      </c>
      <c r="D939" s="4">
        <v>5</v>
      </c>
      <c r="E939" s="4" t="s">
        <v>42</v>
      </c>
      <c r="F939" s="4" t="str">
        <f>"景卓"</f>
        <v>景卓</v>
      </c>
      <c r="G939" s="4" t="str">
        <f t="shared" si="39"/>
        <v>女</v>
      </c>
      <c r="H939" s="4" t="str">
        <f>"1997-10-28"</f>
        <v>1997-10-28</v>
      </c>
      <c r="I939" s="4" t="s">
        <v>12</v>
      </c>
      <c r="J939" s="5"/>
    </row>
    <row r="940" spans="1:10">
      <c r="A940" s="4">
        <v>936</v>
      </c>
      <c r="B940" s="4" t="str">
        <f>"20206123206"</f>
        <v>20206123206</v>
      </c>
      <c r="C940" s="4">
        <v>32</v>
      </c>
      <c r="D940" s="4">
        <v>6</v>
      </c>
      <c r="E940" s="4" t="s">
        <v>42</v>
      </c>
      <c r="F940" s="4" t="str">
        <f>"宋莹莹"</f>
        <v>宋莹莹</v>
      </c>
      <c r="G940" s="4" t="str">
        <f t="shared" si="39"/>
        <v>女</v>
      </c>
      <c r="H940" s="4" t="str">
        <f>"1999-04-30"</f>
        <v>1999-04-30</v>
      </c>
      <c r="I940" s="4">
        <v>58.6</v>
      </c>
      <c r="J940" s="5"/>
    </row>
    <row r="941" spans="1:10">
      <c r="A941" s="4">
        <v>937</v>
      </c>
      <c r="B941" s="4" t="str">
        <f>"20206123207"</f>
        <v>20206123207</v>
      </c>
      <c r="C941" s="4">
        <v>32</v>
      </c>
      <c r="D941" s="4">
        <v>7</v>
      </c>
      <c r="E941" s="4" t="s">
        <v>42</v>
      </c>
      <c r="F941" s="4" t="str">
        <f>"王春景"</f>
        <v>王春景</v>
      </c>
      <c r="G941" s="4" t="str">
        <f t="shared" si="39"/>
        <v>女</v>
      </c>
      <c r="H941" s="4" t="str">
        <f>"1999-03-30"</f>
        <v>1999-03-30</v>
      </c>
      <c r="I941" s="4">
        <v>60.7</v>
      </c>
      <c r="J941" s="5"/>
    </row>
    <row r="942" spans="1:10">
      <c r="A942" s="4">
        <v>938</v>
      </c>
      <c r="B942" s="4" t="str">
        <f>"20206123208"</f>
        <v>20206123208</v>
      </c>
      <c r="C942" s="4">
        <v>32</v>
      </c>
      <c r="D942" s="4">
        <v>8</v>
      </c>
      <c r="E942" s="4" t="s">
        <v>42</v>
      </c>
      <c r="F942" s="4" t="str">
        <f>"韩举鑫"</f>
        <v>韩举鑫</v>
      </c>
      <c r="G942" s="4" t="str">
        <f t="shared" si="39"/>
        <v>女</v>
      </c>
      <c r="H942" s="4" t="str">
        <f>"1998-10-23"</f>
        <v>1998-10-23</v>
      </c>
      <c r="I942" s="4">
        <v>73.5</v>
      </c>
      <c r="J942" s="5"/>
    </row>
    <row r="943" spans="1:10">
      <c r="A943" s="4">
        <v>939</v>
      </c>
      <c r="B943" s="4" t="str">
        <f>"20206123209"</f>
        <v>20206123209</v>
      </c>
      <c r="C943" s="4">
        <v>32</v>
      </c>
      <c r="D943" s="4">
        <v>9</v>
      </c>
      <c r="E943" s="4" t="s">
        <v>42</v>
      </c>
      <c r="F943" s="4" t="str">
        <f>"李淑静"</f>
        <v>李淑静</v>
      </c>
      <c r="G943" s="4" t="str">
        <f t="shared" si="39"/>
        <v>女</v>
      </c>
      <c r="H943" s="4" t="str">
        <f>"1995-04-05"</f>
        <v>1995-04-05</v>
      </c>
      <c r="I943" s="4">
        <v>82.9</v>
      </c>
      <c r="J943" s="5"/>
    </row>
    <row r="944" spans="1:10">
      <c r="A944" s="4">
        <v>940</v>
      </c>
      <c r="B944" s="4" t="str">
        <f>"20206123210"</f>
        <v>20206123210</v>
      </c>
      <c r="C944" s="4">
        <v>32</v>
      </c>
      <c r="D944" s="4">
        <v>10</v>
      </c>
      <c r="E944" s="4" t="s">
        <v>42</v>
      </c>
      <c r="F944" s="4" t="str">
        <f>"马肖肖"</f>
        <v>马肖肖</v>
      </c>
      <c r="G944" s="4" t="str">
        <f t="shared" si="39"/>
        <v>女</v>
      </c>
      <c r="H944" s="4" t="str">
        <f>"1997-02-05"</f>
        <v>1997-02-05</v>
      </c>
      <c r="I944" s="4">
        <v>69.5</v>
      </c>
      <c r="J944" s="5"/>
    </row>
    <row r="945" spans="1:10">
      <c r="A945" s="4">
        <v>941</v>
      </c>
      <c r="B945" s="4" t="str">
        <f>"20206123211"</f>
        <v>20206123211</v>
      </c>
      <c r="C945" s="4">
        <v>32</v>
      </c>
      <c r="D945" s="4">
        <v>11</v>
      </c>
      <c r="E945" s="4" t="s">
        <v>42</v>
      </c>
      <c r="F945" s="4" t="str">
        <f>"赵丹湄"</f>
        <v>赵丹湄</v>
      </c>
      <c r="G945" s="4" t="str">
        <f t="shared" si="39"/>
        <v>女</v>
      </c>
      <c r="H945" s="4" t="str">
        <f>"1998-10-27"</f>
        <v>1998-10-27</v>
      </c>
      <c r="I945" s="4">
        <v>46.3</v>
      </c>
      <c r="J945" s="5"/>
    </row>
    <row r="946" spans="1:10">
      <c r="A946" s="4">
        <v>942</v>
      </c>
      <c r="B946" s="4" t="str">
        <f>"20206123212"</f>
        <v>20206123212</v>
      </c>
      <c r="C946" s="4">
        <v>32</v>
      </c>
      <c r="D946" s="4">
        <v>12</v>
      </c>
      <c r="E946" s="4" t="s">
        <v>42</v>
      </c>
      <c r="F946" s="4" t="str">
        <f>"许梦圆"</f>
        <v>许梦圆</v>
      </c>
      <c r="G946" s="4" t="str">
        <f t="shared" si="39"/>
        <v>女</v>
      </c>
      <c r="H946" s="4" t="str">
        <f>"1997-12-04"</f>
        <v>1997-12-04</v>
      </c>
      <c r="I946" s="4">
        <v>58.5</v>
      </c>
      <c r="J946" s="5"/>
    </row>
    <row r="947" spans="1:10">
      <c r="A947" s="4">
        <v>943</v>
      </c>
      <c r="B947" s="4" t="str">
        <f>"20206123213"</f>
        <v>20206123213</v>
      </c>
      <c r="C947" s="4">
        <v>32</v>
      </c>
      <c r="D947" s="4">
        <v>13</v>
      </c>
      <c r="E947" s="4" t="s">
        <v>42</v>
      </c>
      <c r="F947" s="4" t="str">
        <f>"付玉巧"</f>
        <v>付玉巧</v>
      </c>
      <c r="G947" s="4" t="str">
        <f t="shared" si="39"/>
        <v>女</v>
      </c>
      <c r="H947" s="4" t="str">
        <f>"1996-09-03"</f>
        <v>1996-09-03</v>
      </c>
      <c r="I947" s="4" t="s">
        <v>12</v>
      </c>
      <c r="J947" s="5"/>
    </row>
    <row r="948" spans="1:10">
      <c r="A948" s="4">
        <v>944</v>
      </c>
      <c r="B948" s="4" t="str">
        <f>"20206123214"</f>
        <v>20206123214</v>
      </c>
      <c r="C948" s="4">
        <v>32</v>
      </c>
      <c r="D948" s="4">
        <v>14</v>
      </c>
      <c r="E948" s="4" t="s">
        <v>42</v>
      </c>
      <c r="F948" s="4" t="str">
        <f>"李红雨"</f>
        <v>李红雨</v>
      </c>
      <c r="G948" s="4" t="str">
        <f t="shared" si="39"/>
        <v>女</v>
      </c>
      <c r="H948" s="4" t="str">
        <f>"1996-09-08"</f>
        <v>1996-09-08</v>
      </c>
      <c r="I948" s="4" t="s">
        <v>12</v>
      </c>
      <c r="J948" s="5"/>
    </row>
    <row r="949" spans="1:10">
      <c r="A949" s="4">
        <v>945</v>
      </c>
      <c r="B949" s="4" t="str">
        <f>"20206123215"</f>
        <v>20206123215</v>
      </c>
      <c r="C949" s="4">
        <v>32</v>
      </c>
      <c r="D949" s="4">
        <v>15</v>
      </c>
      <c r="E949" s="4" t="s">
        <v>42</v>
      </c>
      <c r="F949" s="4" t="str">
        <f>"马丙丽"</f>
        <v>马丙丽</v>
      </c>
      <c r="G949" s="4" t="str">
        <f t="shared" si="39"/>
        <v>女</v>
      </c>
      <c r="H949" s="4" t="str">
        <f>"1993-01-07"</f>
        <v>1993-01-07</v>
      </c>
      <c r="I949" s="4">
        <v>71.8</v>
      </c>
      <c r="J949" s="5"/>
    </row>
    <row r="950" spans="1:10">
      <c r="A950" s="4">
        <v>946</v>
      </c>
      <c r="B950" s="4" t="str">
        <f>"20206123216"</f>
        <v>20206123216</v>
      </c>
      <c r="C950" s="4">
        <v>32</v>
      </c>
      <c r="D950" s="4">
        <v>16</v>
      </c>
      <c r="E950" s="4" t="s">
        <v>42</v>
      </c>
      <c r="F950" s="4" t="str">
        <f>"韩子宵"</f>
        <v>韩子宵</v>
      </c>
      <c r="G950" s="4" t="str">
        <f>"男"</f>
        <v>男</v>
      </c>
      <c r="H950" s="4" t="str">
        <f>"1996-01-15"</f>
        <v>1996-01-15</v>
      </c>
      <c r="I950" s="4" t="s">
        <v>12</v>
      </c>
      <c r="J950" s="5"/>
    </row>
    <row r="951" spans="1:10">
      <c r="A951" s="4">
        <v>947</v>
      </c>
      <c r="B951" s="4" t="str">
        <f>"20206123217"</f>
        <v>20206123217</v>
      </c>
      <c r="C951" s="4">
        <v>32</v>
      </c>
      <c r="D951" s="4">
        <v>17</v>
      </c>
      <c r="E951" s="4" t="s">
        <v>42</v>
      </c>
      <c r="F951" s="4" t="str">
        <f>"邱明明"</f>
        <v>邱明明</v>
      </c>
      <c r="G951" s="4" t="str">
        <f t="shared" ref="G951:G974" si="40">"女"</f>
        <v>女</v>
      </c>
      <c r="H951" s="4" t="str">
        <f>"1997-10-08"</f>
        <v>1997-10-08</v>
      </c>
      <c r="I951" s="4">
        <v>80.2</v>
      </c>
      <c r="J951" s="5"/>
    </row>
    <row r="952" spans="1:10">
      <c r="A952" s="4">
        <v>948</v>
      </c>
      <c r="B952" s="4" t="str">
        <f>"20206123218"</f>
        <v>20206123218</v>
      </c>
      <c r="C952" s="4">
        <v>32</v>
      </c>
      <c r="D952" s="4">
        <v>18</v>
      </c>
      <c r="E952" s="4" t="s">
        <v>42</v>
      </c>
      <c r="F952" s="4" t="str">
        <f>"范茹月"</f>
        <v>范茹月</v>
      </c>
      <c r="G952" s="4" t="str">
        <f t="shared" si="40"/>
        <v>女</v>
      </c>
      <c r="H952" s="4" t="str">
        <f>"1995-08-06"</f>
        <v>1995-08-06</v>
      </c>
      <c r="I952" s="4">
        <v>69.2</v>
      </c>
      <c r="J952" s="5"/>
    </row>
    <row r="953" spans="1:10">
      <c r="A953" s="4">
        <v>949</v>
      </c>
      <c r="B953" s="4" t="str">
        <f>"20206123219"</f>
        <v>20206123219</v>
      </c>
      <c r="C953" s="4">
        <v>32</v>
      </c>
      <c r="D953" s="4">
        <v>19</v>
      </c>
      <c r="E953" s="4" t="s">
        <v>42</v>
      </c>
      <c r="F953" s="4" t="str">
        <f>"王漫"</f>
        <v>王漫</v>
      </c>
      <c r="G953" s="4" t="str">
        <f t="shared" si="40"/>
        <v>女</v>
      </c>
      <c r="H953" s="4" t="str">
        <f>"1998-05-21"</f>
        <v>1998-05-21</v>
      </c>
      <c r="I953" s="4">
        <v>59.4</v>
      </c>
      <c r="J953" s="5"/>
    </row>
    <row r="954" spans="1:10">
      <c r="A954" s="4">
        <v>950</v>
      </c>
      <c r="B954" s="4" t="str">
        <f>"20206123220"</f>
        <v>20206123220</v>
      </c>
      <c r="C954" s="4">
        <v>32</v>
      </c>
      <c r="D954" s="4">
        <v>20</v>
      </c>
      <c r="E954" s="4" t="s">
        <v>42</v>
      </c>
      <c r="F954" s="4" t="str">
        <f>"闫佩"</f>
        <v>闫佩</v>
      </c>
      <c r="G954" s="4" t="str">
        <f t="shared" si="40"/>
        <v>女</v>
      </c>
      <c r="H954" s="4" t="str">
        <f>"1997-03-25"</f>
        <v>1997-03-25</v>
      </c>
      <c r="I954" s="4">
        <v>83.3</v>
      </c>
      <c r="J954" s="5"/>
    </row>
    <row r="955" spans="1:10">
      <c r="A955" s="4">
        <v>951</v>
      </c>
      <c r="B955" s="4" t="str">
        <f>"20206123221"</f>
        <v>20206123221</v>
      </c>
      <c r="C955" s="4">
        <v>32</v>
      </c>
      <c r="D955" s="4">
        <v>21</v>
      </c>
      <c r="E955" s="4" t="s">
        <v>42</v>
      </c>
      <c r="F955" s="4" t="str">
        <f>"王钰玺"</f>
        <v>王钰玺</v>
      </c>
      <c r="G955" s="4" t="str">
        <f t="shared" si="40"/>
        <v>女</v>
      </c>
      <c r="H955" s="4" t="str">
        <f>"1998-06-19"</f>
        <v>1998-06-19</v>
      </c>
      <c r="I955" s="4">
        <v>52</v>
      </c>
      <c r="J955" s="5"/>
    </row>
    <row r="956" spans="1:10">
      <c r="A956" s="4">
        <v>952</v>
      </c>
      <c r="B956" s="4" t="str">
        <f>"20206123222"</f>
        <v>20206123222</v>
      </c>
      <c r="C956" s="4">
        <v>32</v>
      </c>
      <c r="D956" s="4">
        <v>22</v>
      </c>
      <c r="E956" s="4" t="s">
        <v>42</v>
      </c>
      <c r="F956" s="4" t="str">
        <f>"余爽爽"</f>
        <v>余爽爽</v>
      </c>
      <c r="G956" s="4" t="str">
        <f t="shared" si="40"/>
        <v>女</v>
      </c>
      <c r="H956" s="4" t="str">
        <f>"1996-09-29"</f>
        <v>1996-09-29</v>
      </c>
      <c r="I956" s="4">
        <v>79.9</v>
      </c>
      <c r="J956" s="5"/>
    </row>
    <row r="957" spans="1:10">
      <c r="A957" s="4">
        <v>953</v>
      </c>
      <c r="B957" s="4" t="str">
        <f>"20206123223"</f>
        <v>20206123223</v>
      </c>
      <c r="C957" s="4">
        <v>32</v>
      </c>
      <c r="D957" s="4">
        <v>23</v>
      </c>
      <c r="E957" s="4" t="s">
        <v>42</v>
      </c>
      <c r="F957" s="4" t="str">
        <f>"雷杨红"</f>
        <v>雷杨红</v>
      </c>
      <c r="G957" s="4" t="str">
        <f t="shared" si="40"/>
        <v>女</v>
      </c>
      <c r="H957" s="4" t="str">
        <f>"1998-05-09"</f>
        <v>1998-05-09</v>
      </c>
      <c r="I957" s="4">
        <v>59.1</v>
      </c>
      <c r="J957" s="5"/>
    </row>
    <row r="958" spans="1:10">
      <c r="A958" s="4">
        <v>954</v>
      </c>
      <c r="B958" s="4" t="str">
        <f>"20206123224"</f>
        <v>20206123224</v>
      </c>
      <c r="C958" s="4">
        <v>32</v>
      </c>
      <c r="D958" s="4">
        <v>24</v>
      </c>
      <c r="E958" s="4" t="s">
        <v>42</v>
      </c>
      <c r="F958" s="4" t="str">
        <f>"李稳"</f>
        <v>李稳</v>
      </c>
      <c r="G958" s="4" t="str">
        <f t="shared" si="40"/>
        <v>女</v>
      </c>
      <c r="H958" s="4" t="str">
        <f>"2000-03-14"</f>
        <v>2000-03-14</v>
      </c>
      <c r="I958" s="4">
        <v>61.4</v>
      </c>
      <c r="J958" s="5"/>
    </row>
    <row r="959" spans="1:10">
      <c r="A959" s="4">
        <v>955</v>
      </c>
      <c r="B959" s="4" t="str">
        <f>"20206123225"</f>
        <v>20206123225</v>
      </c>
      <c r="C959" s="4">
        <v>32</v>
      </c>
      <c r="D959" s="4">
        <v>25</v>
      </c>
      <c r="E959" s="4" t="s">
        <v>42</v>
      </c>
      <c r="F959" s="4" t="str">
        <f>"姚长钰"</f>
        <v>姚长钰</v>
      </c>
      <c r="G959" s="4" t="str">
        <f t="shared" si="40"/>
        <v>女</v>
      </c>
      <c r="H959" s="4" t="str">
        <f>"1999-04-20"</f>
        <v>1999-04-20</v>
      </c>
      <c r="I959" s="4">
        <v>69.2</v>
      </c>
      <c r="J959" s="5"/>
    </row>
    <row r="960" spans="1:10">
      <c r="A960" s="4">
        <v>956</v>
      </c>
      <c r="B960" s="4" t="str">
        <f>"20206123226"</f>
        <v>20206123226</v>
      </c>
      <c r="C960" s="4">
        <v>32</v>
      </c>
      <c r="D960" s="4">
        <v>26</v>
      </c>
      <c r="E960" s="4" t="s">
        <v>42</v>
      </c>
      <c r="F960" s="4" t="str">
        <f>"杜聪聪"</f>
        <v>杜聪聪</v>
      </c>
      <c r="G960" s="4" t="str">
        <f t="shared" si="40"/>
        <v>女</v>
      </c>
      <c r="H960" s="4" t="str">
        <f>"1997-11-10"</f>
        <v>1997-11-10</v>
      </c>
      <c r="I960" s="4">
        <v>52.6</v>
      </c>
      <c r="J960" s="5"/>
    </row>
    <row r="961" spans="1:10">
      <c r="A961" s="4">
        <v>957</v>
      </c>
      <c r="B961" s="4" t="str">
        <f>"20206123227"</f>
        <v>20206123227</v>
      </c>
      <c r="C961" s="4">
        <v>32</v>
      </c>
      <c r="D961" s="4">
        <v>27</v>
      </c>
      <c r="E961" s="4" t="s">
        <v>42</v>
      </c>
      <c r="F961" s="4" t="str">
        <f>"王烁"</f>
        <v>王烁</v>
      </c>
      <c r="G961" s="4" t="str">
        <f t="shared" si="40"/>
        <v>女</v>
      </c>
      <c r="H961" s="4" t="str">
        <f>"1998-10-29"</f>
        <v>1998-10-29</v>
      </c>
      <c r="I961" s="4">
        <v>70.2</v>
      </c>
      <c r="J961" s="5"/>
    </row>
    <row r="962" spans="1:10">
      <c r="A962" s="4">
        <v>958</v>
      </c>
      <c r="B962" s="4" t="str">
        <f>"20206123228"</f>
        <v>20206123228</v>
      </c>
      <c r="C962" s="4">
        <v>32</v>
      </c>
      <c r="D962" s="4">
        <v>28</v>
      </c>
      <c r="E962" s="4" t="s">
        <v>42</v>
      </c>
      <c r="F962" s="4" t="str">
        <f>"唐婧瑶"</f>
        <v>唐婧瑶</v>
      </c>
      <c r="G962" s="4" t="str">
        <f t="shared" si="40"/>
        <v>女</v>
      </c>
      <c r="H962" s="4" t="str">
        <f>"1996-07-13"</f>
        <v>1996-07-13</v>
      </c>
      <c r="I962" s="4">
        <v>62.1</v>
      </c>
      <c r="J962" s="5"/>
    </row>
    <row r="963" spans="1:10">
      <c r="A963" s="4">
        <v>959</v>
      </c>
      <c r="B963" s="4" t="str">
        <f>"20206123229"</f>
        <v>20206123229</v>
      </c>
      <c r="C963" s="4">
        <v>32</v>
      </c>
      <c r="D963" s="4">
        <v>29</v>
      </c>
      <c r="E963" s="4" t="s">
        <v>42</v>
      </c>
      <c r="F963" s="4" t="str">
        <f>"薛桂园"</f>
        <v>薛桂园</v>
      </c>
      <c r="G963" s="4" t="str">
        <f t="shared" si="40"/>
        <v>女</v>
      </c>
      <c r="H963" s="4" t="str">
        <f>"1999-12-22"</f>
        <v>1999-12-22</v>
      </c>
      <c r="I963" s="4" t="s">
        <v>12</v>
      </c>
      <c r="J963" s="5"/>
    </row>
    <row r="964" spans="1:10">
      <c r="A964" s="4">
        <v>960</v>
      </c>
      <c r="B964" s="4" t="str">
        <f>"20206123230"</f>
        <v>20206123230</v>
      </c>
      <c r="C964" s="4">
        <v>32</v>
      </c>
      <c r="D964" s="4">
        <v>30</v>
      </c>
      <c r="E964" s="4" t="s">
        <v>42</v>
      </c>
      <c r="F964" s="4" t="str">
        <f>"周梦瑶"</f>
        <v>周梦瑶</v>
      </c>
      <c r="G964" s="4" t="str">
        <f t="shared" si="40"/>
        <v>女</v>
      </c>
      <c r="H964" s="4" t="str">
        <f>"1997-05-16"</f>
        <v>1997-05-16</v>
      </c>
      <c r="I964" s="4">
        <v>70.8</v>
      </c>
      <c r="J964" s="5"/>
    </row>
    <row r="965" spans="1:10">
      <c r="A965" s="4">
        <v>961</v>
      </c>
      <c r="B965" s="4" t="str">
        <f>"20206123301"</f>
        <v>20206123301</v>
      </c>
      <c r="C965" s="4">
        <v>33</v>
      </c>
      <c r="D965" s="4">
        <v>1</v>
      </c>
      <c r="E965" s="4" t="s">
        <v>42</v>
      </c>
      <c r="F965" s="4" t="str">
        <f>"庞贺丹"</f>
        <v>庞贺丹</v>
      </c>
      <c r="G965" s="4" t="str">
        <f t="shared" si="40"/>
        <v>女</v>
      </c>
      <c r="H965" s="4" t="str">
        <f>"1996-11-04"</f>
        <v>1996-11-04</v>
      </c>
      <c r="I965" s="4">
        <v>72.5</v>
      </c>
      <c r="J965" s="5"/>
    </row>
    <row r="966" spans="1:10">
      <c r="A966" s="4">
        <v>962</v>
      </c>
      <c r="B966" s="4" t="str">
        <f>"20206123302"</f>
        <v>20206123302</v>
      </c>
      <c r="C966" s="4">
        <v>33</v>
      </c>
      <c r="D966" s="4">
        <v>2</v>
      </c>
      <c r="E966" s="4" t="s">
        <v>42</v>
      </c>
      <c r="F966" s="4" t="str">
        <f>"赵怡珂"</f>
        <v>赵怡珂</v>
      </c>
      <c r="G966" s="4" t="str">
        <f t="shared" si="40"/>
        <v>女</v>
      </c>
      <c r="H966" s="4" t="str">
        <f>"1998-05-19"</f>
        <v>1998-05-19</v>
      </c>
      <c r="I966" s="4">
        <v>75.9</v>
      </c>
      <c r="J966" s="5"/>
    </row>
    <row r="967" spans="1:10">
      <c r="A967" s="4">
        <v>963</v>
      </c>
      <c r="B967" s="4" t="str">
        <f>"20206123303"</f>
        <v>20206123303</v>
      </c>
      <c r="C967" s="4">
        <v>33</v>
      </c>
      <c r="D967" s="4">
        <v>3</v>
      </c>
      <c r="E967" s="4" t="s">
        <v>42</v>
      </c>
      <c r="F967" s="4" t="str">
        <f>"程琳凯"</f>
        <v>程琳凯</v>
      </c>
      <c r="G967" s="4" t="str">
        <f t="shared" si="40"/>
        <v>女</v>
      </c>
      <c r="H967" s="4" t="str">
        <f>"1997-11-19"</f>
        <v>1997-11-19</v>
      </c>
      <c r="I967" s="4" t="s">
        <v>12</v>
      </c>
      <c r="J967" s="5"/>
    </row>
    <row r="968" spans="1:10">
      <c r="A968" s="4">
        <v>964</v>
      </c>
      <c r="B968" s="4" t="str">
        <f>"20206123304"</f>
        <v>20206123304</v>
      </c>
      <c r="C968" s="4">
        <v>33</v>
      </c>
      <c r="D968" s="4">
        <v>4</v>
      </c>
      <c r="E968" s="4" t="s">
        <v>42</v>
      </c>
      <c r="F968" s="4" t="str">
        <f>"杨阳"</f>
        <v>杨阳</v>
      </c>
      <c r="G968" s="4" t="str">
        <f t="shared" si="40"/>
        <v>女</v>
      </c>
      <c r="H968" s="4" t="str">
        <f>"1997-08-06"</f>
        <v>1997-08-06</v>
      </c>
      <c r="I968" s="4">
        <v>63.1</v>
      </c>
      <c r="J968" s="5"/>
    </row>
    <row r="969" spans="1:10">
      <c r="A969" s="4">
        <v>965</v>
      </c>
      <c r="B969" s="4" t="str">
        <f>"20206123305"</f>
        <v>20206123305</v>
      </c>
      <c r="C969" s="4">
        <v>33</v>
      </c>
      <c r="D969" s="4">
        <v>5</v>
      </c>
      <c r="E969" s="4" t="s">
        <v>42</v>
      </c>
      <c r="F969" s="4" t="str">
        <f>"申坤苗"</f>
        <v>申坤苗</v>
      </c>
      <c r="G969" s="4" t="str">
        <f t="shared" si="40"/>
        <v>女</v>
      </c>
      <c r="H969" s="4" t="str">
        <f>"1996-08-30"</f>
        <v>1996-08-30</v>
      </c>
      <c r="I969" s="4" t="s">
        <v>12</v>
      </c>
      <c r="J969" s="5"/>
    </row>
    <row r="970" spans="1:10">
      <c r="A970" s="4">
        <v>966</v>
      </c>
      <c r="B970" s="4" t="str">
        <f>"20206123306"</f>
        <v>20206123306</v>
      </c>
      <c r="C970" s="4">
        <v>33</v>
      </c>
      <c r="D970" s="4">
        <v>6</v>
      </c>
      <c r="E970" s="4" t="s">
        <v>42</v>
      </c>
      <c r="F970" s="4" t="str">
        <f>"严洁"</f>
        <v>严洁</v>
      </c>
      <c r="G970" s="4" t="str">
        <f t="shared" si="40"/>
        <v>女</v>
      </c>
      <c r="H970" s="4" t="str">
        <f>"1995-03-05"</f>
        <v>1995-03-05</v>
      </c>
      <c r="I970" s="4">
        <v>69.8</v>
      </c>
      <c r="J970" s="5"/>
    </row>
    <row r="971" spans="1:10">
      <c r="A971" s="4">
        <v>967</v>
      </c>
      <c r="B971" s="4" t="str">
        <f>"20206123307"</f>
        <v>20206123307</v>
      </c>
      <c r="C971" s="4">
        <v>33</v>
      </c>
      <c r="D971" s="4">
        <v>7</v>
      </c>
      <c r="E971" s="4" t="s">
        <v>42</v>
      </c>
      <c r="F971" s="4" t="str">
        <f>"李春晓"</f>
        <v>李春晓</v>
      </c>
      <c r="G971" s="4" t="str">
        <f t="shared" si="40"/>
        <v>女</v>
      </c>
      <c r="H971" s="4" t="str">
        <f>"1997-05-27"</f>
        <v>1997-05-27</v>
      </c>
      <c r="I971" s="4" t="s">
        <v>12</v>
      </c>
      <c r="J971" s="5"/>
    </row>
    <row r="972" spans="1:10">
      <c r="A972" s="4">
        <v>968</v>
      </c>
      <c r="B972" s="4" t="str">
        <f>"20206123308"</f>
        <v>20206123308</v>
      </c>
      <c r="C972" s="4">
        <v>33</v>
      </c>
      <c r="D972" s="4">
        <v>8</v>
      </c>
      <c r="E972" s="4" t="s">
        <v>42</v>
      </c>
      <c r="F972" s="4" t="str">
        <f>"王昭月"</f>
        <v>王昭月</v>
      </c>
      <c r="G972" s="4" t="str">
        <f t="shared" si="40"/>
        <v>女</v>
      </c>
      <c r="H972" s="4" t="str">
        <f>"1997-01-04"</f>
        <v>1997-01-04</v>
      </c>
      <c r="I972" s="4">
        <v>42.9</v>
      </c>
      <c r="J972" s="5"/>
    </row>
    <row r="973" spans="1:10">
      <c r="A973" s="4">
        <v>969</v>
      </c>
      <c r="B973" s="4" t="str">
        <f>"20206123309"</f>
        <v>20206123309</v>
      </c>
      <c r="C973" s="4">
        <v>33</v>
      </c>
      <c r="D973" s="4">
        <v>9</v>
      </c>
      <c r="E973" s="4" t="s">
        <v>42</v>
      </c>
      <c r="F973" s="4" t="str">
        <f>"刘奇"</f>
        <v>刘奇</v>
      </c>
      <c r="G973" s="4" t="str">
        <f t="shared" si="40"/>
        <v>女</v>
      </c>
      <c r="H973" s="4" t="str">
        <f>"1997-01-25"</f>
        <v>1997-01-25</v>
      </c>
      <c r="I973" s="4">
        <v>71.5</v>
      </c>
      <c r="J973" s="5"/>
    </row>
    <row r="974" spans="1:10">
      <c r="A974" s="4">
        <v>970</v>
      </c>
      <c r="B974" s="4" t="str">
        <f>"20206123310"</f>
        <v>20206123310</v>
      </c>
      <c r="C974" s="4">
        <v>33</v>
      </c>
      <c r="D974" s="4">
        <v>10</v>
      </c>
      <c r="E974" s="4" t="s">
        <v>42</v>
      </c>
      <c r="F974" s="4" t="str">
        <f>"谢璐璐"</f>
        <v>谢璐璐</v>
      </c>
      <c r="G974" s="4" t="str">
        <f t="shared" si="40"/>
        <v>女</v>
      </c>
      <c r="H974" s="4" t="str">
        <f>"1999-06-17"</f>
        <v>1999-06-17</v>
      </c>
      <c r="I974" s="4">
        <v>69.8</v>
      </c>
      <c r="J974" s="5"/>
    </row>
    <row r="975" spans="1:10">
      <c r="A975" s="4">
        <v>971</v>
      </c>
      <c r="B975" s="4" t="str">
        <f>"20206123311"</f>
        <v>20206123311</v>
      </c>
      <c r="C975" s="4">
        <v>33</v>
      </c>
      <c r="D975" s="4">
        <v>11</v>
      </c>
      <c r="E975" s="4" t="s">
        <v>42</v>
      </c>
      <c r="F975" s="4" t="str">
        <f>"刘强"</f>
        <v>刘强</v>
      </c>
      <c r="G975" s="4" t="str">
        <f>"男"</f>
        <v>男</v>
      </c>
      <c r="H975" s="4" t="str">
        <f>"1997-11-20"</f>
        <v>1997-11-20</v>
      </c>
      <c r="I975" s="4">
        <v>50.6</v>
      </c>
      <c r="J975" s="5"/>
    </row>
    <row r="976" spans="1:10">
      <c r="A976" s="4">
        <v>972</v>
      </c>
      <c r="B976" s="4" t="str">
        <f>"20206123312"</f>
        <v>20206123312</v>
      </c>
      <c r="C976" s="4">
        <v>33</v>
      </c>
      <c r="D976" s="4">
        <v>12</v>
      </c>
      <c r="E976" s="4" t="s">
        <v>42</v>
      </c>
      <c r="F976" s="4" t="str">
        <f>"张艳"</f>
        <v>张艳</v>
      </c>
      <c r="G976" s="4" t="str">
        <f t="shared" ref="G976:G1002" si="41">"女"</f>
        <v>女</v>
      </c>
      <c r="H976" s="4" t="str">
        <f>"1996-01-01"</f>
        <v>1996-01-01</v>
      </c>
      <c r="I976" s="4">
        <v>85.3</v>
      </c>
      <c r="J976" s="5"/>
    </row>
    <row r="977" spans="1:10">
      <c r="A977" s="4">
        <v>973</v>
      </c>
      <c r="B977" s="4" t="str">
        <f>"20206123313"</f>
        <v>20206123313</v>
      </c>
      <c r="C977" s="4">
        <v>33</v>
      </c>
      <c r="D977" s="4">
        <v>13</v>
      </c>
      <c r="E977" s="4" t="s">
        <v>42</v>
      </c>
      <c r="F977" s="4" t="str">
        <f>"张家晔"</f>
        <v>张家晔</v>
      </c>
      <c r="G977" s="4" t="str">
        <f t="shared" si="41"/>
        <v>女</v>
      </c>
      <c r="H977" s="4" t="str">
        <f>"1997-02-05"</f>
        <v>1997-02-05</v>
      </c>
      <c r="I977" s="4">
        <v>65.4</v>
      </c>
      <c r="J977" s="5"/>
    </row>
    <row r="978" spans="1:10">
      <c r="A978" s="4">
        <v>974</v>
      </c>
      <c r="B978" s="4" t="str">
        <f>"20206123314"</f>
        <v>20206123314</v>
      </c>
      <c r="C978" s="4">
        <v>33</v>
      </c>
      <c r="D978" s="4">
        <v>14</v>
      </c>
      <c r="E978" s="4" t="s">
        <v>42</v>
      </c>
      <c r="F978" s="4" t="str">
        <f>"刘茜"</f>
        <v>刘茜</v>
      </c>
      <c r="G978" s="4" t="str">
        <f t="shared" si="41"/>
        <v>女</v>
      </c>
      <c r="H978" s="4" t="str">
        <f>"1997-05-08"</f>
        <v>1997-05-08</v>
      </c>
      <c r="I978" s="4">
        <v>67.8</v>
      </c>
      <c r="J978" s="5"/>
    </row>
    <row r="979" spans="1:10">
      <c r="A979" s="4">
        <v>975</v>
      </c>
      <c r="B979" s="4" t="str">
        <f>"20206123315"</f>
        <v>20206123315</v>
      </c>
      <c r="C979" s="4">
        <v>33</v>
      </c>
      <c r="D979" s="4">
        <v>15</v>
      </c>
      <c r="E979" s="4" t="s">
        <v>42</v>
      </c>
      <c r="F979" s="4" t="str">
        <f>"刘斌"</f>
        <v>刘斌</v>
      </c>
      <c r="G979" s="4" t="str">
        <f t="shared" si="41"/>
        <v>女</v>
      </c>
      <c r="H979" s="4" t="str">
        <f>"1998-02-21"</f>
        <v>1998-02-21</v>
      </c>
      <c r="I979" s="4">
        <v>78.5</v>
      </c>
      <c r="J979" s="5"/>
    </row>
    <row r="980" spans="1:10">
      <c r="A980" s="4">
        <v>976</v>
      </c>
      <c r="B980" s="4" t="str">
        <f>"20206123316"</f>
        <v>20206123316</v>
      </c>
      <c r="C980" s="4">
        <v>33</v>
      </c>
      <c r="D980" s="4">
        <v>16</v>
      </c>
      <c r="E980" s="4" t="s">
        <v>42</v>
      </c>
      <c r="F980" s="4" t="str">
        <f>"孙明珠"</f>
        <v>孙明珠</v>
      </c>
      <c r="G980" s="4" t="str">
        <f t="shared" si="41"/>
        <v>女</v>
      </c>
      <c r="H980" s="4" t="str">
        <f>"1997-03-27"</f>
        <v>1997-03-27</v>
      </c>
      <c r="I980" s="4">
        <v>69.8</v>
      </c>
      <c r="J980" s="5"/>
    </row>
    <row r="981" spans="1:10">
      <c r="A981" s="4">
        <v>977</v>
      </c>
      <c r="B981" s="4" t="str">
        <f>"20206223317"</f>
        <v>20206223317</v>
      </c>
      <c r="C981" s="4">
        <v>33</v>
      </c>
      <c r="D981" s="4">
        <v>17</v>
      </c>
      <c r="E981" s="4" t="s">
        <v>43</v>
      </c>
      <c r="F981" s="4" t="str">
        <f>"左乐"</f>
        <v>左乐</v>
      </c>
      <c r="G981" s="4" t="str">
        <f t="shared" si="41"/>
        <v>女</v>
      </c>
      <c r="H981" s="4" t="str">
        <f>"1995-09-12"</f>
        <v>1995-09-12</v>
      </c>
      <c r="I981" s="4">
        <v>70.1</v>
      </c>
      <c r="J981" s="5"/>
    </row>
    <row r="982" spans="1:10">
      <c r="A982" s="4">
        <v>978</v>
      </c>
      <c r="B982" s="4" t="str">
        <f>"20206223318"</f>
        <v>20206223318</v>
      </c>
      <c r="C982" s="4">
        <v>33</v>
      </c>
      <c r="D982" s="4">
        <v>18</v>
      </c>
      <c r="E982" s="4" t="s">
        <v>43</v>
      </c>
      <c r="F982" s="4" t="str">
        <f>"周梦琦"</f>
        <v>周梦琦</v>
      </c>
      <c r="G982" s="4" t="str">
        <f t="shared" si="41"/>
        <v>女</v>
      </c>
      <c r="H982" s="4" t="str">
        <f>"1998-06-23"</f>
        <v>1998-06-23</v>
      </c>
      <c r="I982" s="4">
        <v>60.1</v>
      </c>
      <c r="J982" s="5"/>
    </row>
    <row r="983" spans="1:10">
      <c r="A983" s="4">
        <v>979</v>
      </c>
      <c r="B983" s="4" t="str">
        <f>"20206223319"</f>
        <v>20206223319</v>
      </c>
      <c r="C983" s="4">
        <v>33</v>
      </c>
      <c r="D983" s="4">
        <v>19</v>
      </c>
      <c r="E983" s="4" t="s">
        <v>43</v>
      </c>
      <c r="F983" s="4" t="str">
        <f>"杨博"</f>
        <v>杨博</v>
      </c>
      <c r="G983" s="4" t="str">
        <f t="shared" si="41"/>
        <v>女</v>
      </c>
      <c r="H983" s="4" t="str">
        <f>"1998-12-28"</f>
        <v>1998-12-28</v>
      </c>
      <c r="I983" s="4">
        <v>62</v>
      </c>
      <c r="J983" s="5"/>
    </row>
    <row r="984" spans="1:10">
      <c r="A984" s="4">
        <v>980</v>
      </c>
      <c r="B984" s="4" t="str">
        <f>"20206223320"</f>
        <v>20206223320</v>
      </c>
      <c r="C984" s="4">
        <v>33</v>
      </c>
      <c r="D984" s="4">
        <v>20</v>
      </c>
      <c r="E984" s="4" t="s">
        <v>43</v>
      </c>
      <c r="F984" s="4" t="str">
        <f>"张孟盈"</f>
        <v>张孟盈</v>
      </c>
      <c r="G984" s="4" t="str">
        <f t="shared" si="41"/>
        <v>女</v>
      </c>
      <c r="H984" s="4" t="str">
        <f>"1998-10-01"</f>
        <v>1998-10-01</v>
      </c>
      <c r="I984" s="4">
        <v>50</v>
      </c>
      <c r="J984" s="5"/>
    </row>
    <row r="985" spans="1:10">
      <c r="A985" s="4">
        <v>981</v>
      </c>
      <c r="B985" s="4" t="str">
        <f>"20206223321"</f>
        <v>20206223321</v>
      </c>
      <c r="C985" s="4">
        <v>33</v>
      </c>
      <c r="D985" s="4">
        <v>21</v>
      </c>
      <c r="E985" s="4" t="s">
        <v>43</v>
      </c>
      <c r="F985" s="4" t="str">
        <f>"马宇"</f>
        <v>马宇</v>
      </c>
      <c r="G985" s="4" t="str">
        <f t="shared" si="41"/>
        <v>女</v>
      </c>
      <c r="H985" s="4" t="str">
        <f>"1996-07-04"</f>
        <v>1996-07-04</v>
      </c>
      <c r="I985" s="4">
        <v>80.6</v>
      </c>
      <c r="J985" s="5"/>
    </row>
    <row r="986" spans="1:10">
      <c r="A986" s="4">
        <v>982</v>
      </c>
      <c r="B986" s="4" t="str">
        <f>"20206223322"</f>
        <v>20206223322</v>
      </c>
      <c r="C986" s="4">
        <v>33</v>
      </c>
      <c r="D986" s="4">
        <v>22</v>
      </c>
      <c r="E986" s="4" t="s">
        <v>43</v>
      </c>
      <c r="F986" s="4" t="str">
        <f>"王长荣"</f>
        <v>王长荣</v>
      </c>
      <c r="G986" s="4" t="str">
        <f t="shared" si="41"/>
        <v>女</v>
      </c>
      <c r="H986" s="4" t="str">
        <f>"1997-05-19"</f>
        <v>1997-05-19</v>
      </c>
      <c r="I986" s="4">
        <v>64.1</v>
      </c>
      <c r="J986" s="5"/>
    </row>
    <row r="987" spans="1:10">
      <c r="A987" s="4">
        <v>983</v>
      </c>
      <c r="B987" s="4" t="str">
        <f>"20206223323"</f>
        <v>20206223323</v>
      </c>
      <c r="C987" s="4">
        <v>33</v>
      </c>
      <c r="D987" s="4">
        <v>23</v>
      </c>
      <c r="E987" s="4" t="s">
        <v>43</v>
      </c>
      <c r="F987" s="4" t="str">
        <f>"丁雯钰"</f>
        <v>丁雯钰</v>
      </c>
      <c r="G987" s="4" t="str">
        <f t="shared" si="41"/>
        <v>女</v>
      </c>
      <c r="H987" s="4" t="str">
        <f>"1997-10-16"</f>
        <v>1997-10-16</v>
      </c>
      <c r="I987" s="4">
        <v>9</v>
      </c>
      <c r="J987" s="5"/>
    </row>
    <row r="988" spans="1:10">
      <c r="A988" s="4">
        <v>984</v>
      </c>
      <c r="B988" s="4" t="str">
        <f>"20206223324"</f>
        <v>20206223324</v>
      </c>
      <c r="C988" s="4">
        <v>33</v>
      </c>
      <c r="D988" s="4">
        <v>24</v>
      </c>
      <c r="E988" s="4" t="s">
        <v>43</v>
      </c>
      <c r="F988" s="4" t="str">
        <f>"吴蒙"</f>
        <v>吴蒙</v>
      </c>
      <c r="G988" s="4" t="str">
        <f t="shared" si="41"/>
        <v>女</v>
      </c>
      <c r="H988" s="4" t="str">
        <f>"1994-11-30"</f>
        <v>1994-11-30</v>
      </c>
      <c r="I988" s="4">
        <v>62.4</v>
      </c>
      <c r="J988" s="5"/>
    </row>
    <row r="989" spans="1:10">
      <c r="A989" s="4">
        <v>985</v>
      </c>
      <c r="B989" s="4" t="str">
        <f>"20206223325"</f>
        <v>20206223325</v>
      </c>
      <c r="C989" s="4">
        <v>33</v>
      </c>
      <c r="D989" s="4">
        <v>25</v>
      </c>
      <c r="E989" s="4" t="s">
        <v>43</v>
      </c>
      <c r="F989" s="4" t="str">
        <f>"赵世文"</f>
        <v>赵世文</v>
      </c>
      <c r="G989" s="4" t="str">
        <f t="shared" si="41"/>
        <v>女</v>
      </c>
      <c r="H989" s="4" t="str">
        <f>"1995-09-01"</f>
        <v>1995-09-01</v>
      </c>
      <c r="I989" s="4">
        <v>58.1</v>
      </c>
      <c r="J989" s="5"/>
    </row>
    <row r="990" spans="1:10">
      <c r="A990" s="4">
        <v>986</v>
      </c>
      <c r="B990" s="4" t="str">
        <f>"20206223326"</f>
        <v>20206223326</v>
      </c>
      <c r="C990" s="4">
        <v>33</v>
      </c>
      <c r="D990" s="4">
        <v>26</v>
      </c>
      <c r="E990" s="4" t="s">
        <v>43</v>
      </c>
      <c r="F990" s="4" t="str">
        <f>"陶琳琳"</f>
        <v>陶琳琳</v>
      </c>
      <c r="G990" s="4" t="str">
        <f t="shared" si="41"/>
        <v>女</v>
      </c>
      <c r="H990" s="4" t="str">
        <f>"2000-02-26"</f>
        <v>2000-02-26</v>
      </c>
      <c r="I990" s="4">
        <v>51.9</v>
      </c>
      <c r="J990" s="5"/>
    </row>
    <row r="991" spans="1:10">
      <c r="A991" s="4">
        <v>987</v>
      </c>
      <c r="B991" s="4" t="str">
        <f>"20206223327"</f>
        <v>20206223327</v>
      </c>
      <c r="C991" s="4">
        <v>33</v>
      </c>
      <c r="D991" s="4">
        <v>27</v>
      </c>
      <c r="E991" s="4" t="s">
        <v>43</v>
      </c>
      <c r="F991" s="4" t="str">
        <f>"高晨雪"</f>
        <v>高晨雪</v>
      </c>
      <c r="G991" s="4" t="str">
        <f t="shared" si="41"/>
        <v>女</v>
      </c>
      <c r="H991" s="4" t="str">
        <f>"1998-10-20"</f>
        <v>1998-10-20</v>
      </c>
      <c r="I991" s="4">
        <v>63.3</v>
      </c>
      <c r="J991" s="5"/>
    </row>
    <row r="992" spans="1:10">
      <c r="A992" s="4">
        <v>988</v>
      </c>
      <c r="B992" s="4" t="str">
        <f>"20206223328"</f>
        <v>20206223328</v>
      </c>
      <c r="C992" s="4">
        <v>33</v>
      </c>
      <c r="D992" s="4">
        <v>28</v>
      </c>
      <c r="E992" s="4" t="s">
        <v>43</v>
      </c>
      <c r="F992" s="4" t="str">
        <f>"秦芳芳"</f>
        <v>秦芳芳</v>
      </c>
      <c r="G992" s="4" t="str">
        <f t="shared" si="41"/>
        <v>女</v>
      </c>
      <c r="H992" s="4" t="str">
        <f>"1999-03-31"</f>
        <v>1999-03-31</v>
      </c>
      <c r="I992" s="4">
        <v>62.1</v>
      </c>
      <c r="J992" s="5"/>
    </row>
    <row r="993" spans="1:10">
      <c r="A993" s="4">
        <v>989</v>
      </c>
      <c r="B993" s="4" t="str">
        <f>"20206223329"</f>
        <v>20206223329</v>
      </c>
      <c r="C993" s="4">
        <v>33</v>
      </c>
      <c r="D993" s="4">
        <v>29</v>
      </c>
      <c r="E993" s="4" t="s">
        <v>43</v>
      </c>
      <c r="F993" s="4" t="str">
        <f>"宋佳琦"</f>
        <v>宋佳琦</v>
      </c>
      <c r="G993" s="4" t="str">
        <f t="shared" si="41"/>
        <v>女</v>
      </c>
      <c r="H993" s="4" t="str">
        <f>"1996-11-03"</f>
        <v>1996-11-03</v>
      </c>
      <c r="I993" s="4">
        <v>60.8</v>
      </c>
      <c r="J993" s="5"/>
    </row>
    <row r="994" spans="1:10">
      <c r="A994" s="4">
        <v>990</v>
      </c>
      <c r="B994" s="4" t="str">
        <f>"20206223330"</f>
        <v>20206223330</v>
      </c>
      <c r="C994" s="4">
        <v>33</v>
      </c>
      <c r="D994" s="4">
        <v>30</v>
      </c>
      <c r="E994" s="4" t="s">
        <v>43</v>
      </c>
      <c r="F994" s="4" t="str">
        <f>"庄鑫会"</f>
        <v>庄鑫会</v>
      </c>
      <c r="G994" s="4" t="str">
        <f t="shared" si="41"/>
        <v>女</v>
      </c>
      <c r="H994" s="4" t="str">
        <f>"1998-06-09"</f>
        <v>1998-06-09</v>
      </c>
      <c r="I994" s="4">
        <v>69.9</v>
      </c>
      <c r="J994" s="5"/>
    </row>
    <row r="995" spans="1:10">
      <c r="A995" s="4">
        <v>991</v>
      </c>
      <c r="B995" s="4" t="str">
        <f>"20206223401"</f>
        <v>20206223401</v>
      </c>
      <c r="C995" s="4">
        <v>34</v>
      </c>
      <c r="D995" s="4">
        <v>1</v>
      </c>
      <c r="E995" s="4" t="s">
        <v>43</v>
      </c>
      <c r="F995" s="4" t="str">
        <f>"耿雪"</f>
        <v>耿雪</v>
      </c>
      <c r="G995" s="4" t="str">
        <f t="shared" si="41"/>
        <v>女</v>
      </c>
      <c r="H995" s="4" t="str">
        <f>"1996-01-22"</f>
        <v>1996-01-22</v>
      </c>
      <c r="I995" s="4" t="s">
        <v>12</v>
      </c>
      <c r="J995" s="5"/>
    </row>
    <row r="996" spans="1:10">
      <c r="A996" s="4">
        <v>992</v>
      </c>
      <c r="B996" s="4" t="str">
        <f>"20206223402"</f>
        <v>20206223402</v>
      </c>
      <c r="C996" s="4">
        <v>34</v>
      </c>
      <c r="D996" s="4">
        <v>2</v>
      </c>
      <c r="E996" s="4" t="s">
        <v>43</v>
      </c>
      <c r="F996" s="4" t="str">
        <f>"杨柳仪"</f>
        <v>杨柳仪</v>
      </c>
      <c r="G996" s="4" t="str">
        <f t="shared" si="41"/>
        <v>女</v>
      </c>
      <c r="H996" s="4" t="str">
        <f>"1999-12-04"</f>
        <v>1999-12-04</v>
      </c>
      <c r="I996" s="4">
        <v>51</v>
      </c>
      <c r="J996" s="5"/>
    </row>
    <row r="997" spans="1:10">
      <c r="A997" s="4">
        <v>993</v>
      </c>
      <c r="B997" s="4" t="str">
        <f>"20206223403"</f>
        <v>20206223403</v>
      </c>
      <c r="C997" s="4">
        <v>34</v>
      </c>
      <c r="D997" s="4">
        <v>3</v>
      </c>
      <c r="E997" s="4" t="s">
        <v>43</v>
      </c>
      <c r="F997" s="4" t="str">
        <f>"刘佳佳"</f>
        <v>刘佳佳</v>
      </c>
      <c r="G997" s="4" t="str">
        <f t="shared" si="41"/>
        <v>女</v>
      </c>
      <c r="H997" s="4" t="str">
        <f>"1996-01-27"</f>
        <v>1996-01-27</v>
      </c>
      <c r="I997" s="4">
        <v>77.5</v>
      </c>
      <c r="J997" s="5"/>
    </row>
    <row r="998" spans="1:10">
      <c r="A998" s="4">
        <v>994</v>
      </c>
      <c r="B998" s="4" t="str">
        <f>"20206223404"</f>
        <v>20206223404</v>
      </c>
      <c r="C998" s="4">
        <v>34</v>
      </c>
      <c r="D998" s="4">
        <v>4</v>
      </c>
      <c r="E998" s="4" t="s">
        <v>43</v>
      </c>
      <c r="F998" s="4" t="str">
        <f>"陶秀静"</f>
        <v>陶秀静</v>
      </c>
      <c r="G998" s="4" t="str">
        <f t="shared" si="41"/>
        <v>女</v>
      </c>
      <c r="H998" s="4" t="str">
        <f>"1997-08-07"</f>
        <v>1997-08-07</v>
      </c>
      <c r="I998" s="4">
        <v>50.6</v>
      </c>
      <c r="J998" s="5"/>
    </row>
    <row r="999" spans="1:10">
      <c r="A999" s="4">
        <v>995</v>
      </c>
      <c r="B999" s="4" t="str">
        <f>"20206223405"</f>
        <v>20206223405</v>
      </c>
      <c r="C999" s="4">
        <v>34</v>
      </c>
      <c r="D999" s="4">
        <v>5</v>
      </c>
      <c r="E999" s="4" t="s">
        <v>43</v>
      </c>
      <c r="F999" s="4" t="str">
        <f>"张欢"</f>
        <v>张欢</v>
      </c>
      <c r="G999" s="4" t="str">
        <f t="shared" si="41"/>
        <v>女</v>
      </c>
      <c r="H999" s="4" t="str">
        <f>"1997-02-26"</f>
        <v>1997-02-26</v>
      </c>
      <c r="I999" s="4">
        <v>69.8</v>
      </c>
      <c r="J999" s="5"/>
    </row>
    <row r="1000" spans="1:10">
      <c r="A1000" s="4">
        <v>996</v>
      </c>
      <c r="B1000" s="4" t="str">
        <f>"20206223406"</f>
        <v>20206223406</v>
      </c>
      <c r="C1000" s="4">
        <v>34</v>
      </c>
      <c r="D1000" s="4">
        <v>6</v>
      </c>
      <c r="E1000" s="4" t="s">
        <v>43</v>
      </c>
      <c r="F1000" s="4" t="str">
        <f>"范亚阳"</f>
        <v>范亚阳</v>
      </c>
      <c r="G1000" s="4" t="str">
        <f t="shared" si="41"/>
        <v>女</v>
      </c>
      <c r="H1000" s="4" t="str">
        <f>"1996-12-28"</f>
        <v>1996-12-28</v>
      </c>
      <c r="I1000" s="4" t="s">
        <v>12</v>
      </c>
      <c r="J1000" s="5"/>
    </row>
    <row r="1001" spans="1:10">
      <c r="A1001" s="4">
        <v>997</v>
      </c>
      <c r="B1001" s="4" t="str">
        <f>"20206223407"</f>
        <v>20206223407</v>
      </c>
      <c r="C1001" s="4">
        <v>34</v>
      </c>
      <c r="D1001" s="4">
        <v>7</v>
      </c>
      <c r="E1001" s="4" t="s">
        <v>43</v>
      </c>
      <c r="F1001" s="4" t="str">
        <f>"王梅"</f>
        <v>王梅</v>
      </c>
      <c r="G1001" s="4" t="str">
        <f t="shared" si="41"/>
        <v>女</v>
      </c>
      <c r="H1001" s="4" t="str">
        <f>"1998-06-01"</f>
        <v>1998-06-01</v>
      </c>
      <c r="I1001" s="4">
        <v>62.8</v>
      </c>
      <c r="J1001" s="5"/>
    </row>
    <row r="1002" spans="1:10">
      <c r="A1002" s="4">
        <v>998</v>
      </c>
      <c r="B1002" s="4" t="str">
        <f>"20206223408"</f>
        <v>20206223408</v>
      </c>
      <c r="C1002" s="4">
        <v>34</v>
      </c>
      <c r="D1002" s="4">
        <v>8</v>
      </c>
      <c r="E1002" s="4" t="s">
        <v>43</v>
      </c>
      <c r="F1002" s="4" t="str">
        <f>"陈园园"</f>
        <v>陈园园</v>
      </c>
      <c r="G1002" s="4" t="str">
        <f t="shared" si="41"/>
        <v>女</v>
      </c>
      <c r="H1002" s="4" t="str">
        <f>"1994-11-28"</f>
        <v>1994-11-28</v>
      </c>
      <c r="I1002" s="4">
        <v>53.1</v>
      </c>
      <c r="J1002" s="5"/>
    </row>
    <row r="1003" spans="1:10">
      <c r="A1003" s="4">
        <v>999</v>
      </c>
      <c r="B1003" s="4" t="str">
        <f>"20206223409"</f>
        <v>20206223409</v>
      </c>
      <c r="C1003" s="4">
        <v>34</v>
      </c>
      <c r="D1003" s="4">
        <v>9</v>
      </c>
      <c r="E1003" s="4" t="s">
        <v>43</v>
      </c>
      <c r="F1003" s="4" t="str">
        <f>"冯子航"</f>
        <v>冯子航</v>
      </c>
      <c r="G1003" s="4" t="str">
        <f>"男"</f>
        <v>男</v>
      </c>
      <c r="H1003" s="4" t="str">
        <f>"1999-04-15"</f>
        <v>1999-04-15</v>
      </c>
      <c r="I1003" s="4">
        <v>63.1</v>
      </c>
      <c r="J1003" s="5"/>
    </row>
    <row r="1004" spans="1:10">
      <c r="A1004" s="4">
        <v>1000</v>
      </c>
      <c r="B1004" s="4" t="str">
        <f>"20206223410"</f>
        <v>20206223410</v>
      </c>
      <c r="C1004" s="4">
        <v>34</v>
      </c>
      <c r="D1004" s="4">
        <v>10</v>
      </c>
      <c r="E1004" s="4" t="s">
        <v>43</v>
      </c>
      <c r="F1004" s="4" t="str">
        <f>"陈静"</f>
        <v>陈静</v>
      </c>
      <c r="G1004" s="4" t="str">
        <f t="shared" ref="G1004:G1019" si="42">"女"</f>
        <v>女</v>
      </c>
      <c r="H1004" s="4" t="str">
        <f>"1999-02-07"</f>
        <v>1999-02-07</v>
      </c>
      <c r="I1004" s="4">
        <v>79.2</v>
      </c>
      <c r="J1004" s="5"/>
    </row>
    <row r="1005" spans="1:10">
      <c r="A1005" s="4">
        <v>1001</v>
      </c>
      <c r="B1005" s="4" t="str">
        <f>"20206223411"</f>
        <v>20206223411</v>
      </c>
      <c r="C1005" s="4">
        <v>34</v>
      </c>
      <c r="D1005" s="4">
        <v>11</v>
      </c>
      <c r="E1005" s="4" t="s">
        <v>43</v>
      </c>
      <c r="F1005" s="4" t="str">
        <f>"赵媛"</f>
        <v>赵媛</v>
      </c>
      <c r="G1005" s="4" t="str">
        <f t="shared" si="42"/>
        <v>女</v>
      </c>
      <c r="H1005" s="4" t="str">
        <f>"1999-04-28"</f>
        <v>1999-04-28</v>
      </c>
      <c r="I1005" s="4">
        <v>64.5</v>
      </c>
      <c r="J1005" s="5"/>
    </row>
    <row r="1006" spans="1:10">
      <c r="A1006" s="4">
        <v>1002</v>
      </c>
      <c r="B1006" s="4" t="str">
        <f>"20206223412"</f>
        <v>20206223412</v>
      </c>
      <c r="C1006" s="4">
        <v>34</v>
      </c>
      <c r="D1006" s="4">
        <v>12</v>
      </c>
      <c r="E1006" s="4" t="s">
        <v>43</v>
      </c>
      <c r="F1006" s="4" t="str">
        <f>"贾双姣"</f>
        <v>贾双姣</v>
      </c>
      <c r="G1006" s="4" t="str">
        <f t="shared" si="42"/>
        <v>女</v>
      </c>
      <c r="H1006" s="4" t="str">
        <f>"1997-03-06"</f>
        <v>1997-03-06</v>
      </c>
      <c r="I1006" s="4" t="s">
        <v>12</v>
      </c>
      <c r="J1006" s="5"/>
    </row>
    <row r="1007" spans="1:10">
      <c r="A1007" s="4">
        <v>1003</v>
      </c>
      <c r="B1007" s="4" t="str">
        <f>"20206223413"</f>
        <v>20206223413</v>
      </c>
      <c r="C1007" s="4">
        <v>34</v>
      </c>
      <c r="D1007" s="4">
        <v>13</v>
      </c>
      <c r="E1007" s="4" t="s">
        <v>43</v>
      </c>
      <c r="F1007" s="4" t="str">
        <f>"王菲"</f>
        <v>王菲</v>
      </c>
      <c r="G1007" s="4" t="str">
        <f t="shared" si="42"/>
        <v>女</v>
      </c>
      <c r="H1007" s="4" t="str">
        <f>"1999-10-06"</f>
        <v>1999-10-06</v>
      </c>
      <c r="I1007" s="4">
        <v>65.1</v>
      </c>
      <c r="J1007" s="5"/>
    </row>
    <row r="1008" spans="1:10">
      <c r="A1008" s="4">
        <v>1004</v>
      </c>
      <c r="B1008" s="4" t="str">
        <f>"20206223414"</f>
        <v>20206223414</v>
      </c>
      <c r="C1008" s="4">
        <v>34</v>
      </c>
      <c r="D1008" s="4">
        <v>14</v>
      </c>
      <c r="E1008" s="4" t="s">
        <v>43</v>
      </c>
      <c r="F1008" s="4" t="str">
        <f>"王奥雲"</f>
        <v>王奥雲</v>
      </c>
      <c r="G1008" s="4" t="str">
        <f t="shared" si="42"/>
        <v>女</v>
      </c>
      <c r="H1008" s="4" t="str">
        <f>"1997-12-30"</f>
        <v>1997-12-30</v>
      </c>
      <c r="I1008" s="4">
        <v>84.2</v>
      </c>
      <c r="J1008" s="5"/>
    </row>
    <row r="1009" spans="1:10">
      <c r="A1009" s="4">
        <v>1005</v>
      </c>
      <c r="B1009" s="4" t="str">
        <f>"20206223415"</f>
        <v>20206223415</v>
      </c>
      <c r="C1009" s="4">
        <v>34</v>
      </c>
      <c r="D1009" s="4">
        <v>15</v>
      </c>
      <c r="E1009" s="4" t="s">
        <v>43</v>
      </c>
      <c r="F1009" s="4" t="str">
        <f>"侯小亚"</f>
        <v>侯小亚</v>
      </c>
      <c r="G1009" s="4" t="str">
        <f t="shared" si="42"/>
        <v>女</v>
      </c>
      <c r="H1009" s="4" t="str">
        <f>"1996-03-08"</f>
        <v>1996-03-08</v>
      </c>
      <c r="I1009" s="4">
        <v>68.2</v>
      </c>
      <c r="J1009" s="5"/>
    </row>
    <row r="1010" spans="1:10">
      <c r="A1010" s="4">
        <v>1006</v>
      </c>
      <c r="B1010" s="4" t="str">
        <f>"20206223416"</f>
        <v>20206223416</v>
      </c>
      <c r="C1010" s="4">
        <v>34</v>
      </c>
      <c r="D1010" s="4">
        <v>16</v>
      </c>
      <c r="E1010" s="4" t="s">
        <v>43</v>
      </c>
      <c r="F1010" s="4" t="str">
        <f>"叶璠"</f>
        <v>叶璠</v>
      </c>
      <c r="G1010" s="4" t="str">
        <f t="shared" si="42"/>
        <v>女</v>
      </c>
      <c r="H1010" s="4" t="str">
        <f>"1999-01-20"</f>
        <v>1999-01-20</v>
      </c>
      <c r="I1010" s="4">
        <v>65.5</v>
      </c>
      <c r="J1010" s="5"/>
    </row>
    <row r="1011" spans="1:10">
      <c r="A1011" s="4">
        <v>1007</v>
      </c>
      <c r="B1011" s="4" t="str">
        <f>"20206223417"</f>
        <v>20206223417</v>
      </c>
      <c r="C1011" s="4">
        <v>34</v>
      </c>
      <c r="D1011" s="4">
        <v>17</v>
      </c>
      <c r="E1011" s="4" t="s">
        <v>43</v>
      </c>
      <c r="F1011" s="4" t="str">
        <f>"阚清月"</f>
        <v>阚清月</v>
      </c>
      <c r="G1011" s="4" t="str">
        <f t="shared" si="42"/>
        <v>女</v>
      </c>
      <c r="H1011" s="4" t="str">
        <f>"1996-10-24"</f>
        <v>1996-10-24</v>
      </c>
      <c r="I1011" s="4">
        <v>75.8</v>
      </c>
      <c r="J1011" s="5"/>
    </row>
    <row r="1012" spans="1:10">
      <c r="A1012" s="4">
        <v>1008</v>
      </c>
      <c r="B1012" s="4" t="str">
        <f>"20206223418"</f>
        <v>20206223418</v>
      </c>
      <c r="C1012" s="4">
        <v>34</v>
      </c>
      <c r="D1012" s="4">
        <v>18</v>
      </c>
      <c r="E1012" s="4" t="s">
        <v>43</v>
      </c>
      <c r="F1012" s="4" t="str">
        <f>"董田田"</f>
        <v>董田田</v>
      </c>
      <c r="G1012" s="4" t="str">
        <f t="shared" si="42"/>
        <v>女</v>
      </c>
      <c r="H1012" s="4" t="str">
        <f>"1993-05-06"</f>
        <v>1993-05-06</v>
      </c>
      <c r="I1012" s="4">
        <v>53.4</v>
      </c>
      <c r="J1012" s="5"/>
    </row>
    <row r="1013" spans="1:10">
      <c r="A1013" s="4">
        <v>1009</v>
      </c>
      <c r="B1013" s="4" t="str">
        <f>"20206223419"</f>
        <v>20206223419</v>
      </c>
      <c r="C1013" s="4">
        <v>34</v>
      </c>
      <c r="D1013" s="4">
        <v>19</v>
      </c>
      <c r="E1013" s="4" t="s">
        <v>43</v>
      </c>
      <c r="F1013" s="4" t="str">
        <f>"王玲"</f>
        <v>王玲</v>
      </c>
      <c r="G1013" s="4" t="str">
        <f t="shared" si="42"/>
        <v>女</v>
      </c>
      <c r="H1013" s="4" t="str">
        <f>"2000-01-18"</f>
        <v>2000-01-18</v>
      </c>
      <c r="I1013" s="4">
        <v>63.1</v>
      </c>
      <c r="J1013" s="5"/>
    </row>
    <row r="1014" spans="1:10">
      <c r="A1014" s="4">
        <v>1010</v>
      </c>
      <c r="B1014" s="4" t="str">
        <f>"20206223420"</f>
        <v>20206223420</v>
      </c>
      <c r="C1014" s="4">
        <v>34</v>
      </c>
      <c r="D1014" s="4">
        <v>20</v>
      </c>
      <c r="E1014" s="4" t="s">
        <v>43</v>
      </c>
      <c r="F1014" s="4" t="str">
        <f>"宋佳益"</f>
        <v>宋佳益</v>
      </c>
      <c r="G1014" s="4" t="str">
        <f t="shared" si="42"/>
        <v>女</v>
      </c>
      <c r="H1014" s="4" t="str">
        <f>"1998-06-28"</f>
        <v>1998-06-28</v>
      </c>
      <c r="I1014" s="4">
        <v>59</v>
      </c>
      <c r="J1014" s="5"/>
    </row>
    <row r="1015" spans="1:10">
      <c r="A1015" s="4">
        <v>1011</v>
      </c>
      <c r="B1015" s="4" t="str">
        <f>"20206223421"</f>
        <v>20206223421</v>
      </c>
      <c r="C1015" s="4">
        <v>34</v>
      </c>
      <c r="D1015" s="4">
        <v>21</v>
      </c>
      <c r="E1015" s="4" t="s">
        <v>43</v>
      </c>
      <c r="F1015" s="4" t="str">
        <f>"胡洋鑫"</f>
        <v>胡洋鑫</v>
      </c>
      <c r="G1015" s="4" t="str">
        <f t="shared" si="42"/>
        <v>女</v>
      </c>
      <c r="H1015" s="4" t="str">
        <f>"1997-07-27"</f>
        <v>1997-07-27</v>
      </c>
      <c r="I1015" s="4">
        <v>66.1</v>
      </c>
      <c r="J1015" s="5"/>
    </row>
    <row r="1016" spans="1:10">
      <c r="A1016" s="4">
        <v>1012</v>
      </c>
      <c r="B1016" s="4" t="str">
        <f>"20206223422"</f>
        <v>20206223422</v>
      </c>
      <c r="C1016" s="4">
        <v>34</v>
      </c>
      <c r="D1016" s="4">
        <v>22</v>
      </c>
      <c r="E1016" s="4" t="s">
        <v>43</v>
      </c>
      <c r="F1016" s="4" t="str">
        <f>"王倩"</f>
        <v>王倩</v>
      </c>
      <c r="G1016" s="4" t="str">
        <f t="shared" si="42"/>
        <v>女</v>
      </c>
      <c r="H1016" s="4" t="str">
        <f>"1998-08-24"</f>
        <v>1998-08-24</v>
      </c>
      <c r="I1016" s="4">
        <v>64.1</v>
      </c>
      <c r="J1016" s="5"/>
    </row>
    <row r="1017" spans="1:10">
      <c r="A1017" s="4">
        <v>1013</v>
      </c>
      <c r="B1017" s="4" t="str">
        <f>"20206223423"</f>
        <v>20206223423</v>
      </c>
      <c r="C1017" s="4">
        <v>34</v>
      </c>
      <c r="D1017" s="4">
        <v>23</v>
      </c>
      <c r="E1017" s="4" t="s">
        <v>43</v>
      </c>
      <c r="F1017" s="4" t="str">
        <f>"陈俊娜"</f>
        <v>陈俊娜</v>
      </c>
      <c r="G1017" s="4" t="str">
        <f t="shared" si="42"/>
        <v>女</v>
      </c>
      <c r="H1017" s="4" t="str">
        <f>"1995-12-23"</f>
        <v>1995-12-23</v>
      </c>
      <c r="I1017" s="4">
        <v>65.4</v>
      </c>
      <c r="J1017" s="5"/>
    </row>
    <row r="1018" spans="1:10">
      <c r="A1018" s="4">
        <v>1014</v>
      </c>
      <c r="B1018" s="4" t="str">
        <f>"20206223424"</f>
        <v>20206223424</v>
      </c>
      <c r="C1018" s="4">
        <v>34</v>
      </c>
      <c r="D1018" s="4">
        <v>24</v>
      </c>
      <c r="E1018" s="4" t="s">
        <v>43</v>
      </c>
      <c r="F1018" s="4" t="str">
        <f>"孙航"</f>
        <v>孙航</v>
      </c>
      <c r="G1018" s="4" t="str">
        <f t="shared" si="42"/>
        <v>女</v>
      </c>
      <c r="H1018" s="4" t="str">
        <f>"2000-03-02"</f>
        <v>2000-03-02</v>
      </c>
      <c r="I1018" s="4" t="s">
        <v>12</v>
      </c>
      <c r="J1018" s="5"/>
    </row>
    <row r="1019" spans="1:10">
      <c r="A1019" s="4">
        <v>1015</v>
      </c>
      <c r="B1019" s="4" t="str">
        <f>"20206223425"</f>
        <v>20206223425</v>
      </c>
      <c r="C1019" s="4">
        <v>34</v>
      </c>
      <c r="D1019" s="4">
        <v>25</v>
      </c>
      <c r="E1019" s="4" t="s">
        <v>43</v>
      </c>
      <c r="F1019" s="4" t="str">
        <f>"崔红娟"</f>
        <v>崔红娟</v>
      </c>
      <c r="G1019" s="4" t="str">
        <f t="shared" si="42"/>
        <v>女</v>
      </c>
      <c r="H1019" s="4" t="str">
        <f>"1998-08-26"</f>
        <v>1998-08-26</v>
      </c>
      <c r="I1019" s="4">
        <v>56.3</v>
      </c>
      <c r="J1019" s="5"/>
    </row>
    <row r="1020" spans="1:10">
      <c r="A1020" s="4">
        <v>1016</v>
      </c>
      <c r="B1020" s="4" t="str">
        <f>"20206223426"</f>
        <v>20206223426</v>
      </c>
      <c r="C1020" s="4">
        <v>34</v>
      </c>
      <c r="D1020" s="4">
        <v>26</v>
      </c>
      <c r="E1020" s="4" t="s">
        <v>43</v>
      </c>
      <c r="F1020" s="4" t="str">
        <f>"惠捷"</f>
        <v>惠捷</v>
      </c>
      <c r="G1020" s="4" t="str">
        <f>"男"</f>
        <v>男</v>
      </c>
      <c r="H1020" s="4" t="str">
        <f>"1996-11-05"</f>
        <v>1996-11-05</v>
      </c>
      <c r="I1020" s="4" t="s">
        <v>12</v>
      </c>
      <c r="J1020" s="5"/>
    </row>
    <row r="1021" spans="1:10">
      <c r="A1021" s="4">
        <v>1017</v>
      </c>
      <c r="B1021" s="4" t="str">
        <f>"20206223427"</f>
        <v>20206223427</v>
      </c>
      <c r="C1021" s="4">
        <v>34</v>
      </c>
      <c r="D1021" s="4">
        <v>27</v>
      </c>
      <c r="E1021" s="4" t="s">
        <v>43</v>
      </c>
      <c r="F1021" s="4" t="str">
        <f>"周亭亭"</f>
        <v>周亭亭</v>
      </c>
      <c r="G1021" s="4" t="str">
        <f>"女"</f>
        <v>女</v>
      </c>
      <c r="H1021" s="4" t="str">
        <f>"1997-07-11"</f>
        <v>1997-07-11</v>
      </c>
      <c r="I1021" s="4">
        <v>68</v>
      </c>
      <c r="J1021" s="5"/>
    </row>
    <row r="1022" spans="1:10">
      <c r="A1022" s="4">
        <v>1018</v>
      </c>
      <c r="B1022" s="4" t="str">
        <f>"20206223428"</f>
        <v>20206223428</v>
      </c>
      <c r="C1022" s="4">
        <v>34</v>
      </c>
      <c r="D1022" s="4">
        <v>28</v>
      </c>
      <c r="E1022" s="4" t="s">
        <v>43</v>
      </c>
      <c r="F1022" s="4" t="str">
        <f>"张金蕊"</f>
        <v>张金蕊</v>
      </c>
      <c r="G1022" s="4" t="str">
        <f>"女"</f>
        <v>女</v>
      </c>
      <c r="H1022" s="4" t="str">
        <f>"1999-12-08"</f>
        <v>1999-12-08</v>
      </c>
      <c r="I1022" s="4">
        <v>58</v>
      </c>
      <c r="J1022" s="5"/>
    </row>
    <row r="1023" spans="1:10">
      <c r="A1023" s="4">
        <v>1019</v>
      </c>
      <c r="B1023" s="4" t="str">
        <f>"20206223429"</f>
        <v>20206223429</v>
      </c>
      <c r="C1023" s="4">
        <v>34</v>
      </c>
      <c r="D1023" s="4">
        <v>29</v>
      </c>
      <c r="E1023" s="4" t="s">
        <v>43</v>
      </c>
      <c r="F1023" s="4" t="str">
        <f>"刘悦"</f>
        <v>刘悦</v>
      </c>
      <c r="G1023" s="4" t="str">
        <f>"女"</f>
        <v>女</v>
      </c>
      <c r="H1023" s="4" t="str">
        <f>"1998-10-27"</f>
        <v>1998-10-27</v>
      </c>
      <c r="I1023" s="4">
        <v>59.2</v>
      </c>
      <c r="J1023" s="5"/>
    </row>
    <row r="1024" spans="1:10">
      <c r="A1024" s="4">
        <v>1020</v>
      </c>
      <c r="B1024" s="4" t="str">
        <f>"20206223430"</f>
        <v>20206223430</v>
      </c>
      <c r="C1024" s="4">
        <v>34</v>
      </c>
      <c r="D1024" s="4">
        <v>30</v>
      </c>
      <c r="E1024" s="4" t="s">
        <v>43</v>
      </c>
      <c r="F1024" s="4" t="str">
        <f>"吕陆兵"</f>
        <v>吕陆兵</v>
      </c>
      <c r="G1024" s="4" t="str">
        <f>"男"</f>
        <v>男</v>
      </c>
      <c r="H1024" s="4" t="str">
        <f>"1996-04-15"</f>
        <v>1996-04-15</v>
      </c>
      <c r="I1024" s="4">
        <v>58.2</v>
      </c>
      <c r="J1024" s="5"/>
    </row>
    <row r="1025" spans="1:10">
      <c r="A1025" s="4">
        <v>1021</v>
      </c>
      <c r="B1025" s="4" t="str">
        <f>"20206223501"</f>
        <v>20206223501</v>
      </c>
      <c r="C1025" s="4">
        <v>35</v>
      </c>
      <c r="D1025" s="4">
        <v>1</v>
      </c>
      <c r="E1025" s="4" t="s">
        <v>43</v>
      </c>
      <c r="F1025" s="4" t="str">
        <f>"杨君"</f>
        <v>杨君</v>
      </c>
      <c r="G1025" s="4" t="str">
        <f>"女"</f>
        <v>女</v>
      </c>
      <c r="H1025" s="4" t="str">
        <f>"1997-05-12"</f>
        <v>1997-05-12</v>
      </c>
      <c r="I1025" s="4">
        <v>77.5</v>
      </c>
      <c r="J1025" s="5"/>
    </row>
    <row r="1026" spans="1:10">
      <c r="A1026" s="4">
        <v>1022</v>
      </c>
      <c r="B1026" s="4" t="str">
        <f>"20206223502"</f>
        <v>20206223502</v>
      </c>
      <c r="C1026" s="4">
        <v>35</v>
      </c>
      <c r="D1026" s="4">
        <v>2</v>
      </c>
      <c r="E1026" s="4" t="s">
        <v>43</v>
      </c>
      <c r="F1026" s="4" t="str">
        <f>"王晓明"</f>
        <v>王晓明</v>
      </c>
      <c r="G1026" s="4" t="str">
        <f>"女"</f>
        <v>女</v>
      </c>
      <c r="H1026" s="4" t="str">
        <f>"1998-11-30"</f>
        <v>1998-11-30</v>
      </c>
      <c r="I1026" s="4">
        <v>69.5</v>
      </c>
      <c r="J1026" s="5"/>
    </row>
    <row r="1027" spans="1:10">
      <c r="A1027" s="4">
        <v>1023</v>
      </c>
      <c r="B1027" s="4" t="str">
        <f>"20206223503"</f>
        <v>20206223503</v>
      </c>
      <c r="C1027" s="4">
        <v>35</v>
      </c>
      <c r="D1027" s="4">
        <v>3</v>
      </c>
      <c r="E1027" s="4" t="s">
        <v>43</v>
      </c>
      <c r="F1027" s="4" t="str">
        <f>"米九帅"</f>
        <v>米九帅</v>
      </c>
      <c r="G1027" s="4" t="str">
        <f>"男"</f>
        <v>男</v>
      </c>
      <c r="H1027" s="4" t="str">
        <f>"1995-11-12"</f>
        <v>1995-11-12</v>
      </c>
      <c r="I1027" s="4">
        <v>59.5</v>
      </c>
      <c r="J1027" s="5"/>
    </row>
    <row r="1028" spans="1:10">
      <c r="A1028" s="4">
        <v>1024</v>
      </c>
      <c r="B1028" s="4" t="str">
        <f>"20206223504"</f>
        <v>20206223504</v>
      </c>
      <c r="C1028" s="4">
        <v>35</v>
      </c>
      <c r="D1028" s="4">
        <v>4</v>
      </c>
      <c r="E1028" s="4" t="s">
        <v>43</v>
      </c>
      <c r="F1028" s="4" t="str">
        <f>"王冰"</f>
        <v>王冰</v>
      </c>
      <c r="G1028" s="4" t="str">
        <f>"女"</f>
        <v>女</v>
      </c>
      <c r="H1028" s="4" t="str">
        <f>"1995-02-01"</f>
        <v>1995-02-01</v>
      </c>
      <c r="I1028" s="4">
        <v>77.5</v>
      </c>
      <c r="J1028" s="5"/>
    </row>
    <row r="1029" spans="1:10">
      <c r="A1029" s="4">
        <v>1025</v>
      </c>
      <c r="B1029" s="4" t="str">
        <f>"20206223505"</f>
        <v>20206223505</v>
      </c>
      <c r="C1029" s="4">
        <v>35</v>
      </c>
      <c r="D1029" s="4">
        <v>5</v>
      </c>
      <c r="E1029" s="4" t="s">
        <v>43</v>
      </c>
      <c r="F1029" s="4" t="str">
        <f>"赵为"</f>
        <v>赵为</v>
      </c>
      <c r="G1029" s="4" t="str">
        <f>"女"</f>
        <v>女</v>
      </c>
      <c r="H1029" s="4" t="str">
        <f>"1995-11-20"</f>
        <v>1995-11-20</v>
      </c>
      <c r="I1029" s="4">
        <v>62.7</v>
      </c>
      <c r="J1029" s="5"/>
    </row>
    <row r="1030" spans="1:10">
      <c r="A1030" s="4">
        <v>1026</v>
      </c>
      <c r="B1030" s="4" t="str">
        <f>"20206223506"</f>
        <v>20206223506</v>
      </c>
      <c r="C1030" s="4">
        <v>35</v>
      </c>
      <c r="D1030" s="4">
        <v>6</v>
      </c>
      <c r="E1030" s="4" t="s">
        <v>43</v>
      </c>
      <c r="F1030" s="4" t="str">
        <f>"马鑫"</f>
        <v>马鑫</v>
      </c>
      <c r="G1030" s="4" t="str">
        <f>"女"</f>
        <v>女</v>
      </c>
      <c r="H1030" s="4" t="str">
        <f>"1996-11-30"</f>
        <v>1996-11-30</v>
      </c>
      <c r="I1030" s="4" t="s">
        <v>12</v>
      </c>
      <c r="J1030" s="5"/>
    </row>
    <row r="1031" spans="1:10">
      <c r="A1031" s="4">
        <v>1027</v>
      </c>
      <c r="B1031" s="4" t="str">
        <f>"20206223507"</f>
        <v>20206223507</v>
      </c>
      <c r="C1031" s="4">
        <v>35</v>
      </c>
      <c r="D1031" s="4">
        <v>7</v>
      </c>
      <c r="E1031" s="4" t="s">
        <v>43</v>
      </c>
      <c r="F1031" s="4" t="str">
        <f>"冯栖桐"</f>
        <v>冯栖桐</v>
      </c>
      <c r="G1031" s="4" t="str">
        <f>"女"</f>
        <v>女</v>
      </c>
      <c r="H1031" s="4" t="str">
        <f>"1997-01-01"</f>
        <v>1997-01-01</v>
      </c>
      <c r="I1031" s="4">
        <v>65.7</v>
      </c>
      <c r="J1031" s="5"/>
    </row>
    <row r="1032" spans="1:10">
      <c r="A1032" s="4">
        <v>1028</v>
      </c>
      <c r="B1032" s="4" t="str">
        <f>"20206223508"</f>
        <v>20206223508</v>
      </c>
      <c r="C1032" s="4">
        <v>35</v>
      </c>
      <c r="D1032" s="4">
        <v>8</v>
      </c>
      <c r="E1032" s="4" t="s">
        <v>43</v>
      </c>
      <c r="F1032" s="4" t="str">
        <f>"李素玉"</f>
        <v>李素玉</v>
      </c>
      <c r="G1032" s="4" t="str">
        <f>"女"</f>
        <v>女</v>
      </c>
      <c r="H1032" s="4" t="str">
        <f>"1995-02-11"</f>
        <v>1995-02-11</v>
      </c>
      <c r="I1032" s="4">
        <v>53</v>
      </c>
      <c r="J1032" s="5"/>
    </row>
    <row r="1033" spans="1:10">
      <c r="A1033" s="4">
        <v>1029</v>
      </c>
      <c r="B1033" s="4" t="str">
        <f>"20206223509"</f>
        <v>20206223509</v>
      </c>
      <c r="C1033" s="4">
        <v>35</v>
      </c>
      <c r="D1033" s="4">
        <v>9</v>
      </c>
      <c r="E1033" s="4" t="s">
        <v>43</v>
      </c>
      <c r="F1033" s="4" t="str">
        <f>"秦虎"</f>
        <v>秦虎</v>
      </c>
      <c r="G1033" s="4" t="str">
        <f>"男"</f>
        <v>男</v>
      </c>
      <c r="H1033" s="4" t="str">
        <f>"1998-03-24"</f>
        <v>1998-03-24</v>
      </c>
      <c r="I1033" s="4">
        <v>60.1</v>
      </c>
      <c r="J1033" s="5"/>
    </row>
    <row r="1034" spans="1:10">
      <c r="A1034" s="4">
        <v>1030</v>
      </c>
      <c r="B1034" s="4" t="str">
        <f>"20206223510"</f>
        <v>20206223510</v>
      </c>
      <c r="C1034" s="4">
        <v>35</v>
      </c>
      <c r="D1034" s="4">
        <v>10</v>
      </c>
      <c r="E1034" s="4" t="s">
        <v>43</v>
      </c>
      <c r="F1034" s="4" t="str">
        <f>"张冰冰"</f>
        <v>张冰冰</v>
      </c>
      <c r="G1034" s="4" t="str">
        <f t="shared" ref="G1034:G1040" si="43">"女"</f>
        <v>女</v>
      </c>
      <c r="H1034" s="4" t="str">
        <f>"1997-01-24"</f>
        <v>1997-01-24</v>
      </c>
      <c r="I1034" s="4">
        <v>66.1</v>
      </c>
      <c r="J1034" s="5"/>
    </row>
    <row r="1035" spans="1:10">
      <c r="A1035" s="4">
        <v>1031</v>
      </c>
      <c r="B1035" s="4" t="str">
        <f>"20206223511"</f>
        <v>20206223511</v>
      </c>
      <c r="C1035" s="4">
        <v>35</v>
      </c>
      <c r="D1035" s="4">
        <v>11</v>
      </c>
      <c r="E1035" s="4" t="s">
        <v>43</v>
      </c>
      <c r="F1035" s="4" t="str">
        <f>"郭淼"</f>
        <v>郭淼</v>
      </c>
      <c r="G1035" s="4" t="str">
        <f t="shared" si="43"/>
        <v>女</v>
      </c>
      <c r="H1035" s="4" t="str">
        <f>"1995-04-10"</f>
        <v>1995-04-10</v>
      </c>
      <c r="I1035" s="4">
        <v>74.2</v>
      </c>
      <c r="J1035" s="5"/>
    </row>
    <row r="1036" spans="1:10">
      <c r="A1036" s="4">
        <v>1032</v>
      </c>
      <c r="B1036" s="4" t="str">
        <f>"20206223512"</f>
        <v>20206223512</v>
      </c>
      <c r="C1036" s="4">
        <v>35</v>
      </c>
      <c r="D1036" s="4">
        <v>12</v>
      </c>
      <c r="E1036" s="4" t="s">
        <v>43</v>
      </c>
      <c r="F1036" s="4" t="str">
        <f>"汤盼"</f>
        <v>汤盼</v>
      </c>
      <c r="G1036" s="4" t="str">
        <f t="shared" si="43"/>
        <v>女</v>
      </c>
      <c r="H1036" s="4" t="str">
        <f>"1998-05-09"</f>
        <v>1998-05-09</v>
      </c>
      <c r="I1036" s="4">
        <v>55</v>
      </c>
      <c r="J1036" s="5"/>
    </row>
    <row r="1037" spans="1:10">
      <c r="A1037" s="4">
        <v>1033</v>
      </c>
      <c r="B1037" s="4" t="str">
        <f>"20206223513"</f>
        <v>20206223513</v>
      </c>
      <c r="C1037" s="4">
        <v>35</v>
      </c>
      <c r="D1037" s="4">
        <v>13</v>
      </c>
      <c r="E1037" s="4" t="s">
        <v>43</v>
      </c>
      <c r="F1037" s="4" t="str">
        <f>"宋艳"</f>
        <v>宋艳</v>
      </c>
      <c r="G1037" s="4" t="str">
        <f t="shared" si="43"/>
        <v>女</v>
      </c>
      <c r="H1037" s="4" t="str">
        <f>"1997-03-18"</f>
        <v>1997-03-18</v>
      </c>
      <c r="I1037" s="4" t="s">
        <v>12</v>
      </c>
      <c r="J1037" s="5"/>
    </row>
    <row r="1038" spans="1:10">
      <c r="A1038" s="4">
        <v>1034</v>
      </c>
      <c r="B1038" s="4" t="str">
        <f>"20206223514"</f>
        <v>20206223514</v>
      </c>
      <c r="C1038" s="4">
        <v>35</v>
      </c>
      <c r="D1038" s="4">
        <v>14</v>
      </c>
      <c r="E1038" s="4" t="s">
        <v>43</v>
      </c>
      <c r="F1038" s="4" t="str">
        <f>"刘虹霄"</f>
        <v>刘虹霄</v>
      </c>
      <c r="G1038" s="4" t="str">
        <f t="shared" si="43"/>
        <v>女</v>
      </c>
      <c r="H1038" s="4" t="str">
        <f>"1997-05-28"</f>
        <v>1997-05-28</v>
      </c>
      <c r="I1038" s="4">
        <v>51.7</v>
      </c>
      <c r="J1038" s="5"/>
    </row>
    <row r="1039" spans="1:10">
      <c r="A1039" s="4">
        <v>1035</v>
      </c>
      <c r="B1039" s="4" t="str">
        <f>"20206223515"</f>
        <v>20206223515</v>
      </c>
      <c r="C1039" s="4">
        <v>35</v>
      </c>
      <c r="D1039" s="4">
        <v>15</v>
      </c>
      <c r="E1039" s="4" t="s">
        <v>43</v>
      </c>
      <c r="F1039" s="4" t="str">
        <f>"李天焕"</f>
        <v>李天焕</v>
      </c>
      <c r="G1039" s="4" t="str">
        <f t="shared" si="43"/>
        <v>女</v>
      </c>
      <c r="H1039" s="4" t="str">
        <f>"1998-08-18"</f>
        <v>1998-08-18</v>
      </c>
      <c r="I1039" s="4">
        <v>66.1</v>
      </c>
      <c r="J1039" s="5"/>
    </row>
    <row r="1040" spans="1:10">
      <c r="A1040" s="4">
        <v>1036</v>
      </c>
      <c r="B1040" s="4" t="str">
        <f>"20206223516"</f>
        <v>20206223516</v>
      </c>
      <c r="C1040" s="4">
        <v>35</v>
      </c>
      <c r="D1040" s="4">
        <v>16</v>
      </c>
      <c r="E1040" s="4" t="s">
        <v>43</v>
      </c>
      <c r="F1040" s="4" t="str">
        <f>"沈师"</f>
        <v>沈师</v>
      </c>
      <c r="G1040" s="4" t="str">
        <f t="shared" si="43"/>
        <v>女</v>
      </c>
      <c r="H1040" s="4" t="str">
        <f>"1998-11-03"</f>
        <v>1998-11-03</v>
      </c>
      <c r="I1040" s="4">
        <v>76.5</v>
      </c>
      <c r="J1040" s="5"/>
    </row>
    <row r="1041" spans="1:10">
      <c r="A1041" s="4">
        <v>1037</v>
      </c>
      <c r="B1041" s="4" t="str">
        <f>"20206223517"</f>
        <v>20206223517</v>
      </c>
      <c r="C1041" s="4">
        <v>35</v>
      </c>
      <c r="D1041" s="4">
        <v>17</v>
      </c>
      <c r="E1041" s="4" t="s">
        <v>43</v>
      </c>
      <c r="F1041" s="4" t="str">
        <f>"郭九龙"</f>
        <v>郭九龙</v>
      </c>
      <c r="G1041" s="4" t="str">
        <f>"男"</f>
        <v>男</v>
      </c>
      <c r="H1041" s="4" t="str">
        <f>"1997-04-12"</f>
        <v>1997-04-12</v>
      </c>
      <c r="I1041" s="4">
        <v>59.9</v>
      </c>
      <c r="J1041" s="5"/>
    </row>
    <row r="1042" spans="1:10">
      <c r="A1042" s="4">
        <v>1038</v>
      </c>
      <c r="B1042" s="4" t="str">
        <f>"20206223518"</f>
        <v>20206223518</v>
      </c>
      <c r="C1042" s="4">
        <v>35</v>
      </c>
      <c r="D1042" s="4">
        <v>18</v>
      </c>
      <c r="E1042" s="4" t="s">
        <v>43</v>
      </c>
      <c r="F1042" s="4" t="str">
        <f>"范洋洋"</f>
        <v>范洋洋</v>
      </c>
      <c r="G1042" s="4" t="str">
        <f t="shared" ref="G1042:G1056" si="44">"女"</f>
        <v>女</v>
      </c>
      <c r="H1042" s="4" t="str">
        <f>"1996-09-15"</f>
        <v>1996-09-15</v>
      </c>
      <c r="I1042" s="4">
        <v>63.4</v>
      </c>
      <c r="J1042" s="5"/>
    </row>
    <row r="1043" spans="1:10">
      <c r="A1043" s="4">
        <v>1039</v>
      </c>
      <c r="B1043" s="4" t="str">
        <f>"20206223519"</f>
        <v>20206223519</v>
      </c>
      <c r="C1043" s="4">
        <v>35</v>
      </c>
      <c r="D1043" s="4">
        <v>19</v>
      </c>
      <c r="E1043" s="4" t="s">
        <v>43</v>
      </c>
      <c r="F1043" s="4" t="str">
        <f>"王其梦"</f>
        <v>王其梦</v>
      </c>
      <c r="G1043" s="4" t="str">
        <f t="shared" si="44"/>
        <v>女</v>
      </c>
      <c r="H1043" s="4" t="str">
        <f>"1998-06-09"</f>
        <v>1998-06-09</v>
      </c>
      <c r="I1043" s="4">
        <v>65.7</v>
      </c>
      <c r="J1043" s="5"/>
    </row>
    <row r="1044" spans="1:10">
      <c r="A1044" s="4">
        <v>1040</v>
      </c>
      <c r="B1044" s="4" t="str">
        <f>"20206223520"</f>
        <v>20206223520</v>
      </c>
      <c r="C1044" s="4">
        <v>35</v>
      </c>
      <c r="D1044" s="4">
        <v>20</v>
      </c>
      <c r="E1044" s="4" t="s">
        <v>43</v>
      </c>
      <c r="F1044" s="4" t="str">
        <f>"焦延玉"</f>
        <v>焦延玉</v>
      </c>
      <c r="G1044" s="4" t="str">
        <f t="shared" si="44"/>
        <v>女</v>
      </c>
      <c r="H1044" s="4" t="str">
        <f>"1993-12-04"</f>
        <v>1993-12-04</v>
      </c>
      <c r="I1044" s="4">
        <v>53.4</v>
      </c>
      <c r="J1044" s="5"/>
    </row>
    <row r="1045" spans="1:10">
      <c r="A1045" s="4">
        <v>1041</v>
      </c>
      <c r="B1045" s="4" t="str">
        <f>"20206223521"</f>
        <v>20206223521</v>
      </c>
      <c r="C1045" s="4">
        <v>35</v>
      </c>
      <c r="D1045" s="4">
        <v>21</v>
      </c>
      <c r="E1045" s="4" t="s">
        <v>43</v>
      </c>
      <c r="F1045" s="4" t="str">
        <f>"杨珂"</f>
        <v>杨珂</v>
      </c>
      <c r="G1045" s="4" t="str">
        <f t="shared" si="44"/>
        <v>女</v>
      </c>
      <c r="H1045" s="4" t="str">
        <f>"1999-02-26"</f>
        <v>1999-02-26</v>
      </c>
      <c r="I1045" s="4">
        <v>57.4</v>
      </c>
      <c r="J1045" s="5"/>
    </row>
    <row r="1046" spans="1:10">
      <c r="A1046" s="4">
        <v>1042</v>
      </c>
      <c r="B1046" s="4" t="str">
        <f>"20206223522"</f>
        <v>20206223522</v>
      </c>
      <c r="C1046" s="4">
        <v>35</v>
      </c>
      <c r="D1046" s="4">
        <v>22</v>
      </c>
      <c r="E1046" s="4" t="s">
        <v>43</v>
      </c>
      <c r="F1046" s="4" t="str">
        <f>"宗怡萌"</f>
        <v>宗怡萌</v>
      </c>
      <c r="G1046" s="4" t="str">
        <f t="shared" si="44"/>
        <v>女</v>
      </c>
      <c r="H1046" s="4" t="str">
        <f>"1998-10-26"</f>
        <v>1998-10-26</v>
      </c>
      <c r="I1046" s="4">
        <v>51.7</v>
      </c>
      <c r="J1046" s="5"/>
    </row>
    <row r="1047" spans="1:10">
      <c r="A1047" s="4">
        <v>1043</v>
      </c>
      <c r="B1047" s="4" t="str">
        <f>"20206223523"</f>
        <v>20206223523</v>
      </c>
      <c r="C1047" s="4">
        <v>35</v>
      </c>
      <c r="D1047" s="4">
        <v>23</v>
      </c>
      <c r="E1047" s="4" t="s">
        <v>43</v>
      </c>
      <c r="F1047" s="4" t="str">
        <f>"张硕"</f>
        <v>张硕</v>
      </c>
      <c r="G1047" s="4" t="str">
        <f t="shared" si="44"/>
        <v>女</v>
      </c>
      <c r="H1047" s="4" t="str">
        <f>"1998-09-10"</f>
        <v>1998-09-10</v>
      </c>
      <c r="I1047" s="4">
        <v>63.1</v>
      </c>
      <c r="J1047" s="5"/>
    </row>
    <row r="1048" spans="1:10">
      <c r="A1048" s="4">
        <v>1044</v>
      </c>
      <c r="B1048" s="4" t="str">
        <f>"20206223524"</f>
        <v>20206223524</v>
      </c>
      <c r="C1048" s="4">
        <v>35</v>
      </c>
      <c r="D1048" s="4">
        <v>24</v>
      </c>
      <c r="E1048" s="4" t="s">
        <v>43</v>
      </c>
      <c r="F1048" s="4" t="str">
        <f>"秦浩阳"</f>
        <v>秦浩阳</v>
      </c>
      <c r="G1048" s="4" t="str">
        <f t="shared" si="44"/>
        <v>女</v>
      </c>
      <c r="H1048" s="4" t="str">
        <f>"1997-09-16"</f>
        <v>1997-09-16</v>
      </c>
      <c r="I1048" s="4">
        <v>77.9</v>
      </c>
      <c r="J1048" s="5"/>
    </row>
    <row r="1049" spans="1:10">
      <c r="A1049" s="4">
        <v>1045</v>
      </c>
      <c r="B1049" s="4" t="str">
        <f>"20206223525"</f>
        <v>20206223525</v>
      </c>
      <c r="C1049" s="4">
        <v>35</v>
      </c>
      <c r="D1049" s="4">
        <v>25</v>
      </c>
      <c r="E1049" s="4" t="s">
        <v>43</v>
      </c>
      <c r="F1049" s="4" t="str">
        <f>"郑贵君"</f>
        <v>郑贵君</v>
      </c>
      <c r="G1049" s="4" t="str">
        <f t="shared" si="44"/>
        <v>女</v>
      </c>
      <c r="H1049" s="4" t="str">
        <f>"1997-08-24"</f>
        <v>1997-08-24</v>
      </c>
      <c r="I1049" s="4">
        <v>50.4</v>
      </c>
      <c r="J1049" s="5"/>
    </row>
    <row r="1050" spans="1:10">
      <c r="A1050" s="4">
        <v>1046</v>
      </c>
      <c r="B1050" s="4" t="str">
        <f>"20206223526"</f>
        <v>20206223526</v>
      </c>
      <c r="C1050" s="4">
        <v>35</v>
      </c>
      <c r="D1050" s="4">
        <v>26</v>
      </c>
      <c r="E1050" s="4" t="s">
        <v>43</v>
      </c>
      <c r="F1050" s="4" t="str">
        <f>"杨楠"</f>
        <v>杨楠</v>
      </c>
      <c r="G1050" s="4" t="str">
        <f t="shared" si="44"/>
        <v>女</v>
      </c>
      <c r="H1050" s="4" t="str">
        <f>"1998-04-07"</f>
        <v>1998-04-07</v>
      </c>
      <c r="I1050" s="4">
        <v>59</v>
      </c>
      <c r="J1050" s="5"/>
    </row>
    <row r="1051" spans="1:10">
      <c r="A1051" s="4">
        <v>1047</v>
      </c>
      <c r="B1051" s="4" t="str">
        <f>"20206223527"</f>
        <v>20206223527</v>
      </c>
      <c r="C1051" s="4">
        <v>35</v>
      </c>
      <c r="D1051" s="4">
        <v>27</v>
      </c>
      <c r="E1051" s="4" t="s">
        <v>43</v>
      </c>
      <c r="F1051" s="4" t="str">
        <f>"张静"</f>
        <v>张静</v>
      </c>
      <c r="G1051" s="4" t="str">
        <f t="shared" si="44"/>
        <v>女</v>
      </c>
      <c r="H1051" s="4" t="str">
        <f>"1994-01-04"</f>
        <v>1994-01-04</v>
      </c>
      <c r="I1051" s="4">
        <v>63.7</v>
      </c>
      <c r="J1051" s="5"/>
    </row>
    <row r="1052" spans="1:10">
      <c r="A1052" s="4">
        <v>1048</v>
      </c>
      <c r="B1052" s="4" t="str">
        <f>"20206223528"</f>
        <v>20206223528</v>
      </c>
      <c r="C1052" s="4">
        <v>35</v>
      </c>
      <c r="D1052" s="4">
        <v>28</v>
      </c>
      <c r="E1052" s="4" t="s">
        <v>43</v>
      </c>
      <c r="F1052" s="4" t="str">
        <f>"魏凤娇"</f>
        <v>魏凤娇</v>
      </c>
      <c r="G1052" s="4" t="str">
        <f t="shared" si="44"/>
        <v>女</v>
      </c>
      <c r="H1052" s="4" t="str">
        <f>"1995-03-25"</f>
        <v>1995-03-25</v>
      </c>
      <c r="I1052" s="4" t="s">
        <v>12</v>
      </c>
      <c r="J1052" s="5"/>
    </row>
    <row r="1053" spans="1:10">
      <c r="A1053" s="4">
        <v>1049</v>
      </c>
      <c r="B1053" s="4" t="str">
        <f>"20206223529"</f>
        <v>20206223529</v>
      </c>
      <c r="C1053" s="4">
        <v>35</v>
      </c>
      <c r="D1053" s="4">
        <v>29</v>
      </c>
      <c r="E1053" s="4" t="s">
        <v>43</v>
      </c>
      <c r="F1053" s="4" t="str">
        <f>"赵璇"</f>
        <v>赵璇</v>
      </c>
      <c r="G1053" s="4" t="str">
        <f t="shared" si="44"/>
        <v>女</v>
      </c>
      <c r="H1053" s="4" t="str">
        <f>"1995-06-06"</f>
        <v>1995-06-06</v>
      </c>
      <c r="I1053" s="4">
        <v>73.9</v>
      </c>
      <c r="J1053" s="5"/>
    </row>
    <row r="1054" spans="1:10">
      <c r="A1054" s="4">
        <v>1050</v>
      </c>
      <c r="B1054" s="4" t="str">
        <f>"20206223530"</f>
        <v>20206223530</v>
      </c>
      <c r="C1054" s="4">
        <v>35</v>
      </c>
      <c r="D1054" s="4">
        <v>30</v>
      </c>
      <c r="E1054" s="4" t="s">
        <v>43</v>
      </c>
      <c r="F1054" s="4" t="str">
        <f>"王慧贤"</f>
        <v>王慧贤</v>
      </c>
      <c r="G1054" s="4" t="str">
        <f t="shared" si="44"/>
        <v>女</v>
      </c>
      <c r="H1054" s="4" t="str">
        <f>"1995-09-06"</f>
        <v>1995-09-06</v>
      </c>
      <c r="I1054" s="4">
        <v>70.5</v>
      </c>
      <c r="J1054" s="5"/>
    </row>
    <row r="1055" spans="1:10">
      <c r="A1055" s="4">
        <v>1051</v>
      </c>
      <c r="B1055" s="4" t="str">
        <f>"20206223601"</f>
        <v>20206223601</v>
      </c>
      <c r="C1055" s="4">
        <v>36</v>
      </c>
      <c r="D1055" s="4">
        <v>1</v>
      </c>
      <c r="E1055" s="4" t="s">
        <v>43</v>
      </c>
      <c r="F1055" s="4" t="str">
        <f>"刘丹"</f>
        <v>刘丹</v>
      </c>
      <c r="G1055" s="4" t="str">
        <f t="shared" si="44"/>
        <v>女</v>
      </c>
      <c r="H1055" s="4" t="str">
        <f>"1996-06-03"</f>
        <v>1996-06-03</v>
      </c>
      <c r="I1055" s="4" t="s">
        <v>12</v>
      </c>
      <c r="J1055" s="5"/>
    </row>
    <row r="1056" spans="1:10">
      <c r="A1056" s="4">
        <v>1052</v>
      </c>
      <c r="B1056" s="4" t="str">
        <f>"20206223602"</f>
        <v>20206223602</v>
      </c>
      <c r="C1056" s="4">
        <v>36</v>
      </c>
      <c r="D1056" s="4">
        <v>2</v>
      </c>
      <c r="E1056" s="4" t="s">
        <v>43</v>
      </c>
      <c r="F1056" s="4" t="str">
        <f>"符晨阳"</f>
        <v>符晨阳</v>
      </c>
      <c r="G1056" s="4" t="str">
        <f t="shared" si="44"/>
        <v>女</v>
      </c>
      <c r="H1056" s="4" t="str">
        <f>"1996-11-12"</f>
        <v>1996-11-12</v>
      </c>
      <c r="I1056" s="4">
        <v>61.5</v>
      </c>
      <c r="J1056" s="5"/>
    </row>
    <row r="1057" spans="1:10">
      <c r="A1057" s="4">
        <v>1053</v>
      </c>
      <c r="B1057" s="4" t="str">
        <f>"20206223603"</f>
        <v>20206223603</v>
      </c>
      <c r="C1057" s="4">
        <v>36</v>
      </c>
      <c r="D1057" s="4">
        <v>3</v>
      </c>
      <c r="E1057" s="4" t="s">
        <v>43</v>
      </c>
      <c r="F1057" s="4" t="str">
        <f>"沈宗鹏"</f>
        <v>沈宗鹏</v>
      </c>
      <c r="G1057" s="4" t="str">
        <f>"男"</f>
        <v>男</v>
      </c>
      <c r="H1057" s="4" t="str">
        <f>"1999-04-03"</f>
        <v>1999-04-03</v>
      </c>
      <c r="I1057" s="4">
        <v>64.1</v>
      </c>
      <c r="J1057" s="5"/>
    </row>
    <row r="1058" spans="1:10">
      <c r="A1058" s="4">
        <v>1054</v>
      </c>
      <c r="B1058" s="4" t="str">
        <f>"20206223604"</f>
        <v>20206223604</v>
      </c>
      <c r="C1058" s="4">
        <v>36</v>
      </c>
      <c r="D1058" s="4">
        <v>4</v>
      </c>
      <c r="E1058" s="4" t="s">
        <v>43</v>
      </c>
      <c r="F1058" s="4" t="str">
        <f>"李峰"</f>
        <v>李峰</v>
      </c>
      <c r="G1058" s="4" t="str">
        <f>"男"</f>
        <v>男</v>
      </c>
      <c r="H1058" s="4" t="str">
        <f>"1995-09-08"</f>
        <v>1995-09-08</v>
      </c>
      <c r="I1058" s="4">
        <v>74.4</v>
      </c>
      <c r="J1058" s="5"/>
    </row>
    <row r="1059" spans="1:10">
      <c r="A1059" s="4">
        <v>1055</v>
      </c>
      <c r="B1059" s="4" t="str">
        <f>"20206223605"</f>
        <v>20206223605</v>
      </c>
      <c r="C1059" s="4">
        <v>36</v>
      </c>
      <c r="D1059" s="4">
        <v>5</v>
      </c>
      <c r="E1059" s="4" t="s">
        <v>43</v>
      </c>
      <c r="F1059" s="4" t="str">
        <f>"王喜悦"</f>
        <v>王喜悦</v>
      </c>
      <c r="G1059" s="4" t="str">
        <f t="shared" ref="G1059:G1065" si="45">"女"</f>
        <v>女</v>
      </c>
      <c r="H1059" s="4" t="str">
        <f>"1996-10-02"</f>
        <v>1996-10-02</v>
      </c>
      <c r="I1059" s="4">
        <v>57</v>
      </c>
      <c r="J1059" s="5"/>
    </row>
    <row r="1060" spans="1:10">
      <c r="A1060" s="4">
        <v>1056</v>
      </c>
      <c r="B1060" s="4" t="str">
        <f>"20206223606"</f>
        <v>20206223606</v>
      </c>
      <c r="C1060" s="4">
        <v>36</v>
      </c>
      <c r="D1060" s="4">
        <v>6</v>
      </c>
      <c r="E1060" s="4" t="s">
        <v>43</v>
      </c>
      <c r="F1060" s="4" t="str">
        <f>"张艺"</f>
        <v>张艺</v>
      </c>
      <c r="G1060" s="4" t="str">
        <f t="shared" si="45"/>
        <v>女</v>
      </c>
      <c r="H1060" s="4" t="str">
        <f>"1996-10-06"</f>
        <v>1996-10-06</v>
      </c>
      <c r="I1060" s="4">
        <v>77.9</v>
      </c>
      <c r="J1060" s="5"/>
    </row>
    <row r="1061" spans="1:10">
      <c r="A1061" s="4">
        <v>1057</v>
      </c>
      <c r="B1061" s="4" t="str">
        <f>"20206223607"</f>
        <v>20206223607</v>
      </c>
      <c r="C1061" s="4">
        <v>36</v>
      </c>
      <c r="D1061" s="4">
        <v>7</v>
      </c>
      <c r="E1061" s="4" t="s">
        <v>43</v>
      </c>
      <c r="F1061" s="4" t="str">
        <f>"柴增萍"</f>
        <v>柴增萍</v>
      </c>
      <c r="G1061" s="4" t="str">
        <f t="shared" si="45"/>
        <v>女</v>
      </c>
      <c r="H1061" s="4" t="str">
        <f>"1996-09-16"</f>
        <v>1996-09-16</v>
      </c>
      <c r="I1061" s="4">
        <v>65.4</v>
      </c>
      <c r="J1061" s="5"/>
    </row>
    <row r="1062" spans="1:10">
      <c r="A1062" s="4">
        <v>1058</v>
      </c>
      <c r="B1062" s="4" t="str">
        <f>"20206223608"</f>
        <v>20206223608</v>
      </c>
      <c r="C1062" s="4">
        <v>36</v>
      </c>
      <c r="D1062" s="4">
        <v>8</v>
      </c>
      <c r="E1062" s="4" t="s">
        <v>43</v>
      </c>
      <c r="F1062" s="4" t="str">
        <f>"林珂"</f>
        <v>林珂</v>
      </c>
      <c r="G1062" s="4" t="str">
        <f t="shared" si="45"/>
        <v>女</v>
      </c>
      <c r="H1062" s="4" t="str">
        <f>"1998-04-21"</f>
        <v>1998-04-21</v>
      </c>
      <c r="I1062" s="4">
        <v>49.8</v>
      </c>
      <c r="J1062" s="5"/>
    </row>
    <row r="1063" spans="1:10">
      <c r="A1063" s="4">
        <v>1059</v>
      </c>
      <c r="B1063" s="4" t="str">
        <f>"20206223609"</f>
        <v>20206223609</v>
      </c>
      <c r="C1063" s="4">
        <v>36</v>
      </c>
      <c r="D1063" s="4">
        <v>9</v>
      </c>
      <c r="E1063" s="4" t="s">
        <v>43</v>
      </c>
      <c r="F1063" s="4" t="str">
        <f>"杨兴幸"</f>
        <v>杨兴幸</v>
      </c>
      <c r="G1063" s="4" t="str">
        <f t="shared" si="45"/>
        <v>女</v>
      </c>
      <c r="H1063" s="4" t="str">
        <f>"1998-03-03"</f>
        <v>1998-03-03</v>
      </c>
      <c r="I1063" s="4">
        <v>65.5</v>
      </c>
      <c r="J1063" s="5"/>
    </row>
    <row r="1064" spans="1:10">
      <c r="A1064" s="4">
        <v>1060</v>
      </c>
      <c r="B1064" s="4" t="str">
        <f>"20206223610"</f>
        <v>20206223610</v>
      </c>
      <c r="C1064" s="4">
        <v>36</v>
      </c>
      <c r="D1064" s="4">
        <v>10</v>
      </c>
      <c r="E1064" s="4" t="s">
        <v>43</v>
      </c>
      <c r="F1064" s="4" t="str">
        <f>"王莹"</f>
        <v>王莹</v>
      </c>
      <c r="G1064" s="4" t="str">
        <f t="shared" si="45"/>
        <v>女</v>
      </c>
      <c r="H1064" s="4" t="str">
        <f>"1998-03-20"</f>
        <v>1998-03-20</v>
      </c>
      <c r="I1064" s="4">
        <v>67.1</v>
      </c>
      <c r="J1064" s="5"/>
    </row>
    <row r="1065" spans="1:10">
      <c r="A1065" s="4">
        <v>1061</v>
      </c>
      <c r="B1065" s="4" t="str">
        <f>"20206223611"</f>
        <v>20206223611</v>
      </c>
      <c r="C1065" s="4">
        <v>36</v>
      </c>
      <c r="D1065" s="4">
        <v>11</v>
      </c>
      <c r="E1065" s="4" t="s">
        <v>43</v>
      </c>
      <c r="F1065" s="4" t="str">
        <f>"岳钰彬"</f>
        <v>岳钰彬</v>
      </c>
      <c r="G1065" s="4" t="str">
        <f t="shared" si="45"/>
        <v>女</v>
      </c>
      <c r="H1065" s="4" t="str">
        <f>"1997-11-03"</f>
        <v>1997-11-03</v>
      </c>
      <c r="I1065" s="4">
        <v>45.3</v>
      </c>
      <c r="J1065" s="5"/>
    </row>
    <row r="1066" spans="1:10">
      <c r="A1066" s="4">
        <v>1062</v>
      </c>
      <c r="B1066" s="4" t="str">
        <f>"20206223612"</f>
        <v>20206223612</v>
      </c>
      <c r="C1066" s="4">
        <v>36</v>
      </c>
      <c r="D1066" s="4">
        <v>12</v>
      </c>
      <c r="E1066" s="4" t="s">
        <v>43</v>
      </c>
      <c r="F1066" s="4" t="str">
        <f>"张则荣"</f>
        <v>张则荣</v>
      </c>
      <c r="G1066" s="4" t="str">
        <f>"男"</f>
        <v>男</v>
      </c>
      <c r="H1066" s="4" t="str">
        <f>"1998-08-11"</f>
        <v>1998-08-11</v>
      </c>
      <c r="I1066" s="4">
        <v>59.8</v>
      </c>
      <c r="J1066" s="5"/>
    </row>
    <row r="1067" spans="1:10">
      <c r="A1067" s="4">
        <v>1063</v>
      </c>
      <c r="B1067" s="4" t="str">
        <f>"20206223613"</f>
        <v>20206223613</v>
      </c>
      <c r="C1067" s="4">
        <v>36</v>
      </c>
      <c r="D1067" s="4">
        <v>13</v>
      </c>
      <c r="E1067" s="4" t="s">
        <v>43</v>
      </c>
      <c r="F1067" s="4" t="str">
        <f>"贾赢君"</f>
        <v>贾赢君</v>
      </c>
      <c r="G1067" s="4" t="str">
        <f>"女"</f>
        <v>女</v>
      </c>
      <c r="H1067" s="4" t="str">
        <f>"1994-08-04"</f>
        <v>1994-08-04</v>
      </c>
      <c r="I1067" s="4">
        <v>56.3</v>
      </c>
      <c r="J1067" s="5"/>
    </row>
    <row r="1068" spans="1:10">
      <c r="A1068" s="4">
        <v>1064</v>
      </c>
      <c r="B1068" s="4" t="str">
        <f>"20206223614"</f>
        <v>20206223614</v>
      </c>
      <c r="C1068" s="4">
        <v>36</v>
      </c>
      <c r="D1068" s="4">
        <v>14</v>
      </c>
      <c r="E1068" s="4" t="s">
        <v>43</v>
      </c>
      <c r="F1068" s="4" t="str">
        <f>"秦楠楠"</f>
        <v>秦楠楠</v>
      </c>
      <c r="G1068" s="4" t="str">
        <f>"女"</f>
        <v>女</v>
      </c>
      <c r="H1068" s="4" t="str">
        <f>"1993-03-22"</f>
        <v>1993-03-22</v>
      </c>
      <c r="I1068" s="4">
        <v>54.1</v>
      </c>
      <c r="J1068" s="5"/>
    </row>
    <row r="1069" spans="1:10">
      <c r="A1069" s="4">
        <v>1065</v>
      </c>
      <c r="B1069" s="4" t="str">
        <f>"20206223615"</f>
        <v>20206223615</v>
      </c>
      <c r="C1069" s="4">
        <v>36</v>
      </c>
      <c r="D1069" s="4">
        <v>15</v>
      </c>
      <c r="E1069" s="4" t="s">
        <v>43</v>
      </c>
      <c r="F1069" s="4" t="str">
        <f>"张闪闪"</f>
        <v>张闪闪</v>
      </c>
      <c r="G1069" s="4" t="str">
        <f>"女"</f>
        <v>女</v>
      </c>
      <c r="H1069" s="4" t="str">
        <f>"1994-12-05"</f>
        <v>1994-12-05</v>
      </c>
      <c r="I1069" s="4">
        <v>60.8</v>
      </c>
      <c r="J1069" s="5"/>
    </row>
    <row r="1070" spans="1:10">
      <c r="A1070" s="4">
        <v>1066</v>
      </c>
      <c r="B1070" s="4" t="str">
        <f>"20206223616"</f>
        <v>20206223616</v>
      </c>
      <c r="C1070" s="4">
        <v>36</v>
      </c>
      <c r="D1070" s="4">
        <v>16</v>
      </c>
      <c r="E1070" s="4" t="s">
        <v>43</v>
      </c>
      <c r="F1070" s="4" t="str">
        <f>"张天继"</f>
        <v>张天继</v>
      </c>
      <c r="G1070" s="4" t="str">
        <f>"男"</f>
        <v>男</v>
      </c>
      <c r="H1070" s="4" t="str">
        <f>"1995-01-11"</f>
        <v>1995-01-11</v>
      </c>
      <c r="I1070" s="4" t="s">
        <v>12</v>
      </c>
      <c r="J1070" s="5"/>
    </row>
    <row r="1071" spans="1:10">
      <c r="A1071" s="4">
        <v>1067</v>
      </c>
      <c r="B1071" s="4" t="str">
        <f>"20206223617"</f>
        <v>20206223617</v>
      </c>
      <c r="C1071" s="4">
        <v>36</v>
      </c>
      <c r="D1071" s="4">
        <v>17</v>
      </c>
      <c r="E1071" s="4" t="s">
        <v>43</v>
      </c>
      <c r="F1071" s="4" t="str">
        <f>"昝宇"</f>
        <v>昝宇</v>
      </c>
      <c r="G1071" s="4" t="str">
        <f>"女"</f>
        <v>女</v>
      </c>
      <c r="H1071" s="4" t="str">
        <f>"1997-03-01"</f>
        <v>1997-03-01</v>
      </c>
      <c r="I1071" s="4">
        <v>71.5</v>
      </c>
      <c r="J1071" s="5"/>
    </row>
    <row r="1072" spans="1:10">
      <c r="A1072" s="4">
        <v>1068</v>
      </c>
      <c r="B1072" s="4" t="str">
        <f>"20206223618"</f>
        <v>20206223618</v>
      </c>
      <c r="C1072" s="4">
        <v>36</v>
      </c>
      <c r="D1072" s="4">
        <v>18</v>
      </c>
      <c r="E1072" s="4" t="s">
        <v>43</v>
      </c>
      <c r="F1072" s="4" t="str">
        <f>"王迪"</f>
        <v>王迪</v>
      </c>
      <c r="G1072" s="4" t="str">
        <f>"女"</f>
        <v>女</v>
      </c>
      <c r="H1072" s="4" t="str">
        <f>"1995-05-06"</f>
        <v>1995-05-06</v>
      </c>
      <c r="I1072" s="4">
        <v>56</v>
      </c>
      <c r="J1072" s="5"/>
    </row>
    <row r="1073" spans="1:10">
      <c r="A1073" s="4">
        <v>1069</v>
      </c>
      <c r="B1073" s="4" t="str">
        <f>"20206223619"</f>
        <v>20206223619</v>
      </c>
      <c r="C1073" s="4">
        <v>36</v>
      </c>
      <c r="D1073" s="4">
        <v>19</v>
      </c>
      <c r="E1073" s="4" t="s">
        <v>43</v>
      </c>
      <c r="F1073" s="4" t="str">
        <f>"王艳秋"</f>
        <v>王艳秋</v>
      </c>
      <c r="G1073" s="4" t="str">
        <f>"女"</f>
        <v>女</v>
      </c>
      <c r="H1073" s="4" t="str">
        <f>"1998-01-06"</f>
        <v>1998-01-06</v>
      </c>
      <c r="I1073" s="4">
        <v>50.9</v>
      </c>
      <c r="J1073" s="5"/>
    </row>
    <row r="1074" spans="1:10">
      <c r="A1074" s="4">
        <v>1070</v>
      </c>
      <c r="B1074" s="4" t="str">
        <f>"20206223620"</f>
        <v>20206223620</v>
      </c>
      <c r="C1074" s="4">
        <v>36</v>
      </c>
      <c r="D1074" s="4">
        <v>20</v>
      </c>
      <c r="E1074" s="4" t="s">
        <v>43</v>
      </c>
      <c r="F1074" s="4" t="str">
        <f>"陆文卿"</f>
        <v>陆文卿</v>
      </c>
      <c r="G1074" s="4" t="str">
        <f>"男"</f>
        <v>男</v>
      </c>
      <c r="H1074" s="4" t="str">
        <f>"1998-07-27"</f>
        <v>1998-07-27</v>
      </c>
      <c r="I1074" s="4">
        <v>56</v>
      </c>
      <c r="J1074" s="5"/>
    </row>
    <row r="1075" spans="1:10">
      <c r="A1075" s="4">
        <v>1071</v>
      </c>
      <c r="B1075" s="4" t="str">
        <f>"20206223621"</f>
        <v>20206223621</v>
      </c>
      <c r="C1075" s="4">
        <v>36</v>
      </c>
      <c r="D1075" s="4">
        <v>21</v>
      </c>
      <c r="E1075" s="4" t="s">
        <v>43</v>
      </c>
      <c r="F1075" s="4" t="str">
        <f>"董学博"</f>
        <v>董学博</v>
      </c>
      <c r="G1075" s="4" t="str">
        <f>"女"</f>
        <v>女</v>
      </c>
      <c r="H1075" s="4" t="str">
        <f>"1998-03-22"</f>
        <v>1998-03-22</v>
      </c>
      <c r="I1075" s="4">
        <v>52.2</v>
      </c>
      <c r="J1075" s="5"/>
    </row>
    <row r="1076" spans="1:10">
      <c r="A1076" s="4">
        <v>1072</v>
      </c>
      <c r="B1076" s="4" t="str">
        <f>"20206223622"</f>
        <v>20206223622</v>
      </c>
      <c r="C1076" s="4">
        <v>36</v>
      </c>
      <c r="D1076" s="4">
        <v>22</v>
      </c>
      <c r="E1076" s="4" t="s">
        <v>43</v>
      </c>
      <c r="F1076" s="4" t="str">
        <f>"王娟"</f>
        <v>王娟</v>
      </c>
      <c r="G1076" s="4" t="str">
        <f>"女"</f>
        <v>女</v>
      </c>
      <c r="H1076" s="4" t="str">
        <f>"1997-03-28"</f>
        <v>1997-03-28</v>
      </c>
      <c r="I1076" s="4">
        <v>45.7</v>
      </c>
      <c r="J1076" s="5"/>
    </row>
    <row r="1077" spans="1:10">
      <c r="A1077" s="4">
        <v>1073</v>
      </c>
      <c r="B1077" s="4" t="str">
        <f>"20206223623"</f>
        <v>20206223623</v>
      </c>
      <c r="C1077" s="4">
        <v>36</v>
      </c>
      <c r="D1077" s="4">
        <v>23</v>
      </c>
      <c r="E1077" s="4" t="s">
        <v>43</v>
      </c>
      <c r="F1077" s="4" t="str">
        <f>"王珂"</f>
        <v>王珂</v>
      </c>
      <c r="G1077" s="4" t="str">
        <f>"女"</f>
        <v>女</v>
      </c>
      <c r="H1077" s="4" t="str">
        <f>"1998-02-10"</f>
        <v>1998-02-10</v>
      </c>
      <c r="I1077" s="4">
        <v>63</v>
      </c>
      <c r="J1077" s="5"/>
    </row>
    <row r="1078" spans="1:10">
      <c r="A1078" s="4">
        <v>1074</v>
      </c>
      <c r="B1078" s="4" t="str">
        <f>"20206223624"</f>
        <v>20206223624</v>
      </c>
      <c r="C1078" s="4">
        <v>36</v>
      </c>
      <c r="D1078" s="4">
        <v>24</v>
      </c>
      <c r="E1078" s="4" t="s">
        <v>43</v>
      </c>
      <c r="F1078" s="4" t="str">
        <f>"王媛媛"</f>
        <v>王媛媛</v>
      </c>
      <c r="G1078" s="4" t="str">
        <f>"女"</f>
        <v>女</v>
      </c>
      <c r="H1078" s="4" t="str">
        <f>"1998-04-01"</f>
        <v>1998-04-01</v>
      </c>
      <c r="I1078" s="4">
        <v>66.1</v>
      </c>
      <c r="J1078" s="5"/>
    </row>
    <row r="1079" spans="1:10">
      <c r="A1079" s="4">
        <v>1075</v>
      </c>
      <c r="B1079" s="4" t="str">
        <f>"20206223625"</f>
        <v>20206223625</v>
      </c>
      <c r="C1079" s="4">
        <v>36</v>
      </c>
      <c r="D1079" s="4">
        <v>25</v>
      </c>
      <c r="E1079" s="4" t="s">
        <v>43</v>
      </c>
      <c r="F1079" s="4" t="str">
        <f>"王彦翠"</f>
        <v>王彦翠</v>
      </c>
      <c r="G1079" s="4" t="str">
        <f>"女"</f>
        <v>女</v>
      </c>
      <c r="H1079" s="4" t="str">
        <f>"1997-06-14"</f>
        <v>1997-06-14</v>
      </c>
      <c r="I1079" s="4">
        <v>72</v>
      </c>
      <c r="J1079" s="5"/>
    </row>
    <row r="1080" spans="1:10">
      <c r="A1080" s="4">
        <v>1076</v>
      </c>
      <c r="B1080" s="4" t="str">
        <f>"20206223626"</f>
        <v>20206223626</v>
      </c>
      <c r="C1080" s="4">
        <v>36</v>
      </c>
      <c r="D1080" s="4">
        <v>26</v>
      </c>
      <c r="E1080" s="4" t="s">
        <v>43</v>
      </c>
      <c r="F1080" s="4" t="str">
        <f>"潘皓"</f>
        <v>潘皓</v>
      </c>
      <c r="G1080" s="4" t="str">
        <f>"男"</f>
        <v>男</v>
      </c>
      <c r="H1080" s="4" t="str">
        <f>"1996-09-21"</f>
        <v>1996-09-21</v>
      </c>
      <c r="I1080" s="4">
        <v>54.3</v>
      </c>
      <c r="J1080" s="5"/>
    </row>
    <row r="1081" spans="1:10">
      <c r="A1081" s="4">
        <v>1077</v>
      </c>
      <c r="B1081" s="4" t="str">
        <f>"20206223627"</f>
        <v>20206223627</v>
      </c>
      <c r="C1081" s="4">
        <v>36</v>
      </c>
      <c r="D1081" s="4">
        <v>27</v>
      </c>
      <c r="E1081" s="4" t="s">
        <v>43</v>
      </c>
      <c r="F1081" s="4" t="str">
        <f>"罗凯茹"</f>
        <v>罗凯茹</v>
      </c>
      <c r="G1081" s="4" t="str">
        <f t="shared" ref="G1081:G1094" si="46">"女"</f>
        <v>女</v>
      </c>
      <c r="H1081" s="4" t="str">
        <f>"1998-07-24"</f>
        <v>1998-07-24</v>
      </c>
      <c r="I1081" s="4">
        <v>62.9</v>
      </c>
      <c r="J1081" s="5"/>
    </row>
    <row r="1082" spans="1:10">
      <c r="A1082" s="4">
        <v>1078</v>
      </c>
      <c r="B1082" s="4" t="str">
        <f>"20206223628"</f>
        <v>20206223628</v>
      </c>
      <c r="C1082" s="4">
        <v>36</v>
      </c>
      <c r="D1082" s="4">
        <v>28</v>
      </c>
      <c r="E1082" s="4" t="s">
        <v>43</v>
      </c>
      <c r="F1082" s="4" t="str">
        <f>"米攀攀"</f>
        <v>米攀攀</v>
      </c>
      <c r="G1082" s="4" t="str">
        <f t="shared" si="46"/>
        <v>女</v>
      </c>
      <c r="H1082" s="4" t="str">
        <f>"1997-02-05"</f>
        <v>1997-02-05</v>
      </c>
      <c r="I1082" s="4">
        <v>58</v>
      </c>
      <c r="J1082" s="5"/>
    </row>
    <row r="1083" spans="1:10">
      <c r="A1083" s="4">
        <v>1079</v>
      </c>
      <c r="B1083" s="4" t="str">
        <f>"20206223629"</f>
        <v>20206223629</v>
      </c>
      <c r="C1083" s="4">
        <v>36</v>
      </c>
      <c r="D1083" s="4">
        <v>29</v>
      </c>
      <c r="E1083" s="4" t="s">
        <v>43</v>
      </c>
      <c r="F1083" s="4" t="str">
        <f>"付丽媛"</f>
        <v>付丽媛</v>
      </c>
      <c r="G1083" s="4" t="str">
        <f t="shared" si="46"/>
        <v>女</v>
      </c>
      <c r="H1083" s="4" t="str">
        <f>"1996-10-01"</f>
        <v>1996-10-01</v>
      </c>
      <c r="I1083" s="4">
        <v>74.8</v>
      </c>
      <c r="J1083" s="5"/>
    </row>
    <row r="1084" spans="1:10">
      <c r="A1084" s="4">
        <v>1080</v>
      </c>
      <c r="B1084" s="4" t="str">
        <f>"20206223630"</f>
        <v>20206223630</v>
      </c>
      <c r="C1084" s="4">
        <v>36</v>
      </c>
      <c r="D1084" s="4">
        <v>30</v>
      </c>
      <c r="E1084" s="4" t="s">
        <v>43</v>
      </c>
      <c r="F1084" s="4" t="str">
        <f>"宋曼丽"</f>
        <v>宋曼丽</v>
      </c>
      <c r="G1084" s="4" t="str">
        <f t="shared" si="46"/>
        <v>女</v>
      </c>
      <c r="H1084" s="4" t="str">
        <f>"1996-12-25"</f>
        <v>1996-12-25</v>
      </c>
      <c r="I1084" s="4">
        <v>74.1</v>
      </c>
      <c r="J1084" s="5"/>
    </row>
    <row r="1085" spans="1:10">
      <c r="A1085" s="4">
        <v>1081</v>
      </c>
      <c r="B1085" s="4" t="str">
        <f>"20206223701"</f>
        <v>20206223701</v>
      </c>
      <c r="C1085" s="4">
        <v>37</v>
      </c>
      <c r="D1085" s="4">
        <v>1</v>
      </c>
      <c r="E1085" s="4" t="s">
        <v>43</v>
      </c>
      <c r="F1085" s="4" t="str">
        <f>"朱俊乐"</f>
        <v>朱俊乐</v>
      </c>
      <c r="G1085" s="4" t="str">
        <f t="shared" si="46"/>
        <v>女</v>
      </c>
      <c r="H1085" s="4" t="str">
        <f>"1998-06-09"</f>
        <v>1998-06-09</v>
      </c>
      <c r="I1085" s="4">
        <v>70.4</v>
      </c>
      <c r="J1085" s="5"/>
    </row>
    <row r="1086" spans="1:10">
      <c r="A1086" s="4">
        <v>1082</v>
      </c>
      <c r="B1086" s="4" t="str">
        <f>"20206223702"</f>
        <v>20206223702</v>
      </c>
      <c r="C1086" s="4">
        <v>37</v>
      </c>
      <c r="D1086" s="4">
        <v>2</v>
      </c>
      <c r="E1086" s="4" t="s">
        <v>43</v>
      </c>
      <c r="F1086" s="4" t="str">
        <f>"崔盛楠"</f>
        <v>崔盛楠</v>
      </c>
      <c r="G1086" s="4" t="str">
        <f t="shared" si="46"/>
        <v>女</v>
      </c>
      <c r="H1086" s="4" t="str">
        <f>"1994-07-08"</f>
        <v>1994-07-08</v>
      </c>
      <c r="I1086" s="4">
        <v>75.2</v>
      </c>
      <c r="J1086" s="5"/>
    </row>
    <row r="1087" spans="1:10">
      <c r="A1087" s="4">
        <v>1083</v>
      </c>
      <c r="B1087" s="4" t="str">
        <f>"20206223703"</f>
        <v>20206223703</v>
      </c>
      <c r="C1087" s="4">
        <v>37</v>
      </c>
      <c r="D1087" s="4">
        <v>3</v>
      </c>
      <c r="E1087" s="4" t="s">
        <v>43</v>
      </c>
      <c r="F1087" s="4" t="str">
        <f>"朱林"</f>
        <v>朱林</v>
      </c>
      <c r="G1087" s="4" t="str">
        <f t="shared" si="46"/>
        <v>女</v>
      </c>
      <c r="H1087" s="4" t="str">
        <f>"1995-12-12"</f>
        <v>1995-12-12</v>
      </c>
      <c r="I1087" s="4" t="s">
        <v>12</v>
      </c>
      <c r="J1087" s="5"/>
    </row>
    <row r="1088" spans="1:10">
      <c r="A1088" s="4">
        <v>1084</v>
      </c>
      <c r="B1088" s="4" t="str">
        <f>"20206223704"</f>
        <v>20206223704</v>
      </c>
      <c r="C1088" s="4">
        <v>37</v>
      </c>
      <c r="D1088" s="4">
        <v>4</v>
      </c>
      <c r="E1088" s="4" t="s">
        <v>43</v>
      </c>
      <c r="F1088" s="4" t="str">
        <f>"李玉洁"</f>
        <v>李玉洁</v>
      </c>
      <c r="G1088" s="4" t="str">
        <f t="shared" si="46"/>
        <v>女</v>
      </c>
      <c r="H1088" s="4" t="str">
        <f>"1997-02-13"</f>
        <v>1997-02-13</v>
      </c>
      <c r="I1088" s="4">
        <v>60.1</v>
      </c>
      <c r="J1088" s="5"/>
    </row>
    <row r="1089" spans="1:10">
      <c r="A1089" s="4">
        <v>1085</v>
      </c>
      <c r="B1089" s="4" t="str">
        <f>"20206223705"</f>
        <v>20206223705</v>
      </c>
      <c r="C1089" s="4">
        <v>37</v>
      </c>
      <c r="D1089" s="4">
        <v>5</v>
      </c>
      <c r="E1089" s="4" t="s">
        <v>43</v>
      </c>
      <c r="F1089" s="4" t="str">
        <f>"李芳"</f>
        <v>李芳</v>
      </c>
      <c r="G1089" s="4" t="str">
        <f t="shared" si="46"/>
        <v>女</v>
      </c>
      <c r="H1089" s="4" t="str">
        <f>"1990-02-15"</f>
        <v>1990-02-15</v>
      </c>
      <c r="I1089" s="4">
        <v>51.4</v>
      </c>
      <c r="J1089" s="5"/>
    </row>
    <row r="1090" spans="1:10">
      <c r="A1090" s="4">
        <v>1086</v>
      </c>
      <c r="B1090" s="4" t="str">
        <f>"20206223706"</f>
        <v>20206223706</v>
      </c>
      <c r="C1090" s="4">
        <v>37</v>
      </c>
      <c r="D1090" s="4">
        <v>6</v>
      </c>
      <c r="E1090" s="4" t="s">
        <v>43</v>
      </c>
      <c r="F1090" s="4" t="str">
        <f>"惠琼瑶"</f>
        <v>惠琼瑶</v>
      </c>
      <c r="G1090" s="4" t="str">
        <f t="shared" si="46"/>
        <v>女</v>
      </c>
      <c r="H1090" s="4" t="str">
        <f>"1998-06-30"</f>
        <v>1998-06-30</v>
      </c>
      <c r="I1090" s="4">
        <v>66.5</v>
      </c>
      <c r="J1090" s="5"/>
    </row>
    <row r="1091" spans="1:10">
      <c r="A1091" s="4">
        <v>1087</v>
      </c>
      <c r="B1091" s="4" t="str">
        <f>"20206223707"</f>
        <v>20206223707</v>
      </c>
      <c r="C1091" s="4">
        <v>37</v>
      </c>
      <c r="D1091" s="4">
        <v>7</v>
      </c>
      <c r="E1091" s="4" t="s">
        <v>43</v>
      </c>
      <c r="F1091" s="4" t="str">
        <f>"杨榕"</f>
        <v>杨榕</v>
      </c>
      <c r="G1091" s="4" t="str">
        <f t="shared" si="46"/>
        <v>女</v>
      </c>
      <c r="H1091" s="4" t="str">
        <f>"1995-12-04"</f>
        <v>1995-12-04</v>
      </c>
      <c r="I1091" s="4">
        <v>53.7</v>
      </c>
      <c r="J1091" s="5"/>
    </row>
    <row r="1092" spans="1:10">
      <c r="A1092" s="4">
        <v>1088</v>
      </c>
      <c r="B1092" s="4" t="str">
        <f>"20206223708"</f>
        <v>20206223708</v>
      </c>
      <c r="C1092" s="4">
        <v>37</v>
      </c>
      <c r="D1092" s="4">
        <v>8</v>
      </c>
      <c r="E1092" s="4" t="s">
        <v>43</v>
      </c>
      <c r="F1092" s="4" t="str">
        <f>"任轲"</f>
        <v>任轲</v>
      </c>
      <c r="G1092" s="4" t="str">
        <f t="shared" si="46"/>
        <v>女</v>
      </c>
      <c r="H1092" s="4" t="str">
        <f>"1993-08-11"</f>
        <v>1993-08-11</v>
      </c>
      <c r="I1092" s="4" t="s">
        <v>12</v>
      </c>
      <c r="J1092" s="5"/>
    </row>
    <row r="1093" spans="1:10">
      <c r="A1093" s="4">
        <v>1089</v>
      </c>
      <c r="B1093" s="4" t="str">
        <f>"20206223709"</f>
        <v>20206223709</v>
      </c>
      <c r="C1093" s="4">
        <v>37</v>
      </c>
      <c r="D1093" s="4">
        <v>9</v>
      </c>
      <c r="E1093" s="4" t="s">
        <v>43</v>
      </c>
      <c r="F1093" s="4" t="str">
        <f>"赵丽"</f>
        <v>赵丽</v>
      </c>
      <c r="G1093" s="4" t="str">
        <f t="shared" si="46"/>
        <v>女</v>
      </c>
      <c r="H1093" s="4" t="str">
        <f>"1996-12-30"</f>
        <v>1996-12-30</v>
      </c>
      <c r="I1093" s="4">
        <v>61</v>
      </c>
      <c r="J1093" s="5"/>
    </row>
    <row r="1094" spans="1:10">
      <c r="A1094" s="4">
        <v>1090</v>
      </c>
      <c r="B1094" s="4" t="str">
        <f>"20206223710"</f>
        <v>20206223710</v>
      </c>
      <c r="C1094" s="4">
        <v>37</v>
      </c>
      <c r="D1094" s="4">
        <v>10</v>
      </c>
      <c r="E1094" s="4" t="s">
        <v>43</v>
      </c>
      <c r="F1094" s="4" t="str">
        <f>"闫景新"</f>
        <v>闫景新</v>
      </c>
      <c r="G1094" s="4" t="str">
        <f t="shared" si="46"/>
        <v>女</v>
      </c>
      <c r="H1094" s="4" t="str">
        <f>"1996-07-18"</f>
        <v>1996-07-18</v>
      </c>
      <c r="I1094" s="4">
        <v>77.5</v>
      </c>
      <c r="J1094" s="5"/>
    </row>
    <row r="1095" spans="1:10">
      <c r="A1095" s="4">
        <v>1091</v>
      </c>
      <c r="B1095" s="4" t="str">
        <f>"20206223711"</f>
        <v>20206223711</v>
      </c>
      <c r="C1095" s="4">
        <v>37</v>
      </c>
      <c r="D1095" s="4">
        <v>11</v>
      </c>
      <c r="E1095" s="4" t="s">
        <v>43</v>
      </c>
      <c r="F1095" s="4" t="str">
        <f>"刘道华"</f>
        <v>刘道华</v>
      </c>
      <c r="G1095" s="4" t="str">
        <f>"男"</f>
        <v>男</v>
      </c>
      <c r="H1095" s="4" t="str">
        <f>"1998-10-24"</f>
        <v>1998-10-24</v>
      </c>
      <c r="I1095" s="4" t="s">
        <v>12</v>
      </c>
      <c r="J1095" s="5"/>
    </row>
    <row r="1096" spans="1:10">
      <c r="A1096" s="4">
        <v>1092</v>
      </c>
      <c r="B1096" s="4" t="str">
        <f>"20206223712"</f>
        <v>20206223712</v>
      </c>
      <c r="C1096" s="4">
        <v>37</v>
      </c>
      <c r="D1096" s="4">
        <v>12</v>
      </c>
      <c r="E1096" s="4" t="s">
        <v>43</v>
      </c>
      <c r="F1096" s="4" t="str">
        <f>"聂棕耀"</f>
        <v>聂棕耀</v>
      </c>
      <c r="G1096" s="4" t="str">
        <f>"男"</f>
        <v>男</v>
      </c>
      <c r="H1096" s="4" t="str">
        <f>"1997-01-10"</f>
        <v>1997-01-10</v>
      </c>
      <c r="I1096" s="4">
        <v>52.4</v>
      </c>
      <c r="J1096" s="5"/>
    </row>
    <row r="1097" spans="1:10">
      <c r="A1097" s="4">
        <v>1093</v>
      </c>
      <c r="B1097" s="4" t="str">
        <f>"20206223713"</f>
        <v>20206223713</v>
      </c>
      <c r="C1097" s="4">
        <v>37</v>
      </c>
      <c r="D1097" s="4">
        <v>13</v>
      </c>
      <c r="E1097" s="4" t="s">
        <v>43</v>
      </c>
      <c r="F1097" s="4" t="str">
        <f>"刘享娴"</f>
        <v>刘享娴</v>
      </c>
      <c r="G1097" s="4" t="str">
        <f t="shared" ref="G1097:G1108" si="47">"女"</f>
        <v>女</v>
      </c>
      <c r="H1097" s="4" t="str">
        <f>"1996-10-18"</f>
        <v>1996-10-18</v>
      </c>
      <c r="I1097" s="4" t="s">
        <v>12</v>
      </c>
      <c r="J1097" s="5"/>
    </row>
    <row r="1098" spans="1:10">
      <c r="A1098" s="4">
        <v>1094</v>
      </c>
      <c r="B1098" s="4" t="str">
        <f>"20206223714"</f>
        <v>20206223714</v>
      </c>
      <c r="C1098" s="4">
        <v>37</v>
      </c>
      <c r="D1098" s="4">
        <v>14</v>
      </c>
      <c r="E1098" s="4" t="s">
        <v>43</v>
      </c>
      <c r="F1098" s="4" t="str">
        <f>"孙若皎"</f>
        <v>孙若皎</v>
      </c>
      <c r="G1098" s="4" t="str">
        <f t="shared" si="47"/>
        <v>女</v>
      </c>
      <c r="H1098" s="4" t="str">
        <f>"1997-07-04"</f>
        <v>1997-07-04</v>
      </c>
      <c r="I1098" s="4">
        <v>83.3</v>
      </c>
      <c r="J1098" s="5"/>
    </row>
    <row r="1099" spans="1:10">
      <c r="A1099" s="4">
        <v>1095</v>
      </c>
      <c r="B1099" s="4" t="str">
        <f>"20206223715"</f>
        <v>20206223715</v>
      </c>
      <c r="C1099" s="4">
        <v>37</v>
      </c>
      <c r="D1099" s="4">
        <v>15</v>
      </c>
      <c r="E1099" s="4" t="s">
        <v>43</v>
      </c>
      <c r="F1099" s="4" t="str">
        <f>"徐泱"</f>
        <v>徐泱</v>
      </c>
      <c r="G1099" s="4" t="str">
        <f t="shared" si="47"/>
        <v>女</v>
      </c>
      <c r="H1099" s="4" t="str">
        <f>"1997-10-08"</f>
        <v>1997-10-08</v>
      </c>
      <c r="I1099" s="4">
        <v>61.5</v>
      </c>
      <c r="J1099" s="5"/>
    </row>
    <row r="1100" spans="1:10">
      <c r="A1100" s="4">
        <v>1096</v>
      </c>
      <c r="B1100" s="4" t="str">
        <f>"20206223716"</f>
        <v>20206223716</v>
      </c>
      <c r="C1100" s="4">
        <v>37</v>
      </c>
      <c r="D1100" s="4">
        <v>16</v>
      </c>
      <c r="E1100" s="4" t="s">
        <v>43</v>
      </c>
      <c r="F1100" s="4" t="str">
        <f>"赵娣"</f>
        <v>赵娣</v>
      </c>
      <c r="G1100" s="4" t="str">
        <f t="shared" si="47"/>
        <v>女</v>
      </c>
      <c r="H1100" s="4" t="str">
        <f>"1998-02-01"</f>
        <v>1998-02-01</v>
      </c>
      <c r="I1100" s="4" t="s">
        <v>12</v>
      </c>
      <c r="J1100" s="5"/>
    </row>
    <row r="1101" spans="1:10">
      <c r="A1101" s="4">
        <v>1097</v>
      </c>
      <c r="B1101" s="4" t="str">
        <f>"20206223717"</f>
        <v>20206223717</v>
      </c>
      <c r="C1101" s="4">
        <v>37</v>
      </c>
      <c r="D1101" s="4">
        <v>17</v>
      </c>
      <c r="E1101" s="4" t="s">
        <v>43</v>
      </c>
      <c r="F1101" s="4" t="str">
        <f>"赵林聪"</f>
        <v>赵林聪</v>
      </c>
      <c r="G1101" s="4" t="str">
        <f t="shared" si="47"/>
        <v>女</v>
      </c>
      <c r="H1101" s="4" t="str">
        <f>"1998-04-21"</f>
        <v>1998-04-21</v>
      </c>
      <c r="I1101" s="4">
        <v>69.9</v>
      </c>
      <c r="J1101" s="5"/>
    </row>
    <row r="1102" spans="1:10">
      <c r="A1102" s="4">
        <v>1098</v>
      </c>
      <c r="B1102" s="4" t="str">
        <f>"20206223718"</f>
        <v>20206223718</v>
      </c>
      <c r="C1102" s="4">
        <v>37</v>
      </c>
      <c r="D1102" s="4">
        <v>18</v>
      </c>
      <c r="E1102" s="4" t="s">
        <v>43</v>
      </c>
      <c r="F1102" s="4" t="str">
        <f>"陈路影"</f>
        <v>陈路影</v>
      </c>
      <c r="G1102" s="4" t="str">
        <f t="shared" si="47"/>
        <v>女</v>
      </c>
      <c r="H1102" s="4" t="str">
        <f>"1996-09-06"</f>
        <v>1996-09-06</v>
      </c>
      <c r="I1102" s="4">
        <v>67.5</v>
      </c>
      <c r="J1102" s="5"/>
    </row>
    <row r="1103" spans="1:10">
      <c r="A1103" s="4">
        <v>1099</v>
      </c>
      <c r="B1103" s="4" t="str">
        <f>"20206223719"</f>
        <v>20206223719</v>
      </c>
      <c r="C1103" s="4">
        <v>37</v>
      </c>
      <c r="D1103" s="4">
        <v>19</v>
      </c>
      <c r="E1103" s="4" t="s">
        <v>43</v>
      </c>
      <c r="F1103" s="4" t="str">
        <f>"周成莉"</f>
        <v>周成莉</v>
      </c>
      <c r="G1103" s="4" t="str">
        <f t="shared" si="47"/>
        <v>女</v>
      </c>
      <c r="H1103" s="4" t="str">
        <f>"1995-03-26"</f>
        <v>1995-03-26</v>
      </c>
      <c r="I1103" s="4">
        <v>65.5</v>
      </c>
      <c r="J1103" s="5"/>
    </row>
    <row r="1104" spans="1:10">
      <c r="A1104" s="4">
        <v>1100</v>
      </c>
      <c r="B1104" s="4" t="str">
        <f>"20206223720"</f>
        <v>20206223720</v>
      </c>
      <c r="C1104" s="4">
        <v>37</v>
      </c>
      <c r="D1104" s="4">
        <v>20</v>
      </c>
      <c r="E1104" s="4" t="s">
        <v>43</v>
      </c>
      <c r="F1104" s="4" t="str">
        <f>"孙海燕"</f>
        <v>孙海燕</v>
      </c>
      <c r="G1104" s="4" t="str">
        <f t="shared" si="47"/>
        <v>女</v>
      </c>
      <c r="H1104" s="4" t="str">
        <f>"1996-06-06"</f>
        <v>1996-06-06</v>
      </c>
      <c r="I1104" s="4">
        <v>61.5</v>
      </c>
      <c r="J1104" s="5"/>
    </row>
    <row r="1105" spans="1:10">
      <c r="A1105" s="4">
        <v>1101</v>
      </c>
      <c r="B1105" s="4" t="str">
        <f>"20206223721"</f>
        <v>20206223721</v>
      </c>
      <c r="C1105" s="4">
        <v>37</v>
      </c>
      <c r="D1105" s="4">
        <v>21</v>
      </c>
      <c r="E1105" s="4" t="s">
        <v>43</v>
      </c>
      <c r="F1105" s="4" t="str">
        <f>"卢浩"</f>
        <v>卢浩</v>
      </c>
      <c r="G1105" s="4" t="str">
        <f t="shared" si="47"/>
        <v>女</v>
      </c>
      <c r="H1105" s="4" t="str">
        <f>"1997-02-01"</f>
        <v>1997-02-01</v>
      </c>
      <c r="I1105" s="4" t="s">
        <v>12</v>
      </c>
      <c r="J1105" s="5"/>
    </row>
    <row r="1106" spans="1:10">
      <c r="A1106" s="4">
        <v>1102</v>
      </c>
      <c r="B1106" s="4" t="str">
        <f>"20206223722"</f>
        <v>20206223722</v>
      </c>
      <c r="C1106" s="4">
        <v>37</v>
      </c>
      <c r="D1106" s="4">
        <v>22</v>
      </c>
      <c r="E1106" s="4" t="s">
        <v>43</v>
      </c>
      <c r="F1106" s="4" t="str">
        <f>"武琪"</f>
        <v>武琪</v>
      </c>
      <c r="G1106" s="4" t="str">
        <f t="shared" si="47"/>
        <v>女</v>
      </c>
      <c r="H1106" s="4" t="str">
        <f>"1996-02-26"</f>
        <v>1996-02-26</v>
      </c>
      <c r="I1106" s="4" t="s">
        <v>12</v>
      </c>
      <c r="J1106" s="5"/>
    </row>
    <row r="1107" spans="1:10">
      <c r="A1107" s="4">
        <v>1103</v>
      </c>
      <c r="B1107" s="4" t="str">
        <f>"20206223723"</f>
        <v>20206223723</v>
      </c>
      <c r="C1107" s="4">
        <v>37</v>
      </c>
      <c r="D1107" s="4">
        <v>23</v>
      </c>
      <c r="E1107" s="4" t="s">
        <v>43</v>
      </c>
      <c r="F1107" s="4" t="str">
        <f>"卫军如"</f>
        <v>卫军如</v>
      </c>
      <c r="G1107" s="4" t="str">
        <f t="shared" si="47"/>
        <v>女</v>
      </c>
      <c r="H1107" s="4" t="str">
        <f>"1997-03-19"</f>
        <v>1997-03-19</v>
      </c>
      <c r="I1107" s="4" t="s">
        <v>12</v>
      </c>
      <c r="J1107" s="5"/>
    </row>
    <row r="1108" spans="1:10">
      <c r="A1108" s="4">
        <v>1104</v>
      </c>
      <c r="B1108" s="4" t="str">
        <f>"20206223724"</f>
        <v>20206223724</v>
      </c>
      <c r="C1108" s="4">
        <v>37</v>
      </c>
      <c r="D1108" s="4">
        <v>24</v>
      </c>
      <c r="E1108" s="4" t="s">
        <v>43</v>
      </c>
      <c r="F1108" s="4" t="str">
        <f>"李桥梅"</f>
        <v>李桥梅</v>
      </c>
      <c r="G1108" s="4" t="str">
        <f t="shared" si="47"/>
        <v>女</v>
      </c>
      <c r="H1108" s="4" t="str">
        <f>"1998-01-17"</f>
        <v>1998-01-17</v>
      </c>
      <c r="I1108" s="4" t="s">
        <v>12</v>
      </c>
      <c r="J1108" s="5"/>
    </row>
    <row r="1109" spans="1:10">
      <c r="A1109" s="4">
        <v>1105</v>
      </c>
      <c r="B1109" s="4" t="str">
        <f>"20206223725"</f>
        <v>20206223725</v>
      </c>
      <c r="C1109" s="4">
        <v>37</v>
      </c>
      <c r="D1109" s="4">
        <v>25</v>
      </c>
      <c r="E1109" s="4" t="s">
        <v>43</v>
      </c>
      <c r="F1109" s="4" t="str">
        <f>"何渊"</f>
        <v>何渊</v>
      </c>
      <c r="G1109" s="4" t="str">
        <f>"男"</f>
        <v>男</v>
      </c>
      <c r="H1109" s="4" t="str">
        <f>"1995-01-28"</f>
        <v>1995-01-28</v>
      </c>
      <c r="I1109" s="4">
        <v>29.5</v>
      </c>
      <c r="J1109" s="5"/>
    </row>
    <row r="1110" spans="1:10">
      <c r="A1110" s="4">
        <v>1106</v>
      </c>
      <c r="B1110" s="4" t="str">
        <f>"20206223726"</f>
        <v>20206223726</v>
      </c>
      <c r="C1110" s="4">
        <v>37</v>
      </c>
      <c r="D1110" s="4">
        <v>26</v>
      </c>
      <c r="E1110" s="4" t="s">
        <v>43</v>
      </c>
      <c r="F1110" s="4" t="str">
        <f>"范君男"</f>
        <v>范君男</v>
      </c>
      <c r="G1110" s="4" t="str">
        <f>"男"</f>
        <v>男</v>
      </c>
      <c r="H1110" s="4" t="str">
        <f>"1996-05-11"</f>
        <v>1996-05-11</v>
      </c>
      <c r="I1110" s="4">
        <v>53.4</v>
      </c>
      <c r="J1110" s="5"/>
    </row>
    <row r="1111" spans="1:10">
      <c r="A1111" s="4">
        <v>1107</v>
      </c>
      <c r="B1111" s="4" t="str">
        <f>"20206223727"</f>
        <v>20206223727</v>
      </c>
      <c r="C1111" s="4">
        <v>37</v>
      </c>
      <c r="D1111" s="4">
        <v>27</v>
      </c>
      <c r="E1111" s="4" t="s">
        <v>43</v>
      </c>
      <c r="F1111" s="4" t="str">
        <f>"吴怡彤"</f>
        <v>吴怡彤</v>
      </c>
      <c r="G1111" s="4" t="str">
        <f t="shared" ref="G1111:G1127" si="48">"女"</f>
        <v>女</v>
      </c>
      <c r="H1111" s="4" t="str">
        <f>"1996-09-08"</f>
        <v>1996-09-08</v>
      </c>
      <c r="I1111" s="4" t="s">
        <v>12</v>
      </c>
      <c r="J1111" s="5"/>
    </row>
    <row r="1112" spans="1:10">
      <c r="A1112" s="4">
        <v>1108</v>
      </c>
      <c r="B1112" s="4" t="str">
        <f>"20206223728"</f>
        <v>20206223728</v>
      </c>
      <c r="C1112" s="4">
        <v>37</v>
      </c>
      <c r="D1112" s="4">
        <v>28</v>
      </c>
      <c r="E1112" s="4" t="s">
        <v>43</v>
      </c>
      <c r="F1112" s="4" t="str">
        <f>"杨梦琪"</f>
        <v>杨梦琪</v>
      </c>
      <c r="G1112" s="4" t="str">
        <f t="shared" si="48"/>
        <v>女</v>
      </c>
      <c r="H1112" s="4" t="str">
        <f>"1997-04-20"</f>
        <v>1997-04-20</v>
      </c>
      <c r="I1112" s="4">
        <v>55</v>
      </c>
      <c r="J1112" s="5"/>
    </row>
    <row r="1113" spans="1:10">
      <c r="A1113" s="4">
        <v>1109</v>
      </c>
      <c r="B1113" s="4" t="str">
        <f>"20206223729"</f>
        <v>20206223729</v>
      </c>
      <c r="C1113" s="4">
        <v>37</v>
      </c>
      <c r="D1113" s="4">
        <v>29</v>
      </c>
      <c r="E1113" s="4" t="s">
        <v>43</v>
      </c>
      <c r="F1113" s="4" t="str">
        <f>"陶文凤"</f>
        <v>陶文凤</v>
      </c>
      <c r="G1113" s="4" t="str">
        <f t="shared" si="48"/>
        <v>女</v>
      </c>
      <c r="H1113" s="4" t="str">
        <f>"1997-03-08"</f>
        <v>1997-03-08</v>
      </c>
      <c r="I1113" s="4">
        <v>54.4</v>
      </c>
      <c r="J1113" s="5"/>
    </row>
    <row r="1114" spans="1:10">
      <c r="A1114" s="4">
        <v>1110</v>
      </c>
      <c r="B1114" s="4" t="str">
        <f>"20206223730"</f>
        <v>20206223730</v>
      </c>
      <c r="C1114" s="4">
        <v>37</v>
      </c>
      <c r="D1114" s="4">
        <v>30</v>
      </c>
      <c r="E1114" s="4" t="s">
        <v>43</v>
      </c>
      <c r="F1114" s="4" t="str">
        <f>"秦家园"</f>
        <v>秦家园</v>
      </c>
      <c r="G1114" s="4" t="str">
        <f t="shared" si="48"/>
        <v>女</v>
      </c>
      <c r="H1114" s="4" t="str">
        <f>"1995-07-09"</f>
        <v>1995-07-09</v>
      </c>
      <c r="I1114" s="4" t="s">
        <v>12</v>
      </c>
      <c r="J1114" s="5"/>
    </row>
    <row r="1115" spans="1:10">
      <c r="A1115" s="4">
        <v>1111</v>
      </c>
      <c r="B1115" s="4" t="str">
        <f>"20206223801"</f>
        <v>20206223801</v>
      </c>
      <c r="C1115" s="4">
        <v>38</v>
      </c>
      <c r="D1115" s="4">
        <v>1</v>
      </c>
      <c r="E1115" s="4" t="s">
        <v>43</v>
      </c>
      <c r="F1115" s="4" t="str">
        <f>"蒋茹楠"</f>
        <v>蒋茹楠</v>
      </c>
      <c r="G1115" s="4" t="str">
        <f t="shared" si="48"/>
        <v>女</v>
      </c>
      <c r="H1115" s="4" t="str">
        <f>"1995-01-07"</f>
        <v>1995-01-07</v>
      </c>
      <c r="I1115" s="4">
        <v>75.9</v>
      </c>
      <c r="J1115" s="5"/>
    </row>
    <row r="1116" spans="1:10">
      <c r="A1116" s="4">
        <v>1112</v>
      </c>
      <c r="B1116" s="4" t="str">
        <f>"20206223802"</f>
        <v>20206223802</v>
      </c>
      <c r="C1116" s="4">
        <v>38</v>
      </c>
      <c r="D1116" s="4">
        <v>2</v>
      </c>
      <c r="E1116" s="4" t="s">
        <v>43</v>
      </c>
      <c r="F1116" s="4" t="str">
        <f>"陈程扬"</f>
        <v>陈程扬</v>
      </c>
      <c r="G1116" s="4" t="str">
        <f t="shared" si="48"/>
        <v>女</v>
      </c>
      <c r="H1116" s="4" t="str">
        <f>"1997-07-14"</f>
        <v>1997-07-14</v>
      </c>
      <c r="I1116" s="4">
        <v>78.5</v>
      </c>
      <c r="J1116" s="5"/>
    </row>
    <row r="1117" spans="1:10">
      <c r="A1117" s="4">
        <v>1113</v>
      </c>
      <c r="B1117" s="4" t="str">
        <f>"20206223803"</f>
        <v>20206223803</v>
      </c>
      <c r="C1117" s="4">
        <v>38</v>
      </c>
      <c r="D1117" s="4">
        <v>3</v>
      </c>
      <c r="E1117" s="4" t="s">
        <v>43</v>
      </c>
      <c r="F1117" s="4" t="str">
        <f>"代焕雨"</f>
        <v>代焕雨</v>
      </c>
      <c r="G1117" s="4" t="str">
        <f t="shared" si="48"/>
        <v>女</v>
      </c>
      <c r="H1117" s="4" t="str">
        <f>"1998-10-16"</f>
        <v>1998-10-16</v>
      </c>
      <c r="I1117" s="4">
        <v>59.4</v>
      </c>
      <c r="J1117" s="5"/>
    </row>
    <row r="1118" spans="1:10">
      <c r="A1118" s="4">
        <v>1114</v>
      </c>
      <c r="B1118" s="4" t="str">
        <f>"20206223804"</f>
        <v>20206223804</v>
      </c>
      <c r="C1118" s="4">
        <v>38</v>
      </c>
      <c r="D1118" s="4">
        <v>4</v>
      </c>
      <c r="E1118" s="4" t="s">
        <v>43</v>
      </c>
      <c r="F1118" s="4" t="str">
        <f>"吕金叶"</f>
        <v>吕金叶</v>
      </c>
      <c r="G1118" s="4" t="str">
        <f t="shared" si="48"/>
        <v>女</v>
      </c>
      <c r="H1118" s="4" t="str">
        <f>"1997-09-20"</f>
        <v>1997-09-20</v>
      </c>
      <c r="I1118" s="4" t="s">
        <v>12</v>
      </c>
      <c r="J1118" s="5"/>
    </row>
    <row r="1119" spans="1:10">
      <c r="A1119" s="4">
        <v>1115</v>
      </c>
      <c r="B1119" s="4" t="str">
        <f>"20206223805"</f>
        <v>20206223805</v>
      </c>
      <c r="C1119" s="4">
        <v>38</v>
      </c>
      <c r="D1119" s="4">
        <v>5</v>
      </c>
      <c r="E1119" s="4" t="s">
        <v>43</v>
      </c>
      <c r="F1119" s="4" t="str">
        <f>"王庆雯"</f>
        <v>王庆雯</v>
      </c>
      <c r="G1119" s="4" t="str">
        <f t="shared" si="48"/>
        <v>女</v>
      </c>
      <c r="H1119" s="4" t="str">
        <f>"1997-10-07"</f>
        <v>1997-10-07</v>
      </c>
      <c r="I1119" s="4" t="s">
        <v>12</v>
      </c>
      <c r="J1119" s="5"/>
    </row>
    <row r="1120" spans="1:10">
      <c r="A1120" s="4">
        <v>1116</v>
      </c>
      <c r="B1120" s="4" t="str">
        <f>"20206223806"</f>
        <v>20206223806</v>
      </c>
      <c r="C1120" s="4">
        <v>38</v>
      </c>
      <c r="D1120" s="4">
        <v>6</v>
      </c>
      <c r="E1120" s="4" t="s">
        <v>43</v>
      </c>
      <c r="F1120" s="4" t="str">
        <f>"马金金"</f>
        <v>马金金</v>
      </c>
      <c r="G1120" s="4" t="str">
        <f t="shared" si="48"/>
        <v>女</v>
      </c>
      <c r="H1120" s="4" t="str">
        <f>"1996-01-02"</f>
        <v>1996-01-02</v>
      </c>
      <c r="I1120" s="4">
        <v>34.8</v>
      </c>
      <c r="J1120" s="5"/>
    </row>
    <row r="1121" spans="1:10">
      <c r="A1121" s="4">
        <v>1117</v>
      </c>
      <c r="B1121" s="4" t="str">
        <f>"20206223807"</f>
        <v>20206223807</v>
      </c>
      <c r="C1121" s="4">
        <v>38</v>
      </c>
      <c r="D1121" s="4">
        <v>7</v>
      </c>
      <c r="E1121" s="4" t="s">
        <v>43</v>
      </c>
      <c r="F1121" s="4" t="str">
        <f>"张静宇"</f>
        <v>张静宇</v>
      </c>
      <c r="G1121" s="4" t="str">
        <f t="shared" si="48"/>
        <v>女</v>
      </c>
      <c r="H1121" s="4" t="str">
        <f>"1995-06-27"</f>
        <v>1995-06-27</v>
      </c>
      <c r="I1121" s="4">
        <v>64.1</v>
      </c>
      <c r="J1121" s="5"/>
    </row>
    <row r="1122" spans="1:10">
      <c r="A1122" s="4">
        <v>1118</v>
      </c>
      <c r="B1122" s="4" t="str">
        <f>"20206223808"</f>
        <v>20206223808</v>
      </c>
      <c r="C1122" s="4">
        <v>38</v>
      </c>
      <c r="D1122" s="4">
        <v>8</v>
      </c>
      <c r="E1122" s="4" t="s">
        <v>43</v>
      </c>
      <c r="F1122" s="4" t="str">
        <f>"范明颜"</f>
        <v>范明颜</v>
      </c>
      <c r="G1122" s="4" t="str">
        <f t="shared" si="48"/>
        <v>女</v>
      </c>
      <c r="H1122" s="4" t="str">
        <f>"1997-01-30"</f>
        <v>1997-01-30</v>
      </c>
      <c r="I1122" s="4">
        <v>65.1</v>
      </c>
      <c r="J1122" s="5"/>
    </row>
    <row r="1123" spans="1:10">
      <c r="A1123" s="4">
        <v>1119</v>
      </c>
      <c r="B1123" s="4" t="str">
        <f>"20206223809"</f>
        <v>20206223809</v>
      </c>
      <c r="C1123" s="4">
        <v>38</v>
      </c>
      <c r="D1123" s="4">
        <v>9</v>
      </c>
      <c r="E1123" s="4" t="s">
        <v>43</v>
      </c>
      <c r="F1123" s="4" t="str">
        <f>"刘贝"</f>
        <v>刘贝</v>
      </c>
      <c r="G1123" s="4" t="str">
        <f t="shared" si="48"/>
        <v>女</v>
      </c>
      <c r="H1123" s="4" t="str">
        <f>"1996-10-01"</f>
        <v>1996-10-01</v>
      </c>
      <c r="I1123" s="4">
        <v>62.1</v>
      </c>
      <c r="J1123" s="5"/>
    </row>
    <row r="1124" spans="1:10">
      <c r="A1124" s="4">
        <v>1120</v>
      </c>
      <c r="B1124" s="4" t="str">
        <f>"20206223810"</f>
        <v>20206223810</v>
      </c>
      <c r="C1124" s="4">
        <v>38</v>
      </c>
      <c r="D1124" s="4">
        <v>10</v>
      </c>
      <c r="E1124" s="4" t="s">
        <v>43</v>
      </c>
      <c r="F1124" s="4" t="str">
        <f>"晏子云"</f>
        <v>晏子云</v>
      </c>
      <c r="G1124" s="4" t="str">
        <f t="shared" si="48"/>
        <v>女</v>
      </c>
      <c r="H1124" s="4" t="str">
        <f>"1997-05-17"</f>
        <v>1997-05-17</v>
      </c>
      <c r="I1124" s="4">
        <v>52.7</v>
      </c>
      <c r="J1124" s="5"/>
    </row>
    <row r="1125" spans="1:10">
      <c r="A1125" s="4">
        <v>1121</v>
      </c>
      <c r="B1125" s="4" t="str">
        <f>"20206223811"</f>
        <v>20206223811</v>
      </c>
      <c r="C1125" s="4">
        <v>38</v>
      </c>
      <c r="D1125" s="4">
        <v>11</v>
      </c>
      <c r="E1125" s="4" t="s">
        <v>43</v>
      </c>
      <c r="F1125" s="4" t="str">
        <f>"生修葶"</f>
        <v>生修葶</v>
      </c>
      <c r="G1125" s="4" t="str">
        <f t="shared" si="48"/>
        <v>女</v>
      </c>
      <c r="H1125" s="4" t="str">
        <f>"1997-10-29"</f>
        <v>1997-10-29</v>
      </c>
      <c r="I1125" s="4">
        <v>69.9</v>
      </c>
      <c r="J1125" s="5"/>
    </row>
    <row r="1126" spans="1:10">
      <c r="A1126" s="4">
        <v>1122</v>
      </c>
      <c r="B1126" s="4" t="str">
        <f>"20206223812"</f>
        <v>20206223812</v>
      </c>
      <c r="C1126" s="4">
        <v>38</v>
      </c>
      <c r="D1126" s="4">
        <v>12</v>
      </c>
      <c r="E1126" s="4" t="s">
        <v>43</v>
      </c>
      <c r="F1126" s="4" t="str">
        <f>"陈春变"</f>
        <v>陈春变</v>
      </c>
      <c r="G1126" s="4" t="str">
        <f t="shared" si="48"/>
        <v>女</v>
      </c>
      <c r="H1126" s="4" t="str">
        <f>"1998-03-01"</f>
        <v>1998-03-01</v>
      </c>
      <c r="I1126" s="4" t="s">
        <v>12</v>
      </c>
      <c r="J1126" s="5"/>
    </row>
    <row r="1127" spans="1:10">
      <c r="A1127" s="4">
        <v>1123</v>
      </c>
      <c r="B1127" s="4" t="str">
        <f>"20206223813"</f>
        <v>20206223813</v>
      </c>
      <c r="C1127" s="4">
        <v>38</v>
      </c>
      <c r="D1127" s="4">
        <v>13</v>
      </c>
      <c r="E1127" s="4" t="s">
        <v>43</v>
      </c>
      <c r="F1127" s="4" t="str">
        <f>"姚玉娥"</f>
        <v>姚玉娥</v>
      </c>
      <c r="G1127" s="4" t="str">
        <f t="shared" si="48"/>
        <v>女</v>
      </c>
      <c r="H1127" s="4" t="str">
        <f>"1998-03-24"</f>
        <v>1998-03-24</v>
      </c>
      <c r="I1127" s="4">
        <v>65</v>
      </c>
      <c r="J1127" s="5"/>
    </row>
    <row r="1128" spans="1:10">
      <c r="A1128" s="4">
        <v>1124</v>
      </c>
      <c r="B1128" s="4" t="str">
        <f>"20206223814"</f>
        <v>20206223814</v>
      </c>
      <c r="C1128" s="4">
        <v>38</v>
      </c>
      <c r="D1128" s="4">
        <v>14</v>
      </c>
      <c r="E1128" s="4" t="s">
        <v>43</v>
      </c>
      <c r="F1128" s="4" t="str">
        <f>"方昱霖"</f>
        <v>方昱霖</v>
      </c>
      <c r="G1128" s="4" t="str">
        <f>"男"</f>
        <v>男</v>
      </c>
      <c r="H1128" s="4" t="str">
        <f>"1998-04-06"</f>
        <v>1998-04-06</v>
      </c>
      <c r="I1128" s="4">
        <v>68.2</v>
      </c>
      <c r="J1128" s="5"/>
    </row>
    <row r="1129" spans="1:10">
      <c r="A1129" s="4">
        <v>1125</v>
      </c>
      <c r="B1129" s="4" t="str">
        <f>"20206223815"</f>
        <v>20206223815</v>
      </c>
      <c r="C1129" s="4">
        <v>38</v>
      </c>
      <c r="D1129" s="4">
        <v>15</v>
      </c>
      <c r="E1129" s="4" t="s">
        <v>43</v>
      </c>
      <c r="F1129" s="4" t="str">
        <f>"苏增连"</f>
        <v>苏增连</v>
      </c>
      <c r="G1129" s="4" t="str">
        <f>"女"</f>
        <v>女</v>
      </c>
      <c r="H1129" s="4" t="str">
        <f>"1997-05-03"</f>
        <v>1997-05-03</v>
      </c>
      <c r="I1129" s="4">
        <v>52.8</v>
      </c>
      <c r="J1129" s="5"/>
    </row>
    <row r="1130" spans="1:10">
      <c r="A1130" s="4">
        <v>1126</v>
      </c>
      <c r="B1130" s="4" t="str">
        <f>"20206223816"</f>
        <v>20206223816</v>
      </c>
      <c r="C1130" s="4">
        <v>38</v>
      </c>
      <c r="D1130" s="4">
        <v>16</v>
      </c>
      <c r="E1130" s="4" t="s">
        <v>43</v>
      </c>
      <c r="F1130" s="4" t="str">
        <f>"段天增"</f>
        <v>段天增</v>
      </c>
      <c r="G1130" s="4" t="str">
        <f>"女"</f>
        <v>女</v>
      </c>
      <c r="H1130" s="4" t="str">
        <f>"1998-01-02"</f>
        <v>1998-01-02</v>
      </c>
      <c r="I1130" s="4" t="s">
        <v>12</v>
      </c>
      <c r="J1130" s="5"/>
    </row>
    <row r="1131" spans="1:10">
      <c r="A1131" s="4">
        <v>1127</v>
      </c>
      <c r="B1131" s="4" t="str">
        <f>"20206223817"</f>
        <v>20206223817</v>
      </c>
      <c r="C1131" s="4">
        <v>38</v>
      </c>
      <c r="D1131" s="4">
        <v>17</v>
      </c>
      <c r="E1131" s="4" t="s">
        <v>43</v>
      </c>
      <c r="F1131" s="4" t="str">
        <f>"刘雪"</f>
        <v>刘雪</v>
      </c>
      <c r="G1131" s="4" t="str">
        <f>"女"</f>
        <v>女</v>
      </c>
      <c r="H1131" s="4" t="str">
        <f>"1997-01-01"</f>
        <v>1997-01-01</v>
      </c>
      <c r="I1131" s="4">
        <v>69.9</v>
      </c>
      <c r="J1131" s="5"/>
    </row>
    <row r="1132" spans="1:10">
      <c r="A1132" s="4">
        <v>1128</v>
      </c>
      <c r="B1132" s="4" t="str">
        <f>"20206223818"</f>
        <v>20206223818</v>
      </c>
      <c r="C1132" s="4">
        <v>38</v>
      </c>
      <c r="D1132" s="4">
        <v>18</v>
      </c>
      <c r="E1132" s="4" t="s">
        <v>43</v>
      </c>
      <c r="F1132" s="4" t="str">
        <f>"吴岳峡"</f>
        <v>吴岳峡</v>
      </c>
      <c r="G1132" s="4" t="str">
        <f>"女"</f>
        <v>女</v>
      </c>
      <c r="H1132" s="4" t="str">
        <f>"1998-02-14"</f>
        <v>1998-02-14</v>
      </c>
      <c r="I1132" s="4">
        <v>73</v>
      </c>
      <c r="J1132" s="5"/>
    </row>
    <row r="1133" spans="1:10">
      <c r="A1133" s="4">
        <v>1129</v>
      </c>
      <c r="B1133" s="4" t="str">
        <f>"20206223819"</f>
        <v>20206223819</v>
      </c>
      <c r="C1133" s="4">
        <v>38</v>
      </c>
      <c r="D1133" s="4">
        <v>19</v>
      </c>
      <c r="E1133" s="4" t="s">
        <v>43</v>
      </c>
      <c r="F1133" s="4" t="str">
        <f>"邱屹萍"</f>
        <v>邱屹萍</v>
      </c>
      <c r="G1133" s="4" t="str">
        <f>"女"</f>
        <v>女</v>
      </c>
      <c r="H1133" s="4" t="str">
        <f>"1996-08-28"</f>
        <v>1996-08-28</v>
      </c>
      <c r="I1133" s="4">
        <v>65.3</v>
      </c>
      <c r="J1133" s="5"/>
    </row>
    <row r="1134" spans="1:10">
      <c r="A1134" s="4">
        <v>1130</v>
      </c>
      <c r="B1134" s="4" t="str">
        <f>"20206223820"</f>
        <v>20206223820</v>
      </c>
      <c r="C1134" s="4">
        <v>38</v>
      </c>
      <c r="D1134" s="4">
        <v>20</v>
      </c>
      <c r="E1134" s="4" t="s">
        <v>43</v>
      </c>
      <c r="F1134" s="4" t="str">
        <f>"程传冰"</f>
        <v>程传冰</v>
      </c>
      <c r="G1134" s="4" t="str">
        <f>"男"</f>
        <v>男</v>
      </c>
      <c r="H1134" s="4" t="str">
        <f>"1993-05-09"</f>
        <v>1993-05-09</v>
      </c>
      <c r="I1134" s="4">
        <v>63.4</v>
      </c>
      <c r="J1134" s="5"/>
    </row>
    <row r="1135" spans="1:10">
      <c r="A1135" s="4">
        <v>1131</v>
      </c>
      <c r="B1135" s="4" t="str">
        <f>"20206223821"</f>
        <v>20206223821</v>
      </c>
      <c r="C1135" s="4">
        <v>38</v>
      </c>
      <c r="D1135" s="4">
        <v>21</v>
      </c>
      <c r="E1135" s="4" t="s">
        <v>43</v>
      </c>
      <c r="F1135" s="4" t="str">
        <f>"王柯"</f>
        <v>王柯</v>
      </c>
      <c r="G1135" s="4" t="str">
        <f t="shared" ref="G1135:G1144" si="49">"女"</f>
        <v>女</v>
      </c>
      <c r="H1135" s="4" t="str">
        <f>"1997-09-16"</f>
        <v>1997-09-16</v>
      </c>
      <c r="I1135" s="4" t="s">
        <v>12</v>
      </c>
      <c r="J1135" s="5"/>
    </row>
    <row r="1136" spans="1:10">
      <c r="A1136" s="4">
        <v>1132</v>
      </c>
      <c r="B1136" s="4" t="str">
        <f>"20206223822"</f>
        <v>20206223822</v>
      </c>
      <c r="C1136" s="4">
        <v>38</v>
      </c>
      <c r="D1136" s="4">
        <v>22</v>
      </c>
      <c r="E1136" s="4" t="s">
        <v>43</v>
      </c>
      <c r="F1136" s="4" t="str">
        <f>"郭颖"</f>
        <v>郭颖</v>
      </c>
      <c r="G1136" s="4" t="str">
        <f t="shared" si="49"/>
        <v>女</v>
      </c>
      <c r="H1136" s="4" t="str">
        <f>"1997-11-04"</f>
        <v>1997-11-04</v>
      </c>
      <c r="I1136" s="4">
        <v>70.2</v>
      </c>
      <c r="J1136" s="5"/>
    </row>
    <row r="1137" spans="1:10">
      <c r="A1137" s="4">
        <v>1133</v>
      </c>
      <c r="B1137" s="4" t="str">
        <f>"20206223823"</f>
        <v>20206223823</v>
      </c>
      <c r="C1137" s="4">
        <v>38</v>
      </c>
      <c r="D1137" s="4">
        <v>23</v>
      </c>
      <c r="E1137" s="4" t="s">
        <v>43</v>
      </c>
      <c r="F1137" s="4" t="str">
        <f>"陈思丹"</f>
        <v>陈思丹</v>
      </c>
      <c r="G1137" s="4" t="str">
        <f t="shared" si="49"/>
        <v>女</v>
      </c>
      <c r="H1137" s="4" t="str">
        <f>"1998-10-09"</f>
        <v>1998-10-09</v>
      </c>
      <c r="I1137" s="4">
        <v>67.5</v>
      </c>
      <c r="J1137" s="5"/>
    </row>
    <row r="1138" spans="1:10">
      <c r="A1138" s="4">
        <v>1134</v>
      </c>
      <c r="B1138" s="4" t="str">
        <f>"20206223824"</f>
        <v>20206223824</v>
      </c>
      <c r="C1138" s="4">
        <v>38</v>
      </c>
      <c r="D1138" s="4">
        <v>24</v>
      </c>
      <c r="E1138" s="4" t="s">
        <v>43</v>
      </c>
      <c r="F1138" s="4" t="str">
        <f>"薛佳萌"</f>
        <v>薛佳萌</v>
      </c>
      <c r="G1138" s="4" t="str">
        <f t="shared" si="49"/>
        <v>女</v>
      </c>
      <c r="H1138" s="4" t="str">
        <f>"1998-04-06"</f>
        <v>1998-04-06</v>
      </c>
      <c r="I1138" s="4" t="s">
        <v>12</v>
      </c>
      <c r="J1138" s="5"/>
    </row>
    <row r="1139" spans="1:10">
      <c r="A1139" s="4">
        <v>1135</v>
      </c>
      <c r="B1139" s="4" t="str">
        <f>"20206223825"</f>
        <v>20206223825</v>
      </c>
      <c r="C1139" s="4">
        <v>38</v>
      </c>
      <c r="D1139" s="4">
        <v>25</v>
      </c>
      <c r="E1139" s="4" t="s">
        <v>43</v>
      </c>
      <c r="F1139" s="4" t="str">
        <f>"董亚楠"</f>
        <v>董亚楠</v>
      </c>
      <c r="G1139" s="4" t="str">
        <f t="shared" si="49"/>
        <v>女</v>
      </c>
      <c r="H1139" s="4" t="str">
        <f>"1998-06-24"</f>
        <v>1998-06-24</v>
      </c>
      <c r="I1139" s="4">
        <v>47.4</v>
      </c>
      <c r="J1139" s="5"/>
    </row>
    <row r="1140" spans="1:10">
      <c r="A1140" s="4">
        <v>1136</v>
      </c>
      <c r="B1140" s="4" t="str">
        <f>"20206223826"</f>
        <v>20206223826</v>
      </c>
      <c r="C1140" s="4">
        <v>38</v>
      </c>
      <c r="D1140" s="4">
        <v>26</v>
      </c>
      <c r="E1140" s="4" t="s">
        <v>43</v>
      </c>
      <c r="F1140" s="4" t="str">
        <f>"陈若雨"</f>
        <v>陈若雨</v>
      </c>
      <c r="G1140" s="4" t="str">
        <f t="shared" si="49"/>
        <v>女</v>
      </c>
      <c r="H1140" s="4" t="str">
        <f>"1996-08-02"</f>
        <v>1996-08-02</v>
      </c>
      <c r="I1140" s="4">
        <v>64.4</v>
      </c>
      <c r="J1140" s="5"/>
    </row>
    <row r="1141" spans="1:10">
      <c r="A1141" s="4">
        <v>1137</v>
      </c>
      <c r="B1141" s="4" t="str">
        <f>"20206223827"</f>
        <v>20206223827</v>
      </c>
      <c r="C1141" s="4">
        <v>38</v>
      </c>
      <c r="D1141" s="4">
        <v>27</v>
      </c>
      <c r="E1141" s="4" t="s">
        <v>43</v>
      </c>
      <c r="F1141" s="4" t="str">
        <f>"卢甜"</f>
        <v>卢甜</v>
      </c>
      <c r="G1141" s="4" t="str">
        <f t="shared" si="49"/>
        <v>女</v>
      </c>
      <c r="H1141" s="4" t="str">
        <f>"1997-11-20"</f>
        <v>1997-11-20</v>
      </c>
      <c r="I1141" s="4">
        <v>77.2</v>
      </c>
      <c r="J1141" s="5"/>
    </row>
    <row r="1142" spans="1:10">
      <c r="A1142" s="4">
        <v>1138</v>
      </c>
      <c r="B1142" s="4" t="str">
        <f>"20206223828"</f>
        <v>20206223828</v>
      </c>
      <c r="C1142" s="4">
        <v>38</v>
      </c>
      <c r="D1142" s="4">
        <v>28</v>
      </c>
      <c r="E1142" s="4" t="s">
        <v>43</v>
      </c>
      <c r="F1142" s="4" t="str">
        <f>"孔怡"</f>
        <v>孔怡</v>
      </c>
      <c r="G1142" s="4" t="str">
        <f t="shared" si="49"/>
        <v>女</v>
      </c>
      <c r="H1142" s="4" t="str">
        <f>"1997-11-22"</f>
        <v>1997-11-22</v>
      </c>
      <c r="I1142" s="4">
        <v>52.6</v>
      </c>
      <c r="J1142" s="5"/>
    </row>
    <row r="1143" spans="1:10">
      <c r="A1143" s="4">
        <v>1139</v>
      </c>
      <c r="B1143" s="4" t="str">
        <f>"20206223829"</f>
        <v>20206223829</v>
      </c>
      <c r="C1143" s="4">
        <v>38</v>
      </c>
      <c r="D1143" s="4">
        <v>29</v>
      </c>
      <c r="E1143" s="4" t="s">
        <v>43</v>
      </c>
      <c r="F1143" s="4" t="str">
        <f>"孙淼淼"</f>
        <v>孙淼淼</v>
      </c>
      <c r="G1143" s="4" t="str">
        <f t="shared" si="49"/>
        <v>女</v>
      </c>
      <c r="H1143" s="4" t="str">
        <f>"1998-04-04"</f>
        <v>1998-04-04</v>
      </c>
      <c r="I1143" s="4">
        <v>72.2</v>
      </c>
      <c r="J1143" s="5"/>
    </row>
    <row r="1144" spans="1:10">
      <c r="A1144" s="4">
        <v>1140</v>
      </c>
      <c r="B1144" s="4" t="str">
        <f>"20206223830"</f>
        <v>20206223830</v>
      </c>
      <c r="C1144" s="4">
        <v>38</v>
      </c>
      <c r="D1144" s="4">
        <v>30</v>
      </c>
      <c r="E1144" s="4" t="s">
        <v>43</v>
      </c>
      <c r="F1144" s="4" t="str">
        <f>"张彤"</f>
        <v>张彤</v>
      </c>
      <c r="G1144" s="4" t="str">
        <f t="shared" si="49"/>
        <v>女</v>
      </c>
      <c r="H1144" s="4" t="str">
        <f>"1998-04-06"</f>
        <v>1998-04-06</v>
      </c>
      <c r="I1144" s="4">
        <v>57.1</v>
      </c>
      <c r="J1144" s="5"/>
    </row>
    <row r="1145" spans="1:10">
      <c r="A1145" s="4">
        <v>1141</v>
      </c>
      <c r="B1145" s="4" t="str">
        <f>"20206223901"</f>
        <v>20206223901</v>
      </c>
      <c r="C1145" s="4">
        <v>39</v>
      </c>
      <c r="D1145" s="4">
        <v>1</v>
      </c>
      <c r="E1145" s="4" t="s">
        <v>43</v>
      </c>
      <c r="F1145" s="4" t="str">
        <f>"薛协恒"</f>
        <v>薛协恒</v>
      </c>
      <c r="G1145" s="4" t="str">
        <f>"男"</f>
        <v>男</v>
      </c>
      <c r="H1145" s="4" t="str">
        <f>"1997-02-22"</f>
        <v>1997-02-22</v>
      </c>
      <c r="I1145" s="4">
        <v>58.4</v>
      </c>
      <c r="J1145" s="5"/>
    </row>
    <row r="1146" spans="1:10">
      <c r="A1146" s="4">
        <v>1142</v>
      </c>
      <c r="B1146" s="4" t="str">
        <f>"20206223902"</f>
        <v>20206223902</v>
      </c>
      <c r="C1146" s="4">
        <v>39</v>
      </c>
      <c r="D1146" s="4">
        <v>2</v>
      </c>
      <c r="E1146" s="4" t="s">
        <v>43</v>
      </c>
      <c r="F1146" s="4" t="str">
        <f>"邢蕊"</f>
        <v>邢蕊</v>
      </c>
      <c r="G1146" s="4" t="str">
        <f>"女"</f>
        <v>女</v>
      </c>
      <c r="H1146" s="4" t="str">
        <f>"1993-12-08"</f>
        <v>1993-12-08</v>
      </c>
      <c r="I1146" s="4" t="s">
        <v>12</v>
      </c>
      <c r="J1146" s="5"/>
    </row>
    <row r="1147" spans="1:10">
      <c r="A1147" s="4">
        <v>1143</v>
      </c>
      <c r="B1147" s="4" t="str">
        <f>"20206323903"</f>
        <v>20206323903</v>
      </c>
      <c r="C1147" s="4">
        <v>39</v>
      </c>
      <c r="D1147" s="4">
        <v>3</v>
      </c>
      <c r="E1147" s="4" t="s">
        <v>44</v>
      </c>
      <c r="F1147" s="4" t="str">
        <f>"郑峥"</f>
        <v>郑峥</v>
      </c>
      <c r="G1147" s="4" t="str">
        <f>"男"</f>
        <v>男</v>
      </c>
      <c r="H1147" s="4" t="str">
        <f>"1999-08-24"</f>
        <v>1999-08-24</v>
      </c>
      <c r="I1147" s="4" t="s">
        <v>12</v>
      </c>
      <c r="J1147" s="5"/>
    </row>
    <row r="1148" spans="1:10">
      <c r="A1148" s="4">
        <v>1144</v>
      </c>
      <c r="B1148" s="4" t="str">
        <f>"20206323904"</f>
        <v>20206323904</v>
      </c>
      <c r="C1148" s="4">
        <v>39</v>
      </c>
      <c r="D1148" s="4">
        <v>4</v>
      </c>
      <c r="E1148" s="4" t="s">
        <v>44</v>
      </c>
      <c r="F1148" s="4" t="str">
        <f>"张丹丹"</f>
        <v>张丹丹</v>
      </c>
      <c r="G1148" s="4" t="str">
        <f t="shared" ref="G1148:G1191" si="50">"女"</f>
        <v>女</v>
      </c>
      <c r="H1148" s="4" t="str">
        <f>"2000-01-18"</f>
        <v>2000-01-18</v>
      </c>
      <c r="I1148" s="4">
        <v>54.4</v>
      </c>
      <c r="J1148" s="5"/>
    </row>
    <row r="1149" spans="1:10">
      <c r="A1149" s="4">
        <v>1145</v>
      </c>
      <c r="B1149" s="4" t="str">
        <f>"20206323905"</f>
        <v>20206323905</v>
      </c>
      <c r="C1149" s="4">
        <v>39</v>
      </c>
      <c r="D1149" s="4">
        <v>5</v>
      </c>
      <c r="E1149" s="4" t="s">
        <v>44</v>
      </c>
      <c r="F1149" s="4" t="str">
        <f>"张爽"</f>
        <v>张爽</v>
      </c>
      <c r="G1149" s="4" t="str">
        <f t="shared" si="50"/>
        <v>女</v>
      </c>
      <c r="H1149" s="4" t="str">
        <f>"1996-11-25"</f>
        <v>1996-11-25</v>
      </c>
      <c r="I1149" s="4" t="s">
        <v>12</v>
      </c>
      <c r="J1149" s="5"/>
    </row>
    <row r="1150" spans="1:10">
      <c r="A1150" s="4">
        <v>1146</v>
      </c>
      <c r="B1150" s="4" t="str">
        <f>"20206323906"</f>
        <v>20206323906</v>
      </c>
      <c r="C1150" s="4">
        <v>39</v>
      </c>
      <c r="D1150" s="4">
        <v>6</v>
      </c>
      <c r="E1150" s="4" t="s">
        <v>44</v>
      </c>
      <c r="F1150" s="4" t="str">
        <f>"毛欣"</f>
        <v>毛欣</v>
      </c>
      <c r="G1150" s="4" t="str">
        <f t="shared" si="50"/>
        <v>女</v>
      </c>
      <c r="H1150" s="4" t="str">
        <f>"1999-09-25"</f>
        <v>1999-09-25</v>
      </c>
      <c r="I1150" s="4">
        <v>61.1</v>
      </c>
      <c r="J1150" s="5"/>
    </row>
    <row r="1151" spans="1:10">
      <c r="A1151" s="4">
        <v>1147</v>
      </c>
      <c r="B1151" s="4" t="str">
        <f>"20206323907"</f>
        <v>20206323907</v>
      </c>
      <c r="C1151" s="4">
        <v>39</v>
      </c>
      <c r="D1151" s="4">
        <v>7</v>
      </c>
      <c r="E1151" s="4" t="s">
        <v>44</v>
      </c>
      <c r="F1151" s="4" t="str">
        <f>"孟璠"</f>
        <v>孟璠</v>
      </c>
      <c r="G1151" s="4" t="str">
        <f t="shared" si="50"/>
        <v>女</v>
      </c>
      <c r="H1151" s="4" t="str">
        <f>"1997-02-04"</f>
        <v>1997-02-04</v>
      </c>
      <c r="I1151" s="4">
        <v>74.9</v>
      </c>
      <c r="J1151" s="5"/>
    </row>
    <row r="1152" spans="1:10">
      <c r="A1152" s="4">
        <v>1148</v>
      </c>
      <c r="B1152" s="4" t="str">
        <f>"20206323908"</f>
        <v>20206323908</v>
      </c>
      <c r="C1152" s="4">
        <v>39</v>
      </c>
      <c r="D1152" s="4">
        <v>8</v>
      </c>
      <c r="E1152" s="4" t="s">
        <v>44</v>
      </c>
      <c r="F1152" s="4" t="str">
        <f>"张韶新"</f>
        <v>张韶新</v>
      </c>
      <c r="G1152" s="4" t="str">
        <f t="shared" si="50"/>
        <v>女</v>
      </c>
      <c r="H1152" s="4" t="str">
        <f>"1996-12-09"</f>
        <v>1996-12-09</v>
      </c>
      <c r="I1152" s="4">
        <v>55</v>
      </c>
      <c r="J1152" s="5"/>
    </row>
    <row r="1153" spans="1:10">
      <c r="A1153" s="4">
        <v>1149</v>
      </c>
      <c r="B1153" s="4" t="str">
        <f>"20206323909"</f>
        <v>20206323909</v>
      </c>
      <c r="C1153" s="4">
        <v>39</v>
      </c>
      <c r="D1153" s="4">
        <v>9</v>
      </c>
      <c r="E1153" s="4" t="s">
        <v>44</v>
      </c>
      <c r="F1153" s="4" t="str">
        <f>"向银月"</f>
        <v>向银月</v>
      </c>
      <c r="G1153" s="4" t="str">
        <f t="shared" si="50"/>
        <v>女</v>
      </c>
      <c r="H1153" s="4" t="str">
        <f>"1996-11-26"</f>
        <v>1996-11-26</v>
      </c>
      <c r="I1153" s="4">
        <v>49.8</v>
      </c>
      <c r="J1153" s="5"/>
    </row>
    <row r="1154" spans="1:10">
      <c r="A1154" s="4">
        <v>1150</v>
      </c>
      <c r="B1154" s="4" t="str">
        <f>"20206323910"</f>
        <v>20206323910</v>
      </c>
      <c r="C1154" s="4">
        <v>39</v>
      </c>
      <c r="D1154" s="4">
        <v>10</v>
      </c>
      <c r="E1154" s="4" t="s">
        <v>44</v>
      </c>
      <c r="F1154" s="4" t="str">
        <f>"王天彩"</f>
        <v>王天彩</v>
      </c>
      <c r="G1154" s="4" t="str">
        <f t="shared" si="50"/>
        <v>女</v>
      </c>
      <c r="H1154" s="4" t="str">
        <f>"1997-01-02"</f>
        <v>1997-01-02</v>
      </c>
      <c r="I1154" s="4">
        <v>68.9</v>
      </c>
      <c r="J1154" s="5"/>
    </row>
    <row r="1155" spans="1:10">
      <c r="A1155" s="4">
        <v>1151</v>
      </c>
      <c r="B1155" s="4" t="str">
        <f>"20206323911"</f>
        <v>20206323911</v>
      </c>
      <c r="C1155" s="4">
        <v>39</v>
      </c>
      <c r="D1155" s="4">
        <v>11</v>
      </c>
      <c r="E1155" s="4" t="s">
        <v>44</v>
      </c>
      <c r="F1155" s="4" t="str">
        <f>"岳萌"</f>
        <v>岳萌</v>
      </c>
      <c r="G1155" s="4" t="str">
        <f t="shared" si="50"/>
        <v>女</v>
      </c>
      <c r="H1155" s="4" t="str">
        <f>"1998-09-04"</f>
        <v>1998-09-04</v>
      </c>
      <c r="I1155" s="4">
        <v>63.7</v>
      </c>
      <c r="J1155" s="5"/>
    </row>
    <row r="1156" spans="1:10">
      <c r="A1156" s="4">
        <v>1152</v>
      </c>
      <c r="B1156" s="4" t="str">
        <f>"20206323912"</f>
        <v>20206323912</v>
      </c>
      <c r="C1156" s="4">
        <v>39</v>
      </c>
      <c r="D1156" s="4">
        <v>12</v>
      </c>
      <c r="E1156" s="4" t="s">
        <v>44</v>
      </c>
      <c r="F1156" s="4" t="str">
        <f>"尹俊梅"</f>
        <v>尹俊梅</v>
      </c>
      <c r="G1156" s="4" t="str">
        <f t="shared" si="50"/>
        <v>女</v>
      </c>
      <c r="H1156" s="4" t="str">
        <f>"1998-05-17"</f>
        <v>1998-05-17</v>
      </c>
      <c r="I1156" s="4">
        <v>58</v>
      </c>
      <c r="J1156" s="5"/>
    </row>
    <row r="1157" spans="1:10">
      <c r="A1157" s="4">
        <v>1153</v>
      </c>
      <c r="B1157" s="4" t="str">
        <f>"20206323913"</f>
        <v>20206323913</v>
      </c>
      <c r="C1157" s="4">
        <v>39</v>
      </c>
      <c r="D1157" s="4">
        <v>13</v>
      </c>
      <c r="E1157" s="4" t="s">
        <v>44</v>
      </c>
      <c r="F1157" s="4" t="str">
        <f>"高凌晨"</f>
        <v>高凌晨</v>
      </c>
      <c r="G1157" s="4" t="str">
        <f t="shared" si="50"/>
        <v>女</v>
      </c>
      <c r="H1157" s="4" t="str">
        <f>"1999-11-29"</f>
        <v>1999-11-29</v>
      </c>
      <c r="I1157" s="4">
        <v>55</v>
      </c>
      <c r="J1157" s="5"/>
    </row>
    <row r="1158" spans="1:10">
      <c r="A1158" s="4">
        <v>1154</v>
      </c>
      <c r="B1158" s="4" t="str">
        <f>"20206323914"</f>
        <v>20206323914</v>
      </c>
      <c r="C1158" s="4">
        <v>39</v>
      </c>
      <c r="D1158" s="4">
        <v>14</v>
      </c>
      <c r="E1158" s="4" t="s">
        <v>44</v>
      </c>
      <c r="F1158" s="4" t="str">
        <f>"黄瑶"</f>
        <v>黄瑶</v>
      </c>
      <c r="G1158" s="4" t="str">
        <f t="shared" si="50"/>
        <v>女</v>
      </c>
      <c r="H1158" s="4" t="str">
        <f>"1997-04-04"</f>
        <v>1997-04-04</v>
      </c>
      <c r="I1158" s="4">
        <v>68.8</v>
      </c>
      <c r="J1158" s="5"/>
    </row>
    <row r="1159" spans="1:10">
      <c r="A1159" s="4">
        <v>1155</v>
      </c>
      <c r="B1159" s="4" t="str">
        <f>"20206323915"</f>
        <v>20206323915</v>
      </c>
      <c r="C1159" s="4">
        <v>39</v>
      </c>
      <c r="D1159" s="4">
        <v>15</v>
      </c>
      <c r="E1159" s="4" t="s">
        <v>44</v>
      </c>
      <c r="F1159" s="4" t="str">
        <f>"王喜燕"</f>
        <v>王喜燕</v>
      </c>
      <c r="G1159" s="4" t="str">
        <f t="shared" si="50"/>
        <v>女</v>
      </c>
      <c r="H1159" s="4" t="str">
        <f>"1998-11-17"</f>
        <v>1998-11-17</v>
      </c>
      <c r="I1159" s="4">
        <v>52.3</v>
      </c>
      <c r="J1159" s="5"/>
    </row>
    <row r="1160" spans="1:10">
      <c r="A1160" s="4">
        <v>1156</v>
      </c>
      <c r="B1160" s="4" t="str">
        <f>"20206323916"</f>
        <v>20206323916</v>
      </c>
      <c r="C1160" s="4">
        <v>39</v>
      </c>
      <c r="D1160" s="4">
        <v>16</v>
      </c>
      <c r="E1160" s="4" t="s">
        <v>44</v>
      </c>
      <c r="F1160" s="4" t="str">
        <f>"赵雪妍"</f>
        <v>赵雪妍</v>
      </c>
      <c r="G1160" s="4" t="str">
        <f t="shared" si="50"/>
        <v>女</v>
      </c>
      <c r="H1160" s="4" t="str">
        <f>"1997-08-30"</f>
        <v>1997-08-30</v>
      </c>
      <c r="I1160" s="4">
        <v>82.9</v>
      </c>
      <c r="J1160" s="5"/>
    </row>
    <row r="1161" spans="1:10">
      <c r="A1161" s="4">
        <v>1157</v>
      </c>
      <c r="B1161" s="4" t="str">
        <f>"20206323917"</f>
        <v>20206323917</v>
      </c>
      <c r="C1161" s="4">
        <v>39</v>
      </c>
      <c r="D1161" s="4">
        <v>17</v>
      </c>
      <c r="E1161" s="4" t="s">
        <v>44</v>
      </c>
      <c r="F1161" s="4" t="str">
        <f>"张玉庚"</f>
        <v>张玉庚</v>
      </c>
      <c r="G1161" s="4" t="str">
        <f t="shared" si="50"/>
        <v>女</v>
      </c>
      <c r="H1161" s="4" t="str">
        <f>"1999-01-01"</f>
        <v>1999-01-01</v>
      </c>
      <c r="I1161" s="4">
        <v>59.6</v>
      </c>
      <c r="J1161" s="5"/>
    </row>
    <row r="1162" spans="1:10">
      <c r="A1162" s="4">
        <v>1158</v>
      </c>
      <c r="B1162" s="4" t="str">
        <f>"20206323918"</f>
        <v>20206323918</v>
      </c>
      <c r="C1162" s="4">
        <v>39</v>
      </c>
      <c r="D1162" s="4">
        <v>18</v>
      </c>
      <c r="E1162" s="4" t="s">
        <v>44</v>
      </c>
      <c r="F1162" s="4" t="str">
        <f>"马彦欣"</f>
        <v>马彦欣</v>
      </c>
      <c r="G1162" s="4" t="str">
        <f t="shared" si="50"/>
        <v>女</v>
      </c>
      <c r="H1162" s="4" t="str">
        <f>"1999-03-27"</f>
        <v>1999-03-27</v>
      </c>
      <c r="I1162" s="4" t="s">
        <v>12</v>
      </c>
      <c r="J1162" s="5"/>
    </row>
    <row r="1163" spans="1:10">
      <c r="A1163" s="4">
        <v>1159</v>
      </c>
      <c r="B1163" s="4" t="str">
        <f>"20206323919"</f>
        <v>20206323919</v>
      </c>
      <c r="C1163" s="4">
        <v>39</v>
      </c>
      <c r="D1163" s="4">
        <v>19</v>
      </c>
      <c r="E1163" s="4" t="s">
        <v>44</v>
      </c>
      <c r="F1163" s="4" t="str">
        <f>"白君兰"</f>
        <v>白君兰</v>
      </c>
      <c r="G1163" s="4" t="str">
        <f t="shared" si="50"/>
        <v>女</v>
      </c>
      <c r="H1163" s="4" t="str">
        <f>"1999-08-03"</f>
        <v>1999-08-03</v>
      </c>
      <c r="I1163" s="4">
        <v>55</v>
      </c>
      <c r="J1163" s="5"/>
    </row>
    <row r="1164" spans="1:10">
      <c r="A1164" s="4">
        <v>1160</v>
      </c>
      <c r="B1164" s="4" t="str">
        <f>"20206323920"</f>
        <v>20206323920</v>
      </c>
      <c r="C1164" s="4">
        <v>39</v>
      </c>
      <c r="D1164" s="4">
        <v>20</v>
      </c>
      <c r="E1164" s="4" t="s">
        <v>44</v>
      </c>
      <c r="F1164" s="4" t="str">
        <f>"杨洋"</f>
        <v>杨洋</v>
      </c>
      <c r="G1164" s="4" t="str">
        <f t="shared" si="50"/>
        <v>女</v>
      </c>
      <c r="H1164" s="4" t="str">
        <f>"1998-05-08"</f>
        <v>1998-05-08</v>
      </c>
      <c r="I1164" s="4">
        <v>69.1</v>
      </c>
      <c r="J1164" s="5"/>
    </row>
    <row r="1165" spans="1:10">
      <c r="A1165" s="4">
        <v>1161</v>
      </c>
      <c r="B1165" s="4" t="str">
        <f>"20206323921"</f>
        <v>20206323921</v>
      </c>
      <c r="C1165" s="4">
        <v>39</v>
      </c>
      <c r="D1165" s="4">
        <v>21</v>
      </c>
      <c r="E1165" s="4" t="s">
        <v>44</v>
      </c>
      <c r="F1165" s="4" t="str">
        <f>"彭艳"</f>
        <v>彭艳</v>
      </c>
      <c r="G1165" s="4" t="str">
        <f t="shared" si="50"/>
        <v>女</v>
      </c>
      <c r="H1165" s="4" t="str">
        <f>"1997-02-09"</f>
        <v>1997-02-09</v>
      </c>
      <c r="I1165" s="4">
        <v>76.5</v>
      </c>
      <c r="J1165" s="5"/>
    </row>
    <row r="1166" spans="1:10">
      <c r="A1166" s="4">
        <v>1162</v>
      </c>
      <c r="B1166" s="4" t="str">
        <f>"20206323922"</f>
        <v>20206323922</v>
      </c>
      <c r="C1166" s="4">
        <v>39</v>
      </c>
      <c r="D1166" s="4">
        <v>22</v>
      </c>
      <c r="E1166" s="4" t="s">
        <v>44</v>
      </c>
      <c r="F1166" s="4" t="str">
        <f>"刘妍"</f>
        <v>刘妍</v>
      </c>
      <c r="G1166" s="4" t="str">
        <f t="shared" si="50"/>
        <v>女</v>
      </c>
      <c r="H1166" s="4" t="str">
        <f>"1998-09-04"</f>
        <v>1998-09-04</v>
      </c>
      <c r="I1166" s="4">
        <v>79.9</v>
      </c>
      <c r="J1166" s="5"/>
    </row>
    <row r="1167" spans="1:10">
      <c r="A1167" s="4">
        <v>1163</v>
      </c>
      <c r="B1167" s="4" t="str">
        <f>"20206323923"</f>
        <v>20206323923</v>
      </c>
      <c r="C1167" s="4">
        <v>39</v>
      </c>
      <c r="D1167" s="4">
        <v>23</v>
      </c>
      <c r="E1167" s="4" t="s">
        <v>44</v>
      </c>
      <c r="F1167" s="4" t="str">
        <f>"赵璐颖"</f>
        <v>赵璐颖</v>
      </c>
      <c r="G1167" s="4" t="str">
        <f t="shared" si="50"/>
        <v>女</v>
      </c>
      <c r="H1167" s="4" t="str">
        <f>"1997-08-20"</f>
        <v>1997-08-20</v>
      </c>
      <c r="I1167" s="4">
        <v>48</v>
      </c>
      <c r="J1167" s="5"/>
    </row>
    <row r="1168" spans="1:10">
      <c r="A1168" s="4">
        <v>1164</v>
      </c>
      <c r="B1168" s="4" t="str">
        <f>"20206323924"</f>
        <v>20206323924</v>
      </c>
      <c r="C1168" s="4">
        <v>39</v>
      </c>
      <c r="D1168" s="4">
        <v>24</v>
      </c>
      <c r="E1168" s="4" t="s">
        <v>44</v>
      </c>
      <c r="F1168" s="4" t="str">
        <f>"王羽蓉"</f>
        <v>王羽蓉</v>
      </c>
      <c r="G1168" s="4" t="str">
        <f t="shared" si="50"/>
        <v>女</v>
      </c>
      <c r="H1168" s="4" t="str">
        <f>"1998-05-16"</f>
        <v>1998-05-16</v>
      </c>
      <c r="I1168" s="4">
        <v>62.1</v>
      </c>
      <c r="J1168" s="5"/>
    </row>
    <row r="1169" spans="1:10">
      <c r="A1169" s="4">
        <v>1165</v>
      </c>
      <c r="B1169" s="4" t="str">
        <f>"20206323925"</f>
        <v>20206323925</v>
      </c>
      <c r="C1169" s="4">
        <v>39</v>
      </c>
      <c r="D1169" s="4">
        <v>25</v>
      </c>
      <c r="E1169" s="4" t="s">
        <v>44</v>
      </c>
      <c r="F1169" s="4" t="str">
        <f>"许晴"</f>
        <v>许晴</v>
      </c>
      <c r="G1169" s="4" t="str">
        <f t="shared" si="50"/>
        <v>女</v>
      </c>
      <c r="H1169" s="4" t="str">
        <f>"1996-12-01"</f>
        <v>1996-12-01</v>
      </c>
      <c r="I1169" s="4">
        <v>65.7</v>
      </c>
      <c r="J1169" s="5"/>
    </row>
    <row r="1170" spans="1:10">
      <c r="A1170" s="4">
        <v>1166</v>
      </c>
      <c r="B1170" s="4" t="str">
        <f>"20206323926"</f>
        <v>20206323926</v>
      </c>
      <c r="C1170" s="4">
        <v>39</v>
      </c>
      <c r="D1170" s="4">
        <v>26</v>
      </c>
      <c r="E1170" s="4" t="s">
        <v>44</v>
      </c>
      <c r="F1170" s="4" t="str">
        <f>"夏云培"</f>
        <v>夏云培</v>
      </c>
      <c r="G1170" s="4" t="str">
        <f t="shared" si="50"/>
        <v>女</v>
      </c>
      <c r="H1170" s="4" t="str">
        <f>"1996-12-07"</f>
        <v>1996-12-07</v>
      </c>
      <c r="I1170" s="4">
        <v>56.3</v>
      </c>
      <c r="J1170" s="5"/>
    </row>
    <row r="1171" spans="1:10">
      <c r="A1171" s="4">
        <v>1167</v>
      </c>
      <c r="B1171" s="4" t="str">
        <f>"20206323927"</f>
        <v>20206323927</v>
      </c>
      <c r="C1171" s="4">
        <v>39</v>
      </c>
      <c r="D1171" s="4">
        <v>27</v>
      </c>
      <c r="E1171" s="4" t="s">
        <v>44</v>
      </c>
      <c r="F1171" s="4" t="str">
        <f>"褚泉冰"</f>
        <v>褚泉冰</v>
      </c>
      <c r="G1171" s="4" t="str">
        <f t="shared" si="50"/>
        <v>女</v>
      </c>
      <c r="H1171" s="4" t="str">
        <f>"1998-07-06"</f>
        <v>1998-07-06</v>
      </c>
      <c r="I1171" s="4">
        <v>57.3</v>
      </c>
      <c r="J1171" s="5"/>
    </row>
    <row r="1172" spans="1:10">
      <c r="A1172" s="4">
        <v>1168</v>
      </c>
      <c r="B1172" s="4" t="str">
        <f>"20206323928"</f>
        <v>20206323928</v>
      </c>
      <c r="C1172" s="4">
        <v>39</v>
      </c>
      <c r="D1172" s="4">
        <v>28</v>
      </c>
      <c r="E1172" s="4" t="s">
        <v>44</v>
      </c>
      <c r="F1172" s="4" t="str">
        <f>"李彬"</f>
        <v>李彬</v>
      </c>
      <c r="G1172" s="4" t="str">
        <f t="shared" si="50"/>
        <v>女</v>
      </c>
      <c r="H1172" s="4" t="str">
        <f>"1997-10-15"</f>
        <v>1997-10-15</v>
      </c>
      <c r="I1172" s="4" t="s">
        <v>12</v>
      </c>
      <c r="J1172" s="5"/>
    </row>
    <row r="1173" spans="1:10">
      <c r="A1173" s="4">
        <v>1169</v>
      </c>
      <c r="B1173" s="4" t="str">
        <f>"20206323929"</f>
        <v>20206323929</v>
      </c>
      <c r="C1173" s="4">
        <v>39</v>
      </c>
      <c r="D1173" s="4">
        <v>29</v>
      </c>
      <c r="E1173" s="4" t="s">
        <v>44</v>
      </c>
      <c r="F1173" s="4" t="str">
        <f>"李佳伟"</f>
        <v>李佳伟</v>
      </c>
      <c r="G1173" s="4" t="str">
        <f t="shared" si="50"/>
        <v>女</v>
      </c>
      <c r="H1173" s="4" t="str">
        <f>"1997-05-17"</f>
        <v>1997-05-17</v>
      </c>
      <c r="I1173" s="4">
        <v>85.2</v>
      </c>
      <c r="J1173" s="5"/>
    </row>
    <row r="1174" spans="1:10">
      <c r="A1174" s="4">
        <v>1170</v>
      </c>
      <c r="B1174" s="4" t="str">
        <f>"20206323930"</f>
        <v>20206323930</v>
      </c>
      <c r="C1174" s="4">
        <v>39</v>
      </c>
      <c r="D1174" s="4">
        <v>30</v>
      </c>
      <c r="E1174" s="4" t="s">
        <v>44</v>
      </c>
      <c r="F1174" s="4" t="str">
        <f>"顾竞之"</f>
        <v>顾竞之</v>
      </c>
      <c r="G1174" s="4" t="str">
        <f t="shared" si="50"/>
        <v>女</v>
      </c>
      <c r="H1174" s="4" t="str">
        <f>"1996-07-04"</f>
        <v>1996-07-04</v>
      </c>
      <c r="I1174" s="4" t="s">
        <v>12</v>
      </c>
      <c r="J1174" s="5"/>
    </row>
    <row r="1175" spans="1:10">
      <c r="A1175" s="4">
        <v>1171</v>
      </c>
      <c r="B1175" s="4" t="str">
        <f>"20206324001"</f>
        <v>20206324001</v>
      </c>
      <c r="C1175" s="4">
        <v>40</v>
      </c>
      <c r="D1175" s="4">
        <v>1</v>
      </c>
      <c r="E1175" s="4" t="s">
        <v>44</v>
      </c>
      <c r="F1175" s="4" t="str">
        <f>"葛宇华"</f>
        <v>葛宇华</v>
      </c>
      <c r="G1175" s="4" t="str">
        <f t="shared" si="50"/>
        <v>女</v>
      </c>
      <c r="H1175" s="4" t="str">
        <f>"1994-10-09"</f>
        <v>1994-10-09</v>
      </c>
      <c r="I1175" s="4">
        <v>62.1</v>
      </c>
      <c r="J1175" s="5"/>
    </row>
    <row r="1176" spans="1:10">
      <c r="A1176" s="4">
        <v>1172</v>
      </c>
      <c r="B1176" s="4" t="str">
        <f>"20206324002"</f>
        <v>20206324002</v>
      </c>
      <c r="C1176" s="4">
        <v>40</v>
      </c>
      <c r="D1176" s="4">
        <v>2</v>
      </c>
      <c r="E1176" s="4" t="s">
        <v>44</v>
      </c>
      <c r="F1176" s="4" t="str">
        <f>"黄培培"</f>
        <v>黄培培</v>
      </c>
      <c r="G1176" s="4" t="str">
        <f t="shared" si="50"/>
        <v>女</v>
      </c>
      <c r="H1176" s="4" t="str">
        <f>"1994-12-19"</f>
        <v>1994-12-19</v>
      </c>
      <c r="I1176" s="4" t="s">
        <v>12</v>
      </c>
      <c r="J1176" s="5"/>
    </row>
    <row r="1177" spans="1:10">
      <c r="A1177" s="4">
        <v>1173</v>
      </c>
      <c r="B1177" s="4" t="str">
        <f>"20206324003"</f>
        <v>20206324003</v>
      </c>
      <c r="C1177" s="4">
        <v>40</v>
      </c>
      <c r="D1177" s="4">
        <v>3</v>
      </c>
      <c r="E1177" s="4" t="s">
        <v>44</v>
      </c>
      <c r="F1177" s="4" t="str">
        <f>"常宛悦"</f>
        <v>常宛悦</v>
      </c>
      <c r="G1177" s="4" t="str">
        <f t="shared" si="50"/>
        <v>女</v>
      </c>
      <c r="H1177" s="4" t="str">
        <f>"1998-06-29"</f>
        <v>1998-06-29</v>
      </c>
      <c r="I1177" s="4">
        <v>62.1</v>
      </c>
      <c r="J1177" s="5"/>
    </row>
    <row r="1178" spans="1:10">
      <c r="A1178" s="4">
        <v>1174</v>
      </c>
      <c r="B1178" s="4" t="str">
        <f>"20206324004"</f>
        <v>20206324004</v>
      </c>
      <c r="C1178" s="4">
        <v>40</v>
      </c>
      <c r="D1178" s="4">
        <v>4</v>
      </c>
      <c r="E1178" s="4" t="s">
        <v>44</v>
      </c>
      <c r="F1178" s="4" t="str">
        <f>"刘伟业"</f>
        <v>刘伟业</v>
      </c>
      <c r="G1178" s="4" t="str">
        <f t="shared" si="50"/>
        <v>女</v>
      </c>
      <c r="H1178" s="4" t="str">
        <f>"1999-08-02"</f>
        <v>1999-08-02</v>
      </c>
      <c r="I1178" s="4">
        <v>54.3</v>
      </c>
      <c r="J1178" s="5"/>
    </row>
    <row r="1179" spans="1:10">
      <c r="A1179" s="4">
        <v>1175</v>
      </c>
      <c r="B1179" s="4" t="str">
        <f>"20206324005"</f>
        <v>20206324005</v>
      </c>
      <c r="C1179" s="4">
        <v>40</v>
      </c>
      <c r="D1179" s="4">
        <v>5</v>
      </c>
      <c r="E1179" s="4" t="s">
        <v>44</v>
      </c>
      <c r="F1179" s="4" t="str">
        <f>"程宇"</f>
        <v>程宇</v>
      </c>
      <c r="G1179" s="4" t="str">
        <f t="shared" si="50"/>
        <v>女</v>
      </c>
      <c r="H1179" s="4" t="str">
        <f>"1998-11-16"</f>
        <v>1998-11-16</v>
      </c>
      <c r="I1179" s="4">
        <v>52.1</v>
      </c>
      <c r="J1179" s="5"/>
    </row>
    <row r="1180" spans="1:10">
      <c r="A1180" s="4">
        <v>1176</v>
      </c>
      <c r="B1180" s="4" t="str">
        <f>"20206324006"</f>
        <v>20206324006</v>
      </c>
      <c r="C1180" s="4">
        <v>40</v>
      </c>
      <c r="D1180" s="4">
        <v>6</v>
      </c>
      <c r="E1180" s="4" t="s">
        <v>44</v>
      </c>
      <c r="F1180" s="4" t="str">
        <f>"张苗"</f>
        <v>张苗</v>
      </c>
      <c r="G1180" s="4" t="str">
        <f t="shared" si="50"/>
        <v>女</v>
      </c>
      <c r="H1180" s="4" t="str">
        <f>"1997-02-26"</f>
        <v>1997-02-26</v>
      </c>
      <c r="I1180" s="4">
        <v>58.4</v>
      </c>
      <c r="J1180" s="5"/>
    </row>
    <row r="1181" spans="1:10">
      <c r="A1181" s="4">
        <v>1177</v>
      </c>
      <c r="B1181" s="4" t="str">
        <f>"20206324007"</f>
        <v>20206324007</v>
      </c>
      <c r="C1181" s="4">
        <v>40</v>
      </c>
      <c r="D1181" s="4">
        <v>7</v>
      </c>
      <c r="E1181" s="4" t="s">
        <v>44</v>
      </c>
      <c r="F1181" s="4" t="str">
        <f>"郑雨"</f>
        <v>郑雨</v>
      </c>
      <c r="G1181" s="4" t="str">
        <f t="shared" si="50"/>
        <v>女</v>
      </c>
      <c r="H1181" s="4" t="str">
        <f>"1999-03-06"</f>
        <v>1999-03-06</v>
      </c>
      <c r="I1181" s="4">
        <v>62.4</v>
      </c>
      <c r="J1181" s="5"/>
    </row>
    <row r="1182" spans="1:10">
      <c r="A1182" s="4">
        <v>1178</v>
      </c>
      <c r="B1182" s="4" t="str">
        <f>"20206324008"</f>
        <v>20206324008</v>
      </c>
      <c r="C1182" s="4">
        <v>40</v>
      </c>
      <c r="D1182" s="4">
        <v>8</v>
      </c>
      <c r="E1182" s="4" t="s">
        <v>44</v>
      </c>
      <c r="F1182" s="4" t="str">
        <f>"秦婉璐"</f>
        <v>秦婉璐</v>
      </c>
      <c r="G1182" s="4" t="str">
        <f t="shared" si="50"/>
        <v>女</v>
      </c>
      <c r="H1182" s="4" t="str">
        <f>"1993-10-02"</f>
        <v>1993-10-02</v>
      </c>
      <c r="I1182" s="4" t="s">
        <v>12</v>
      </c>
      <c r="J1182" s="5"/>
    </row>
    <row r="1183" spans="1:10">
      <c r="A1183" s="4">
        <v>1179</v>
      </c>
      <c r="B1183" s="4" t="str">
        <f>"20206324009"</f>
        <v>20206324009</v>
      </c>
      <c r="C1183" s="4">
        <v>40</v>
      </c>
      <c r="D1183" s="4">
        <v>9</v>
      </c>
      <c r="E1183" s="4" t="s">
        <v>44</v>
      </c>
      <c r="F1183" s="4" t="str">
        <f>"王高翔"</f>
        <v>王高翔</v>
      </c>
      <c r="G1183" s="4" t="str">
        <f t="shared" si="50"/>
        <v>女</v>
      </c>
      <c r="H1183" s="4" t="str">
        <f>"1997-10-15"</f>
        <v>1997-10-15</v>
      </c>
      <c r="I1183" s="4">
        <v>55.3</v>
      </c>
      <c r="J1183" s="5"/>
    </row>
    <row r="1184" spans="1:10">
      <c r="A1184" s="4">
        <v>1180</v>
      </c>
      <c r="B1184" s="4" t="str">
        <f>"20206324010"</f>
        <v>20206324010</v>
      </c>
      <c r="C1184" s="4">
        <v>40</v>
      </c>
      <c r="D1184" s="4">
        <v>10</v>
      </c>
      <c r="E1184" s="4" t="s">
        <v>44</v>
      </c>
      <c r="F1184" s="4" t="str">
        <f>"崔月阳"</f>
        <v>崔月阳</v>
      </c>
      <c r="G1184" s="4" t="str">
        <f t="shared" si="50"/>
        <v>女</v>
      </c>
      <c r="H1184" s="4" t="str">
        <f>"1997-11-17"</f>
        <v>1997-11-17</v>
      </c>
      <c r="I1184" s="4">
        <v>68.8</v>
      </c>
      <c r="J1184" s="5"/>
    </row>
    <row r="1185" spans="1:10">
      <c r="A1185" s="4">
        <v>1181</v>
      </c>
      <c r="B1185" s="4" t="str">
        <f>"20206324011"</f>
        <v>20206324011</v>
      </c>
      <c r="C1185" s="4">
        <v>40</v>
      </c>
      <c r="D1185" s="4">
        <v>11</v>
      </c>
      <c r="E1185" s="4" t="s">
        <v>44</v>
      </c>
      <c r="F1185" s="4" t="str">
        <f>"曹丽"</f>
        <v>曹丽</v>
      </c>
      <c r="G1185" s="4" t="str">
        <f t="shared" si="50"/>
        <v>女</v>
      </c>
      <c r="H1185" s="4" t="str">
        <f>"1994-12-16"</f>
        <v>1994-12-16</v>
      </c>
      <c r="I1185" s="4">
        <v>64.1</v>
      </c>
      <c r="J1185" s="5"/>
    </row>
    <row r="1186" spans="1:10">
      <c r="A1186" s="4">
        <v>1182</v>
      </c>
      <c r="B1186" s="4" t="str">
        <f>"20206324012"</f>
        <v>20206324012</v>
      </c>
      <c r="C1186" s="4">
        <v>40</v>
      </c>
      <c r="D1186" s="4">
        <v>12</v>
      </c>
      <c r="E1186" s="4" t="s">
        <v>44</v>
      </c>
      <c r="F1186" s="4" t="str">
        <f>"姜禹"</f>
        <v>姜禹</v>
      </c>
      <c r="G1186" s="4" t="str">
        <f t="shared" si="50"/>
        <v>女</v>
      </c>
      <c r="H1186" s="4" t="str">
        <f>"1999-11-05"</f>
        <v>1999-11-05</v>
      </c>
      <c r="I1186" s="4">
        <v>63.4</v>
      </c>
      <c r="J1186" s="5"/>
    </row>
    <row r="1187" spans="1:10">
      <c r="A1187" s="4">
        <v>1183</v>
      </c>
      <c r="B1187" s="4" t="str">
        <f>"20206324013"</f>
        <v>20206324013</v>
      </c>
      <c r="C1187" s="4">
        <v>40</v>
      </c>
      <c r="D1187" s="4">
        <v>13</v>
      </c>
      <c r="E1187" s="4" t="s">
        <v>44</v>
      </c>
      <c r="F1187" s="4" t="str">
        <f>"王露"</f>
        <v>王露</v>
      </c>
      <c r="G1187" s="4" t="str">
        <f t="shared" si="50"/>
        <v>女</v>
      </c>
      <c r="H1187" s="4" t="str">
        <f>"1997-09-13"</f>
        <v>1997-09-13</v>
      </c>
      <c r="I1187" s="4">
        <v>78.6</v>
      </c>
      <c r="J1187" s="5"/>
    </row>
    <row r="1188" spans="1:10">
      <c r="A1188" s="4">
        <v>1184</v>
      </c>
      <c r="B1188" s="4" t="str">
        <f>"20206324014"</f>
        <v>20206324014</v>
      </c>
      <c r="C1188" s="4">
        <v>40</v>
      </c>
      <c r="D1188" s="4">
        <v>14</v>
      </c>
      <c r="E1188" s="4" t="s">
        <v>44</v>
      </c>
      <c r="F1188" s="4" t="str">
        <f>"杨思贤"</f>
        <v>杨思贤</v>
      </c>
      <c r="G1188" s="4" t="str">
        <f t="shared" si="50"/>
        <v>女</v>
      </c>
      <c r="H1188" s="4" t="str">
        <f>"1995-10-10"</f>
        <v>1995-10-10</v>
      </c>
      <c r="I1188" s="4">
        <v>68.9</v>
      </c>
      <c r="J1188" s="5"/>
    </row>
    <row r="1189" spans="1:10">
      <c r="A1189" s="4">
        <v>1185</v>
      </c>
      <c r="B1189" s="4" t="str">
        <f>"20206324015"</f>
        <v>20206324015</v>
      </c>
      <c r="C1189" s="4">
        <v>40</v>
      </c>
      <c r="D1189" s="4">
        <v>15</v>
      </c>
      <c r="E1189" s="4" t="s">
        <v>44</v>
      </c>
      <c r="F1189" s="4" t="str">
        <f>"刘杰"</f>
        <v>刘杰</v>
      </c>
      <c r="G1189" s="4" t="str">
        <f t="shared" si="50"/>
        <v>女</v>
      </c>
      <c r="H1189" s="4" t="str">
        <f>"1997-12-31"</f>
        <v>1997-12-31</v>
      </c>
      <c r="I1189" s="4">
        <v>53.7</v>
      </c>
      <c r="J1189" s="5"/>
    </row>
    <row r="1190" spans="1:10">
      <c r="A1190" s="4">
        <v>1186</v>
      </c>
      <c r="B1190" s="4" t="str">
        <f>"20206324016"</f>
        <v>20206324016</v>
      </c>
      <c r="C1190" s="4">
        <v>40</v>
      </c>
      <c r="D1190" s="4">
        <v>16</v>
      </c>
      <c r="E1190" s="4" t="s">
        <v>44</v>
      </c>
      <c r="F1190" s="4" t="str">
        <f>"任粒粒"</f>
        <v>任粒粒</v>
      </c>
      <c r="G1190" s="4" t="str">
        <f t="shared" si="50"/>
        <v>女</v>
      </c>
      <c r="H1190" s="4" t="str">
        <f>"1996-08-03"</f>
        <v>1996-08-03</v>
      </c>
      <c r="I1190" s="4" t="s">
        <v>12</v>
      </c>
      <c r="J1190" s="5"/>
    </row>
    <row r="1191" spans="1:10">
      <c r="A1191" s="4">
        <v>1187</v>
      </c>
      <c r="B1191" s="4" t="str">
        <f>"20206324017"</f>
        <v>20206324017</v>
      </c>
      <c r="C1191" s="4">
        <v>40</v>
      </c>
      <c r="D1191" s="4">
        <v>17</v>
      </c>
      <c r="E1191" s="4" t="s">
        <v>44</v>
      </c>
      <c r="F1191" s="4" t="str">
        <f>"丛瑶瑶"</f>
        <v>丛瑶瑶</v>
      </c>
      <c r="G1191" s="4" t="str">
        <f t="shared" si="50"/>
        <v>女</v>
      </c>
      <c r="H1191" s="4" t="str">
        <f>"1997-09-08"</f>
        <v>1997-09-08</v>
      </c>
      <c r="I1191" s="4">
        <v>71.8</v>
      </c>
      <c r="J1191" s="5"/>
    </row>
    <row r="1192" spans="1:10">
      <c r="A1192" s="4">
        <v>1188</v>
      </c>
      <c r="B1192" s="4" t="str">
        <f>"20206324018"</f>
        <v>20206324018</v>
      </c>
      <c r="C1192" s="4">
        <v>40</v>
      </c>
      <c r="D1192" s="4">
        <v>18</v>
      </c>
      <c r="E1192" s="4" t="s">
        <v>44</v>
      </c>
      <c r="F1192" s="4" t="str">
        <f>"陈家康"</f>
        <v>陈家康</v>
      </c>
      <c r="G1192" s="4" t="str">
        <f>"男"</f>
        <v>男</v>
      </c>
      <c r="H1192" s="4" t="str">
        <f>"1997-06-14"</f>
        <v>1997-06-14</v>
      </c>
      <c r="I1192" s="4">
        <v>57.1</v>
      </c>
      <c r="J1192" s="5"/>
    </row>
    <row r="1193" spans="1:10">
      <c r="A1193" s="4">
        <v>1189</v>
      </c>
      <c r="B1193" s="4" t="str">
        <f>"20206324019"</f>
        <v>20206324019</v>
      </c>
      <c r="C1193" s="4">
        <v>40</v>
      </c>
      <c r="D1193" s="4">
        <v>19</v>
      </c>
      <c r="E1193" s="4" t="s">
        <v>44</v>
      </c>
      <c r="F1193" s="4" t="str">
        <f>"左新园"</f>
        <v>左新园</v>
      </c>
      <c r="G1193" s="4" t="str">
        <f t="shared" ref="G1193:G1206" si="51">"女"</f>
        <v>女</v>
      </c>
      <c r="H1193" s="4" t="str">
        <f>"2000-10-26"</f>
        <v>2000-10-26</v>
      </c>
      <c r="I1193" s="4">
        <v>68.5</v>
      </c>
      <c r="J1193" s="5"/>
    </row>
    <row r="1194" spans="1:10">
      <c r="A1194" s="4">
        <v>1190</v>
      </c>
      <c r="B1194" s="4" t="str">
        <f>"20206324020"</f>
        <v>20206324020</v>
      </c>
      <c r="C1194" s="4">
        <v>40</v>
      </c>
      <c r="D1194" s="4">
        <v>20</v>
      </c>
      <c r="E1194" s="4" t="s">
        <v>44</v>
      </c>
      <c r="F1194" s="4" t="str">
        <f>"李博雅"</f>
        <v>李博雅</v>
      </c>
      <c r="G1194" s="4" t="str">
        <f t="shared" si="51"/>
        <v>女</v>
      </c>
      <c r="H1194" s="4" t="str">
        <f>"1998-07-03"</f>
        <v>1998-07-03</v>
      </c>
      <c r="I1194" s="4">
        <v>58.7</v>
      </c>
      <c r="J1194" s="5"/>
    </row>
    <row r="1195" spans="1:10">
      <c r="A1195" s="4">
        <v>1191</v>
      </c>
      <c r="B1195" s="4" t="str">
        <f>"20206324021"</f>
        <v>20206324021</v>
      </c>
      <c r="C1195" s="4">
        <v>40</v>
      </c>
      <c r="D1195" s="4">
        <v>21</v>
      </c>
      <c r="E1195" s="4" t="s">
        <v>44</v>
      </c>
      <c r="F1195" s="4" t="str">
        <f>"吴甜甜"</f>
        <v>吴甜甜</v>
      </c>
      <c r="G1195" s="4" t="str">
        <f t="shared" si="51"/>
        <v>女</v>
      </c>
      <c r="H1195" s="4" t="str">
        <f>"1997-07-13"</f>
        <v>1997-07-13</v>
      </c>
      <c r="I1195" s="4" t="s">
        <v>12</v>
      </c>
      <c r="J1195" s="5"/>
    </row>
    <row r="1196" spans="1:10">
      <c r="A1196" s="4">
        <v>1192</v>
      </c>
      <c r="B1196" s="4" t="str">
        <f>"20206324022"</f>
        <v>20206324022</v>
      </c>
      <c r="C1196" s="4">
        <v>40</v>
      </c>
      <c r="D1196" s="4">
        <v>22</v>
      </c>
      <c r="E1196" s="4" t="s">
        <v>44</v>
      </c>
      <c r="F1196" s="4" t="str">
        <f>"李茜"</f>
        <v>李茜</v>
      </c>
      <c r="G1196" s="4" t="str">
        <f t="shared" si="51"/>
        <v>女</v>
      </c>
      <c r="H1196" s="4" t="str">
        <f>"1999-11-06"</f>
        <v>1999-11-06</v>
      </c>
      <c r="I1196" s="4">
        <v>63</v>
      </c>
      <c r="J1196" s="5"/>
    </row>
    <row r="1197" spans="1:10">
      <c r="A1197" s="4">
        <v>1193</v>
      </c>
      <c r="B1197" s="4" t="str">
        <f>"20206324023"</f>
        <v>20206324023</v>
      </c>
      <c r="C1197" s="4">
        <v>40</v>
      </c>
      <c r="D1197" s="4">
        <v>23</v>
      </c>
      <c r="E1197" s="4" t="s">
        <v>44</v>
      </c>
      <c r="F1197" s="4" t="str">
        <f>"沈梦丹"</f>
        <v>沈梦丹</v>
      </c>
      <c r="G1197" s="4" t="str">
        <f t="shared" si="51"/>
        <v>女</v>
      </c>
      <c r="H1197" s="4" t="str">
        <f>"1997-05-14"</f>
        <v>1997-05-14</v>
      </c>
      <c r="I1197" s="4">
        <v>62.1</v>
      </c>
      <c r="J1197" s="5"/>
    </row>
    <row r="1198" spans="1:10">
      <c r="A1198" s="4">
        <v>1194</v>
      </c>
      <c r="B1198" s="4" t="str">
        <f>"20206324024"</f>
        <v>20206324024</v>
      </c>
      <c r="C1198" s="4">
        <v>40</v>
      </c>
      <c r="D1198" s="4">
        <v>24</v>
      </c>
      <c r="E1198" s="4" t="s">
        <v>44</v>
      </c>
      <c r="F1198" s="4" t="str">
        <f>"王娟"</f>
        <v>王娟</v>
      </c>
      <c r="G1198" s="4" t="str">
        <f t="shared" si="51"/>
        <v>女</v>
      </c>
      <c r="H1198" s="4" t="str">
        <f>"1996-08-28"</f>
        <v>1996-08-28</v>
      </c>
      <c r="I1198" s="4">
        <v>71.1</v>
      </c>
      <c r="J1198" s="5"/>
    </row>
    <row r="1199" spans="1:10">
      <c r="A1199" s="4">
        <v>1195</v>
      </c>
      <c r="B1199" s="4" t="str">
        <f>"20206324025"</f>
        <v>20206324025</v>
      </c>
      <c r="C1199" s="4">
        <v>40</v>
      </c>
      <c r="D1199" s="4">
        <v>25</v>
      </c>
      <c r="E1199" s="4" t="s">
        <v>44</v>
      </c>
      <c r="F1199" s="4" t="str">
        <f>"张涵"</f>
        <v>张涵</v>
      </c>
      <c r="G1199" s="4" t="str">
        <f t="shared" si="51"/>
        <v>女</v>
      </c>
      <c r="H1199" s="4" t="str">
        <f>"1997-10-12"</f>
        <v>1997-10-12</v>
      </c>
      <c r="I1199" s="4">
        <v>74.4</v>
      </c>
      <c r="J1199" s="5"/>
    </row>
    <row r="1200" spans="1:10">
      <c r="A1200" s="4">
        <v>1196</v>
      </c>
      <c r="B1200" s="4" t="str">
        <f>"20206324026"</f>
        <v>20206324026</v>
      </c>
      <c r="C1200" s="4">
        <v>40</v>
      </c>
      <c r="D1200" s="4">
        <v>26</v>
      </c>
      <c r="E1200" s="4" t="s">
        <v>44</v>
      </c>
      <c r="F1200" s="4" t="str">
        <f>"曹钰"</f>
        <v>曹钰</v>
      </c>
      <c r="G1200" s="4" t="str">
        <f t="shared" si="51"/>
        <v>女</v>
      </c>
      <c r="H1200" s="4" t="str">
        <f>"1997-04-02"</f>
        <v>1997-04-02</v>
      </c>
      <c r="I1200" s="4">
        <v>78.5</v>
      </c>
      <c r="J1200" s="5"/>
    </row>
    <row r="1201" spans="1:10">
      <c r="A1201" s="4">
        <v>1197</v>
      </c>
      <c r="B1201" s="4" t="str">
        <f>"20206324027"</f>
        <v>20206324027</v>
      </c>
      <c r="C1201" s="4">
        <v>40</v>
      </c>
      <c r="D1201" s="4">
        <v>27</v>
      </c>
      <c r="E1201" s="4" t="s">
        <v>44</v>
      </c>
      <c r="F1201" s="4" t="str">
        <f>"杨硕"</f>
        <v>杨硕</v>
      </c>
      <c r="G1201" s="4" t="str">
        <f t="shared" si="51"/>
        <v>女</v>
      </c>
      <c r="H1201" s="4" t="str">
        <f>"1995-11-04"</f>
        <v>1995-11-04</v>
      </c>
      <c r="I1201" s="4">
        <v>80.5</v>
      </c>
      <c r="J1201" s="5"/>
    </row>
    <row r="1202" spans="1:10">
      <c r="A1202" s="4">
        <v>1198</v>
      </c>
      <c r="B1202" s="4" t="str">
        <f>"20206324028"</f>
        <v>20206324028</v>
      </c>
      <c r="C1202" s="4">
        <v>40</v>
      </c>
      <c r="D1202" s="4">
        <v>28</v>
      </c>
      <c r="E1202" s="4" t="s">
        <v>44</v>
      </c>
      <c r="F1202" s="4" t="str">
        <f>"邱琪琳"</f>
        <v>邱琪琳</v>
      </c>
      <c r="G1202" s="4" t="str">
        <f t="shared" si="51"/>
        <v>女</v>
      </c>
      <c r="H1202" s="4" t="str">
        <f>"1994-02-27"</f>
        <v>1994-02-27</v>
      </c>
      <c r="I1202" s="4">
        <v>74.7</v>
      </c>
      <c r="J1202" s="5"/>
    </row>
    <row r="1203" spans="1:10">
      <c r="A1203" s="4">
        <v>1199</v>
      </c>
      <c r="B1203" s="4" t="str">
        <f>"20206324029"</f>
        <v>20206324029</v>
      </c>
      <c r="C1203" s="4">
        <v>40</v>
      </c>
      <c r="D1203" s="4">
        <v>29</v>
      </c>
      <c r="E1203" s="4" t="s">
        <v>44</v>
      </c>
      <c r="F1203" s="4" t="str">
        <f>"吕鹏远"</f>
        <v>吕鹏远</v>
      </c>
      <c r="G1203" s="4" t="str">
        <f t="shared" si="51"/>
        <v>女</v>
      </c>
      <c r="H1203" s="4" t="str">
        <f>"1996-10-10"</f>
        <v>1996-10-10</v>
      </c>
      <c r="I1203" s="4">
        <v>57.4</v>
      </c>
      <c r="J1203" s="5"/>
    </row>
    <row r="1204" spans="1:10">
      <c r="A1204" s="4">
        <v>1200</v>
      </c>
      <c r="B1204" s="4" t="str">
        <f>"20206324030"</f>
        <v>20206324030</v>
      </c>
      <c r="C1204" s="4">
        <v>40</v>
      </c>
      <c r="D1204" s="4">
        <v>30</v>
      </c>
      <c r="E1204" s="4" t="s">
        <v>44</v>
      </c>
      <c r="F1204" s="4" t="str">
        <f>"苏艳艳"</f>
        <v>苏艳艳</v>
      </c>
      <c r="G1204" s="4" t="str">
        <f t="shared" si="51"/>
        <v>女</v>
      </c>
      <c r="H1204" s="4" t="str">
        <f>"1995-11-13"</f>
        <v>1995-11-13</v>
      </c>
      <c r="I1204" s="4">
        <v>67.1</v>
      </c>
      <c r="J1204" s="5"/>
    </row>
    <row r="1205" spans="1:10">
      <c r="A1205" s="4">
        <v>1201</v>
      </c>
      <c r="B1205" s="4" t="str">
        <f>"20206324101"</f>
        <v>20206324101</v>
      </c>
      <c r="C1205" s="4">
        <v>41</v>
      </c>
      <c r="D1205" s="4">
        <v>1</v>
      </c>
      <c r="E1205" s="4" t="s">
        <v>44</v>
      </c>
      <c r="F1205" s="4" t="str">
        <f>"崔静"</f>
        <v>崔静</v>
      </c>
      <c r="G1205" s="4" t="str">
        <f t="shared" si="51"/>
        <v>女</v>
      </c>
      <c r="H1205" s="4" t="str">
        <f>"1999-04-06"</f>
        <v>1999-04-06</v>
      </c>
      <c r="I1205" s="4">
        <v>63.1</v>
      </c>
      <c r="J1205" s="5"/>
    </row>
    <row r="1206" spans="1:10">
      <c r="A1206" s="4">
        <v>1202</v>
      </c>
      <c r="B1206" s="4" t="str">
        <f>"20206324102"</f>
        <v>20206324102</v>
      </c>
      <c r="C1206" s="4">
        <v>41</v>
      </c>
      <c r="D1206" s="4">
        <v>2</v>
      </c>
      <c r="E1206" s="4" t="s">
        <v>44</v>
      </c>
      <c r="F1206" s="4" t="str">
        <f>"张婷婷"</f>
        <v>张婷婷</v>
      </c>
      <c r="G1206" s="4" t="str">
        <f t="shared" si="51"/>
        <v>女</v>
      </c>
      <c r="H1206" s="4" t="str">
        <f>"1997-11-05"</f>
        <v>1997-11-05</v>
      </c>
      <c r="I1206" s="4" t="s">
        <v>12</v>
      </c>
      <c r="J1206" s="5"/>
    </row>
    <row r="1207" spans="1:10">
      <c r="A1207" s="4">
        <v>1203</v>
      </c>
      <c r="B1207" s="4" t="str">
        <f>"20206324103"</f>
        <v>20206324103</v>
      </c>
      <c r="C1207" s="4">
        <v>41</v>
      </c>
      <c r="D1207" s="4">
        <v>3</v>
      </c>
      <c r="E1207" s="4" t="s">
        <v>44</v>
      </c>
      <c r="F1207" s="4" t="str">
        <f>"仝治"</f>
        <v>仝治</v>
      </c>
      <c r="G1207" s="4" t="str">
        <f>"男"</f>
        <v>男</v>
      </c>
      <c r="H1207" s="4" t="str">
        <f>"1996-06-21"</f>
        <v>1996-06-21</v>
      </c>
      <c r="I1207" s="4" t="s">
        <v>12</v>
      </c>
      <c r="J1207" s="5"/>
    </row>
    <row r="1208" spans="1:10">
      <c r="A1208" s="4">
        <v>1204</v>
      </c>
      <c r="B1208" s="4" t="str">
        <f>"20206324104"</f>
        <v>20206324104</v>
      </c>
      <c r="C1208" s="4">
        <v>41</v>
      </c>
      <c r="D1208" s="4">
        <v>4</v>
      </c>
      <c r="E1208" s="4" t="s">
        <v>44</v>
      </c>
      <c r="F1208" s="4" t="str">
        <f>"任黎明"</f>
        <v>任黎明</v>
      </c>
      <c r="G1208" s="4" t="str">
        <f t="shared" ref="G1208:G1223" si="52">"女"</f>
        <v>女</v>
      </c>
      <c r="H1208" s="4" t="str">
        <f>"1997-12-14"</f>
        <v>1997-12-14</v>
      </c>
      <c r="I1208" s="4">
        <v>75.2</v>
      </c>
      <c r="J1208" s="5"/>
    </row>
    <row r="1209" spans="1:10">
      <c r="A1209" s="4">
        <v>1205</v>
      </c>
      <c r="B1209" s="4" t="str">
        <f>"20206324105"</f>
        <v>20206324105</v>
      </c>
      <c r="C1209" s="4">
        <v>41</v>
      </c>
      <c r="D1209" s="4">
        <v>5</v>
      </c>
      <c r="E1209" s="4" t="s">
        <v>44</v>
      </c>
      <c r="F1209" s="4" t="str">
        <f>"宋金阳"</f>
        <v>宋金阳</v>
      </c>
      <c r="G1209" s="4" t="str">
        <f t="shared" si="52"/>
        <v>女</v>
      </c>
      <c r="H1209" s="4" t="str">
        <f>"1997-04-14"</f>
        <v>1997-04-14</v>
      </c>
      <c r="I1209" s="4">
        <v>62.3</v>
      </c>
      <c r="J1209" s="5"/>
    </row>
    <row r="1210" spans="1:10">
      <c r="A1210" s="4">
        <v>1206</v>
      </c>
      <c r="B1210" s="4" t="str">
        <f>"20206324106"</f>
        <v>20206324106</v>
      </c>
      <c r="C1210" s="4">
        <v>41</v>
      </c>
      <c r="D1210" s="4">
        <v>6</v>
      </c>
      <c r="E1210" s="4" t="s">
        <v>44</v>
      </c>
      <c r="F1210" s="4" t="str">
        <f>"张黎明"</f>
        <v>张黎明</v>
      </c>
      <c r="G1210" s="4" t="str">
        <f t="shared" si="52"/>
        <v>女</v>
      </c>
      <c r="H1210" s="4" t="str">
        <f>"1999-03-04"</f>
        <v>1999-03-04</v>
      </c>
      <c r="I1210" s="4">
        <v>78.8</v>
      </c>
      <c r="J1210" s="5"/>
    </row>
    <row r="1211" spans="1:10">
      <c r="A1211" s="4">
        <v>1207</v>
      </c>
      <c r="B1211" s="4" t="str">
        <f>"20206324107"</f>
        <v>20206324107</v>
      </c>
      <c r="C1211" s="4">
        <v>41</v>
      </c>
      <c r="D1211" s="4">
        <v>7</v>
      </c>
      <c r="E1211" s="4" t="s">
        <v>44</v>
      </c>
      <c r="F1211" s="4" t="str">
        <f>"周杨"</f>
        <v>周杨</v>
      </c>
      <c r="G1211" s="4" t="str">
        <f t="shared" si="52"/>
        <v>女</v>
      </c>
      <c r="H1211" s="4" t="str">
        <f>"1996-04-28"</f>
        <v>1996-04-28</v>
      </c>
      <c r="I1211" s="4">
        <v>71.5</v>
      </c>
      <c r="J1211" s="5"/>
    </row>
    <row r="1212" spans="1:10">
      <c r="A1212" s="4">
        <v>1208</v>
      </c>
      <c r="B1212" s="4" t="str">
        <f>"20206324108"</f>
        <v>20206324108</v>
      </c>
      <c r="C1212" s="4">
        <v>41</v>
      </c>
      <c r="D1212" s="4">
        <v>8</v>
      </c>
      <c r="E1212" s="4" t="s">
        <v>44</v>
      </c>
      <c r="F1212" s="4" t="str">
        <f>"高梦迪"</f>
        <v>高梦迪</v>
      </c>
      <c r="G1212" s="4" t="str">
        <f t="shared" si="52"/>
        <v>女</v>
      </c>
      <c r="H1212" s="4" t="str">
        <f>"1998-08-16"</f>
        <v>1998-08-16</v>
      </c>
      <c r="I1212" s="4">
        <v>64.7</v>
      </c>
      <c r="J1212" s="5"/>
    </row>
    <row r="1213" spans="1:10">
      <c r="A1213" s="4">
        <v>1209</v>
      </c>
      <c r="B1213" s="4" t="str">
        <f>"20206324109"</f>
        <v>20206324109</v>
      </c>
      <c r="C1213" s="4">
        <v>41</v>
      </c>
      <c r="D1213" s="4">
        <v>9</v>
      </c>
      <c r="E1213" s="4" t="s">
        <v>44</v>
      </c>
      <c r="F1213" s="4" t="str">
        <f>"丁天贞"</f>
        <v>丁天贞</v>
      </c>
      <c r="G1213" s="4" t="str">
        <f t="shared" si="52"/>
        <v>女</v>
      </c>
      <c r="H1213" s="4" t="str">
        <f>"1999-02-12"</f>
        <v>1999-02-12</v>
      </c>
      <c r="I1213" s="4">
        <v>62.2</v>
      </c>
      <c r="J1213" s="5"/>
    </row>
    <row r="1214" spans="1:10">
      <c r="A1214" s="4">
        <v>1210</v>
      </c>
      <c r="B1214" s="4" t="str">
        <f>"20206324110"</f>
        <v>20206324110</v>
      </c>
      <c r="C1214" s="4">
        <v>41</v>
      </c>
      <c r="D1214" s="4">
        <v>10</v>
      </c>
      <c r="E1214" s="4" t="s">
        <v>44</v>
      </c>
      <c r="F1214" s="4" t="str">
        <f>"王怡恬"</f>
        <v>王怡恬</v>
      </c>
      <c r="G1214" s="4" t="str">
        <f t="shared" si="52"/>
        <v>女</v>
      </c>
      <c r="H1214" s="4" t="str">
        <f>"1996-06-22"</f>
        <v>1996-06-22</v>
      </c>
      <c r="I1214" s="4">
        <v>74.2</v>
      </c>
      <c r="J1214" s="5"/>
    </row>
    <row r="1215" spans="1:10">
      <c r="A1215" s="4">
        <v>1211</v>
      </c>
      <c r="B1215" s="4" t="str">
        <f>"20206324111"</f>
        <v>20206324111</v>
      </c>
      <c r="C1215" s="4">
        <v>41</v>
      </c>
      <c r="D1215" s="4">
        <v>11</v>
      </c>
      <c r="E1215" s="4" t="s">
        <v>44</v>
      </c>
      <c r="F1215" s="4" t="str">
        <f>"杜晓旭"</f>
        <v>杜晓旭</v>
      </c>
      <c r="G1215" s="4" t="str">
        <f t="shared" si="52"/>
        <v>女</v>
      </c>
      <c r="H1215" s="4" t="str">
        <f>"1998-09-02"</f>
        <v>1998-09-02</v>
      </c>
      <c r="I1215" s="4">
        <v>57.3</v>
      </c>
      <c r="J1215" s="5"/>
    </row>
    <row r="1216" spans="1:10">
      <c r="A1216" s="4">
        <v>1212</v>
      </c>
      <c r="B1216" s="4" t="str">
        <f>"20206324112"</f>
        <v>20206324112</v>
      </c>
      <c r="C1216" s="4">
        <v>41</v>
      </c>
      <c r="D1216" s="4">
        <v>12</v>
      </c>
      <c r="E1216" s="4" t="s">
        <v>44</v>
      </c>
      <c r="F1216" s="4" t="str">
        <f>"张明瑞"</f>
        <v>张明瑞</v>
      </c>
      <c r="G1216" s="4" t="str">
        <f t="shared" si="52"/>
        <v>女</v>
      </c>
      <c r="H1216" s="4" t="str">
        <f>"1998-08-29"</f>
        <v>1998-08-29</v>
      </c>
      <c r="I1216" s="4">
        <v>46.9</v>
      </c>
      <c r="J1216" s="5"/>
    </row>
    <row r="1217" spans="1:10">
      <c r="A1217" s="4">
        <v>1213</v>
      </c>
      <c r="B1217" s="4" t="str">
        <f>"20206324113"</f>
        <v>20206324113</v>
      </c>
      <c r="C1217" s="4">
        <v>41</v>
      </c>
      <c r="D1217" s="4">
        <v>13</v>
      </c>
      <c r="E1217" s="4" t="s">
        <v>44</v>
      </c>
      <c r="F1217" s="4" t="str">
        <f>"殷雅婷"</f>
        <v>殷雅婷</v>
      </c>
      <c r="G1217" s="4" t="str">
        <f t="shared" si="52"/>
        <v>女</v>
      </c>
      <c r="H1217" s="4" t="str">
        <f>"1999-06-09"</f>
        <v>1999-06-09</v>
      </c>
      <c r="I1217" s="4">
        <v>53.7</v>
      </c>
      <c r="J1217" s="5"/>
    </row>
    <row r="1218" spans="1:10">
      <c r="A1218" s="4">
        <v>1214</v>
      </c>
      <c r="B1218" s="4" t="str">
        <f>"20206324114"</f>
        <v>20206324114</v>
      </c>
      <c r="C1218" s="4">
        <v>41</v>
      </c>
      <c r="D1218" s="4">
        <v>14</v>
      </c>
      <c r="E1218" s="4" t="s">
        <v>44</v>
      </c>
      <c r="F1218" s="4" t="str">
        <f>"王琳琳"</f>
        <v>王琳琳</v>
      </c>
      <c r="G1218" s="4" t="str">
        <f t="shared" si="52"/>
        <v>女</v>
      </c>
      <c r="H1218" s="4" t="str">
        <f>"1996-05-10"</f>
        <v>1996-05-10</v>
      </c>
      <c r="I1218" s="4">
        <v>83.3</v>
      </c>
      <c r="J1218" s="5"/>
    </row>
    <row r="1219" spans="1:10">
      <c r="A1219" s="4">
        <v>1215</v>
      </c>
      <c r="B1219" s="4" t="str">
        <f>"20206324115"</f>
        <v>20206324115</v>
      </c>
      <c r="C1219" s="4">
        <v>41</v>
      </c>
      <c r="D1219" s="4">
        <v>15</v>
      </c>
      <c r="E1219" s="4" t="s">
        <v>44</v>
      </c>
      <c r="F1219" s="4" t="str">
        <f>"王晓征"</f>
        <v>王晓征</v>
      </c>
      <c r="G1219" s="4" t="str">
        <f t="shared" si="52"/>
        <v>女</v>
      </c>
      <c r="H1219" s="4" t="str">
        <f>"1997-05-19"</f>
        <v>1997-05-19</v>
      </c>
      <c r="I1219" s="4">
        <v>58.4</v>
      </c>
      <c r="J1219" s="5"/>
    </row>
    <row r="1220" spans="1:10">
      <c r="A1220" s="4">
        <v>1216</v>
      </c>
      <c r="B1220" s="4" t="str">
        <f>"20206324116"</f>
        <v>20206324116</v>
      </c>
      <c r="C1220" s="4">
        <v>41</v>
      </c>
      <c r="D1220" s="4">
        <v>16</v>
      </c>
      <c r="E1220" s="4" t="s">
        <v>44</v>
      </c>
      <c r="F1220" s="4" t="str">
        <f>"司亚楠"</f>
        <v>司亚楠</v>
      </c>
      <c r="G1220" s="4" t="str">
        <f t="shared" si="52"/>
        <v>女</v>
      </c>
      <c r="H1220" s="4" t="str">
        <f>"1998-06-17"</f>
        <v>1998-06-17</v>
      </c>
      <c r="I1220" s="4">
        <v>61.9</v>
      </c>
      <c r="J1220" s="5"/>
    </row>
    <row r="1221" spans="1:10">
      <c r="A1221" s="4">
        <v>1217</v>
      </c>
      <c r="B1221" s="4" t="str">
        <f>"20206324117"</f>
        <v>20206324117</v>
      </c>
      <c r="C1221" s="4">
        <v>41</v>
      </c>
      <c r="D1221" s="4">
        <v>17</v>
      </c>
      <c r="E1221" s="4" t="s">
        <v>44</v>
      </c>
      <c r="F1221" s="4" t="str">
        <f>"黄晨晖"</f>
        <v>黄晨晖</v>
      </c>
      <c r="G1221" s="4" t="str">
        <f t="shared" si="52"/>
        <v>女</v>
      </c>
      <c r="H1221" s="4" t="str">
        <f>"1999-01-13"</f>
        <v>1999-01-13</v>
      </c>
      <c r="I1221" s="4" t="s">
        <v>12</v>
      </c>
      <c r="J1221" s="5"/>
    </row>
    <row r="1222" spans="1:10">
      <c r="A1222" s="4">
        <v>1218</v>
      </c>
      <c r="B1222" s="4" t="str">
        <f>"20206324118"</f>
        <v>20206324118</v>
      </c>
      <c r="C1222" s="4">
        <v>41</v>
      </c>
      <c r="D1222" s="4">
        <v>18</v>
      </c>
      <c r="E1222" s="4" t="s">
        <v>44</v>
      </c>
      <c r="F1222" s="4" t="str">
        <f>"秦立杰"</f>
        <v>秦立杰</v>
      </c>
      <c r="G1222" s="4" t="str">
        <f t="shared" si="52"/>
        <v>女</v>
      </c>
      <c r="H1222" s="4" t="str">
        <f>"1997-10-20"</f>
        <v>1997-10-20</v>
      </c>
      <c r="I1222" s="4">
        <v>85</v>
      </c>
      <c r="J1222" s="5"/>
    </row>
    <row r="1223" spans="1:10">
      <c r="A1223" s="4">
        <v>1219</v>
      </c>
      <c r="B1223" s="4" t="str">
        <f>"20206324119"</f>
        <v>20206324119</v>
      </c>
      <c r="C1223" s="4">
        <v>41</v>
      </c>
      <c r="D1223" s="4">
        <v>19</v>
      </c>
      <c r="E1223" s="4" t="s">
        <v>44</v>
      </c>
      <c r="F1223" s="4" t="str">
        <f>"侯清淑"</f>
        <v>侯清淑</v>
      </c>
      <c r="G1223" s="4" t="str">
        <f t="shared" si="52"/>
        <v>女</v>
      </c>
      <c r="H1223" s="4" t="str">
        <f>"1997-09-11"</f>
        <v>1997-09-11</v>
      </c>
      <c r="I1223" s="4" t="s">
        <v>12</v>
      </c>
      <c r="J1223" s="5"/>
    </row>
    <row r="1224" spans="1:10">
      <c r="A1224" s="4">
        <v>1220</v>
      </c>
      <c r="B1224" s="4" t="str">
        <f>"20206424120"</f>
        <v>20206424120</v>
      </c>
      <c r="C1224" s="4">
        <v>41</v>
      </c>
      <c r="D1224" s="4">
        <v>20</v>
      </c>
      <c r="E1224" s="4" t="s">
        <v>45</v>
      </c>
      <c r="F1224" s="4" t="str">
        <f>"赵雷"</f>
        <v>赵雷</v>
      </c>
      <c r="G1224" s="4" t="str">
        <f>"男"</f>
        <v>男</v>
      </c>
      <c r="H1224" s="4" t="str">
        <f>"1997-10-14"</f>
        <v>1997-10-14</v>
      </c>
      <c r="I1224" s="4">
        <v>50</v>
      </c>
      <c r="J1224" s="5"/>
    </row>
    <row r="1225" spans="1:10">
      <c r="A1225" s="4">
        <v>1221</v>
      </c>
      <c r="B1225" s="4" t="str">
        <f>"20206424121"</f>
        <v>20206424121</v>
      </c>
      <c r="C1225" s="4">
        <v>41</v>
      </c>
      <c r="D1225" s="4">
        <v>21</v>
      </c>
      <c r="E1225" s="4" t="s">
        <v>45</v>
      </c>
      <c r="F1225" s="4" t="str">
        <f>"焦逸阳"</f>
        <v>焦逸阳</v>
      </c>
      <c r="G1225" s="4" t="str">
        <f>"男"</f>
        <v>男</v>
      </c>
      <c r="H1225" s="4" t="str">
        <f>"1997-10-18"</f>
        <v>1997-10-18</v>
      </c>
      <c r="I1225" s="4">
        <v>47.2</v>
      </c>
      <c r="J1225" s="5"/>
    </row>
    <row r="1226" spans="1:10">
      <c r="A1226" s="4">
        <v>1222</v>
      </c>
      <c r="B1226" s="4" t="str">
        <f>"20206424122"</f>
        <v>20206424122</v>
      </c>
      <c r="C1226" s="4">
        <v>41</v>
      </c>
      <c r="D1226" s="4">
        <v>22</v>
      </c>
      <c r="E1226" s="4" t="s">
        <v>45</v>
      </c>
      <c r="F1226" s="4" t="str">
        <f>"黄喆"</f>
        <v>黄喆</v>
      </c>
      <c r="G1226" s="4" t="str">
        <f>"男"</f>
        <v>男</v>
      </c>
      <c r="H1226" s="4" t="str">
        <f>"1995-12-23"</f>
        <v>1995-12-23</v>
      </c>
      <c r="I1226" s="4">
        <v>52.9</v>
      </c>
      <c r="J1226" s="5"/>
    </row>
    <row r="1227" spans="1:10">
      <c r="A1227" s="4">
        <v>1223</v>
      </c>
      <c r="B1227" s="4" t="str">
        <f>"20206424123"</f>
        <v>20206424123</v>
      </c>
      <c r="C1227" s="4">
        <v>41</v>
      </c>
      <c r="D1227" s="4">
        <v>23</v>
      </c>
      <c r="E1227" s="4" t="s">
        <v>45</v>
      </c>
      <c r="F1227" s="4" t="str">
        <f>"杨康健"</f>
        <v>杨康健</v>
      </c>
      <c r="G1227" s="4" t="str">
        <f>"男"</f>
        <v>男</v>
      </c>
      <c r="H1227" s="4" t="str">
        <f>"1997-11-14"</f>
        <v>1997-11-14</v>
      </c>
      <c r="I1227" s="4" t="s">
        <v>12</v>
      </c>
      <c r="J1227" s="5"/>
    </row>
    <row r="1228" spans="1:10">
      <c r="A1228" s="4">
        <v>1224</v>
      </c>
      <c r="B1228" s="4" t="str">
        <f>"20206424124"</f>
        <v>20206424124</v>
      </c>
      <c r="C1228" s="4">
        <v>41</v>
      </c>
      <c r="D1228" s="4">
        <v>24</v>
      </c>
      <c r="E1228" s="4" t="s">
        <v>45</v>
      </c>
      <c r="F1228" s="4" t="str">
        <f>"黄可"</f>
        <v>黄可</v>
      </c>
      <c r="G1228" s="4" t="str">
        <f>"女"</f>
        <v>女</v>
      </c>
      <c r="H1228" s="4" t="str">
        <f>"1997-07-22"</f>
        <v>1997-07-22</v>
      </c>
      <c r="I1228" s="4">
        <v>60</v>
      </c>
      <c r="J1228" s="5"/>
    </row>
    <row r="1229" spans="1:10">
      <c r="A1229" s="4">
        <v>1225</v>
      </c>
      <c r="B1229" s="4" t="str">
        <f>"20206424125"</f>
        <v>20206424125</v>
      </c>
      <c r="C1229" s="4">
        <v>41</v>
      </c>
      <c r="D1229" s="4">
        <v>25</v>
      </c>
      <c r="E1229" s="4" t="s">
        <v>45</v>
      </c>
      <c r="F1229" s="4" t="str">
        <f>"马正果"</f>
        <v>马正果</v>
      </c>
      <c r="G1229" s="4" t="str">
        <f>"女"</f>
        <v>女</v>
      </c>
      <c r="H1229" s="4" t="str">
        <f>"2000-04-02"</f>
        <v>2000-04-02</v>
      </c>
      <c r="I1229" s="4">
        <v>55.4</v>
      </c>
      <c r="J1229" s="5"/>
    </row>
    <row r="1230" spans="1:10">
      <c r="A1230" s="4">
        <v>1226</v>
      </c>
      <c r="B1230" s="4" t="str">
        <f>"20206424126"</f>
        <v>20206424126</v>
      </c>
      <c r="C1230" s="4">
        <v>41</v>
      </c>
      <c r="D1230" s="4">
        <v>26</v>
      </c>
      <c r="E1230" s="4" t="s">
        <v>45</v>
      </c>
      <c r="F1230" s="4" t="str">
        <f>"薛丹"</f>
        <v>薛丹</v>
      </c>
      <c r="G1230" s="4" t="str">
        <f>"女"</f>
        <v>女</v>
      </c>
      <c r="H1230" s="4" t="str">
        <f>"1996-09-16"</f>
        <v>1996-09-16</v>
      </c>
      <c r="I1230" s="4">
        <v>57.3</v>
      </c>
      <c r="J1230" s="5"/>
    </row>
    <row r="1231" spans="1:10">
      <c r="A1231" s="4">
        <v>1227</v>
      </c>
      <c r="B1231" s="4" t="str">
        <f>"20206424127"</f>
        <v>20206424127</v>
      </c>
      <c r="C1231" s="4">
        <v>41</v>
      </c>
      <c r="D1231" s="4">
        <v>27</v>
      </c>
      <c r="E1231" s="4" t="s">
        <v>45</v>
      </c>
      <c r="F1231" s="4" t="str">
        <f>"王鑫"</f>
        <v>王鑫</v>
      </c>
      <c r="G1231" s="4" t="str">
        <f>"女"</f>
        <v>女</v>
      </c>
      <c r="H1231" s="4" t="str">
        <f>"1998-12-21"</f>
        <v>1998-12-21</v>
      </c>
      <c r="I1231" s="4">
        <v>72.9</v>
      </c>
      <c r="J1231" s="5"/>
    </row>
    <row r="1232" spans="1:10">
      <c r="A1232" s="4">
        <v>1228</v>
      </c>
      <c r="B1232" s="4" t="str">
        <f>"20206424128"</f>
        <v>20206424128</v>
      </c>
      <c r="C1232" s="4">
        <v>41</v>
      </c>
      <c r="D1232" s="4">
        <v>28</v>
      </c>
      <c r="E1232" s="4" t="s">
        <v>45</v>
      </c>
      <c r="F1232" s="4" t="str">
        <f>"李延东"</f>
        <v>李延东</v>
      </c>
      <c r="G1232" s="4" t="str">
        <f>"男"</f>
        <v>男</v>
      </c>
      <c r="H1232" s="4" t="str">
        <f>"1997-10-07"</f>
        <v>1997-10-07</v>
      </c>
      <c r="I1232" s="4">
        <v>52.7</v>
      </c>
      <c r="J1232" s="5"/>
    </row>
    <row r="1233" spans="1:10">
      <c r="A1233" s="4">
        <v>1229</v>
      </c>
      <c r="B1233" s="4" t="str">
        <f>"20206424129"</f>
        <v>20206424129</v>
      </c>
      <c r="C1233" s="4">
        <v>41</v>
      </c>
      <c r="D1233" s="4">
        <v>29</v>
      </c>
      <c r="E1233" s="4" t="s">
        <v>45</v>
      </c>
      <c r="F1233" s="4" t="str">
        <f>"张恩硕"</f>
        <v>张恩硕</v>
      </c>
      <c r="G1233" s="4" t="str">
        <f>"男"</f>
        <v>男</v>
      </c>
      <c r="H1233" s="4" t="str">
        <f>"1994-02-04"</f>
        <v>1994-02-04</v>
      </c>
      <c r="I1233" s="4">
        <v>54.7</v>
      </c>
      <c r="J1233" s="5"/>
    </row>
    <row r="1234" spans="1:10">
      <c r="A1234" s="4">
        <v>1230</v>
      </c>
      <c r="B1234" s="4" t="str">
        <f>"20206424130"</f>
        <v>20206424130</v>
      </c>
      <c r="C1234" s="4">
        <v>41</v>
      </c>
      <c r="D1234" s="4">
        <v>30</v>
      </c>
      <c r="E1234" s="4" t="s">
        <v>45</v>
      </c>
      <c r="F1234" s="4" t="str">
        <f>"刘雪"</f>
        <v>刘雪</v>
      </c>
      <c r="G1234" s="4" t="str">
        <f>"女"</f>
        <v>女</v>
      </c>
      <c r="H1234" s="4" t="str">
        <f>"1998-03-03"</f>
        <v>1998-03-03</v>
      </c>
      <c r="I1234" s="4">
        <v>75.6</v>
      </c>
      <c r="J1234" s="5"/>
    </row>
    <row r="1235" spans="1:10">
      <c r="A1235" s="4">
        <v>1231</v>
      </c>
      <c r="B1235" s="4" t="str">
        <f>"20206424201"</f>
        <v>20206424201</v>
      </c>
      <c r="C1235" s="4">
        <v>42</v>
      </c>
      <c r="D1235" s="4">
        <v>1</v>
      </c>
      <c r="E1235" s="4" t="s">
        <v>45</v>
      </c>
      <c r="F1235" s="4" t="str">
        <f>"潘甜甜"</f>
        <v>潘甜甜</v>
      </c>
      <c r="G1235" s="4" t="str">
        <f>"女"</f>
        <v>女</v>
      </c>
      <c r="H1235" s="4" t="str">
        <f>"1998-03-11"</f>
        <v>1998-03-11</v>
      </c>
      <c r="I1235" s="4">
        <v>70.6</v>
      </c>
      <c r="J1235" s="5"/>
    </row>
    <row r="1236" spans="1:10">
      <c r="A1236" s="4">
        <v>1232</v>
      </c>
      <c r="B1236" s="4" t="str">
        <f>"20206424202"</f>
        <v>20206424202</v>
      </c>
      <c r="C1236" s="4">
        <v>42</v>
      </c>
      <c r="D1236" s="4">
        <v>2</v>
      </c>
      <c r="E1236" s="4" t="s">
        <v>45</v>
      </c>
      <c r="F1236" s="4" t="str">
        <f>"周钰"</f>
        <v>周钰</v>
      </c>
      <c r="G1236" s="4" t="str">
        <f>"男"</f>
        <v>男</v>
      </c>
      <c r="H1236" s="4" t="str">
        <f>"1997-01-14"</f>
        <v>1997-01-14</v>
      </c>
      <c r="I1236" s="4" t="s">
        <v>12</v>
      </c>
      <c r="J1236" s="5"/>
    </row>
    <row r="1237" spans="1:10">
      <c r="A1237" s="4">
        <v>1233</v>
      </c>
      <c r="B1237" s="4" t="str">
        <f>"20206424203"</f>
        <v>20206424203</v>
      </c>
      <c r="C1237" s="4">
        <v>42</v>
      </c>
      <c r="D1237" s="4">
        <v>3</v>
      </c>
      <c r="E1237" s="4" t="s">
        <v>45</v>
      </c>
      <c r="F1237" s="4" t="str">
        <f>"王翀"</f>
        <v>王翀</v>
      </c>
      <c r="G1237" s="4" t="str">
        <f>"男"</f>
        <v>男</v>
      </c>
      <c r="H1237" s="4" t="str">
        <f>"1998-02-06"</f>
        <v>1998-02-06</v>
      </c>
      <c r="I1237" s="4" t="s">
        <v>12</v>
      </c>
      <c r="J1237" s="5"/>
    </row>
    <row r="1238" spans="1:10">
      <c r="A1238" s="4">
        <v>1234</v>
      </c>
      <c r="B1238" s="4" t="str">
        <f>"20206424204"</f>
        <v>20206424204</v>
      </c>
      <c r="C1238" s="4">
        <v>42</v>
      </c>
      <c r="D1238" s="4">
        <v>4</v>
      </c>
      <c r="E1238" s="4" t="s">
        <v>45</v>
      </c>
      <c r="F1238" s="4" t="str">
        <f>"秦梦"</f>
        <v>秦梦</v>
      </c>
      <c r="G1238" s="4" t="str">
        <f>"女"</f>
        <v>女</v>
      </c>
      <c r="H1238" s="4" t="str">
        <f>"1998-09-19"</f>
        <v>1998-09-19</v>
      </c>
      <c r="I1238" s="4">
        <v>58.1</v>
      </c>
      <c r="J1238" s="5"/>
    </row>
    <row r="1239" spans="1:10">
      <c r="A1239" s="4">
        <v>1235</v>
      </c>
      <c r="B1239" s="4" t="str">
        <f>"20206424205"</f>
        <v>20206424205</v>
      </c>
      <c r="C1239" s="4">
        <v>42</v>
      </c>
      <c r="D1239" s="4">
        <v>5</v>
      </c>
      <c r="E1239" s="4" t="s">
        <v>45</v>
      </c>
      <c r="F1239" s="4" t="str">
        <f>"乔锋"</f>
        <v>乔锋</v>
      </c>
      <c r="G1239" s="4" t="str">
        <f>"男"</f>
        <v>男</v>
      </c>
      <c r="H1239" s="4" t="str">
        <f>"1998-04-05"</f>
        <v>1998-04-05</v>
      </c>
      <c r="I1239" s="4">
        <v>54.4</v>
      </c>
      <c r="J1239" s="5"/>
    </row>
    <row r="1240" spans="1:10">
      <c r="A1240" s="4">
        <v>1236</v>
      </c>
      <c r="B1240" s="4" t="str">
        <f>"20206424206"</f>
        <v>20206424206</v>
      </c>
      <c r="C1240" s="4">
        <v>42</v>
      </c>
      <c r="D1240" s="4">
        <v>6</v>
      </c>
      <c r="E1240" s="4" t="s">
        <v>45</v>
      </c>
      <c r="F1240" s="4" t="str">
        <f>"朱倩倩"</f>
        <v>朱倩倩</v>
      </c>
      <c r="G1240" s="4" t="str">
        <f>"女"</f>
        <v>女</v>
      </c>
      <c r="H1240" s="4" t="str">
        <f>"1999-02-23"</f>
        <v>1999-02-23</v>
      </c>
      <c r="I1240" s="4">
        <v>39.9</v>
      </c>
      <c r="J1240" s="5"/>
    </row>
    <row r="1241" spans="1:10">
      <c r="A1241" s="4">
        <v>1237</v>
      </c>
      <c r="B1241" s="4" t="str">
        <f>"20206424207"</f>
        <v>20206424207</v>
      </c>
      <c r="C1241" s="4">
        <v>42</v>
      </c>
      <c r="D1241" s="4">
        <v>7</v>
      </c>
      <c r="E1241" s="4" t="s">
        <v>45</v>
      </c>
      <c r="F1241" s="4" t="str">
        <f>"赵正阳"</f>
        <v>赵正阳</v>
      </c>
      <c r="G1241" s="4" t="str">
        <f>"男"</f>
        <v>男</v>
      </c>
      <c r="H1241" s="4" t="str">
        <f>"1998-03-03"</f>
        <v>1998-03-03</v>
      </c>
      <c r="I1241" s="4">
        <v>64.5</v>
      </c>
      <c r="J1241" s="5"/>
    </row>
    <row r="1242" spans="1:10">
      <c r="A1242" s="4">
        <v>1238</v>
      </c>
      <c r="B1242" s="4" t="str">
        <f>"20206424208"</f>
        <v>20206424208</v>
      </c>
      <c r="C1242" s="4">
        <v>42</v>
      </c>
      <c r="D1242" s="4">
        <v>8</v>
      </c>
      <c r="E1242" s="4" t="s">
        <v>45</v>
      </c>
      <c r="F1242" s="4" t="str">
        <f>"贾书博"</f>
        <v>贾书博</v>
      </c>
      <c r="G1242" s="4" t="str">
        <f>"女"</f>
        <v>女</v>
      </c>
      <c r="H1242" s="4" t="str">
        <f>"1995-11-28"</f>
        <v>1995-11-28</v>
      </c>
      <c r="I1242" s="4">
        <v>68.8</v>
      </c>
      <c r="J1242" s="5"/>
    </row>
    <row r="1243" spans="1:10">
      <c r="A1243" s="4">
        <v>1239</v>
      </c>
      <c r="B1243" s="4" t="str">
        <f>"20206424209"</f>
        <v>20206424209</v>
      </c>
      <c r="C1243" s="4">
        <v>42</v>
      </c>
      <c r="D1243" s="4">
        <v>9</v>
      </c>
      <c r="E1243" s="4" t="s">
        <v>45</v>
      </c>
      <c r="F1243" s="4" t="str">
        <f>"张曼曼"</f>
        <v>张曼曼</v>
      </c>
      <c r="G1243" s="4" t="str">
        <f>"女"</f>
        <v>女</v>
      </c>
      <c r="H1243" s="4" t="str">
        <f>"1996-04-01"</f>
        <v>1996-04-01</v>
      </c>
      <c r="I1243" s="4">
        <v>59</v>
      </c>
      <c r="J1243" s="5"/>
    </row>
    <row r="1244" spans="1:10">
      <c r="A1244" s="4">
        <v>1240</v>
      </c>
      <c r="B1244" s="4" t="str">
        <f>"20206424210"</f>
        <v>20206424210</v>
      </c>
      <c r="C1244" s="4">
        <v>42</v>
      </c>
      <c r="D1244" s="4">
        <v>10</v>
      </c>
      <c r="E1244" s="4" t="s">
        <v>45</v>
      </c>
      <c r="F1244" s="4" t="str">
        <f>"韩悟禹"</f>
        <v>韩悟禹</v>
      </c>
      <c r="G1244" s="4" t="str">
        <f>"男"</f>
        <v>男</v>
      </c>
      <c r="H1244" s="4" t="str">
        <f>"1995-08-26"</f>
        <v>1995-08-26</v>
      </c>
      <c r="I1244" s="4">
        <v>67.8</v>
      </c>
      <c r="J1244" s="5"/>
    </row>
    <row r="1245" spans="1:10">
      <c r="A1245" s="4">
        <v>1241</v>
      </c>
      <c r="B1245" s="4" t="str">
        <f>"20206424211"</f>
        <v>20206424211</v>
      </c>
      <c r="C1245" s="4">
        <v>42</v>
      </c>
      <c r="D1245" s="4">
        <v>11</v>
      </c>
      <c r="E1245" s="4" t="s">
        <v>45</v>
      </c>
      <c r="F1245" s="4" t="str">
        <f>"朱康伦"</f>
        <v>朱康伦</v>
      </c>
      <c r="G1245" s="4" t="str">
        <f>"女"</f>
        <v>女</v>
      </c>
      <c r="H1245" s="4" t="str">
        <f>"1996-10-26"</f>
        <v>1996-10-26</v>
      </c>
      <c r="I1245" s="4">
        <v>73.5</v>
      </c>
      <c r="J1245" s="5"/>
    </row>
    <row r="1246" spans="1:10">
      <c r="A1246" s="4">
        <v>1242</v>
      </c>
      <c r="B1246" s="4" t="str">
        <f>"20206424212"</f>
        <v>20206424212</v>
      </c>
      <c r="C1246" s="4">
        <v>42</v>
      </c>
      <c r="D1246" s="4">
        <v>12</v>
      </c>
      <c r="E1246" s="4" t="s">
        <v>45</v>
      </c>
      <c r="F1246" s="4" t="str">
        <f>"尼洪勤"</f>
        <v>尼洪勤</v>
      </c>
      <c r="G1246" s="4" t="str">
        <f>"女"</f>
        <v>女</v>
      </c>
      <c r="H1246" s="4" t="str">
        <f>"1996-03-12"</f>
        <v>1996-03-12</v>
      </c>
      <c r="I1246" s="4">
        <v>70.8</v>
      </c>
      <c r="J1246" s="5"/>
    </row>
    <row r="1247" spans="1:10">
      <c r="A1247" s="4">
        <v>1243</v>
      </c>
      <c r="B1247" s="4" t="str">
        <f>"20206424213"</f>
        <v>20206424213</v>
      </c>
      <c r="C1247" s="4">
        <v>42</v>
      </c>
      <c r="D1247" s="4">
        <v>13</v>
      </c>
      <c r="E1247" s="4" t="s">
        <v>45</v>
      </c>
      <c r="F1247" s="4" t="str">
        <f>"周霖铂"</f>
        <v>周霖铂</v>
      </c>
      <c r="G1247" s="4" t="str">
        <f>"男"</f>
        <v>男</v>
      </c>
      <c r="H1247" s="4" t="str">
        <f>"1998-04-17"</f>
        <v>1998-04-17</v>
      </c>
      <c r="I1247" s="4">
        <v>62.7</v>
      </c>
      <c r="J1247" s="5"/>
    </row>
    <row r="1248" spans="1:10">
      <c r="A1248" s="4">
        <v>1244</v>
      </c>
      <c r="B1248" s="4" t="str">
        <f>"20206424214"</f>
        <v>20206424214</v>
      </c>
      <c r="C1248" s="4">
        <v>42</v>
      </c>
      <c r="D1248" s="4">
        <v>14</v>
      </c>
      <c r="E1248" s="4" t="s">
        <v>45</v>
      </c>
      <c r="F1248" s="4" t="str">
        <f>"李志朋"</f>
        <v>李志朋</v>
      </c>
      <c r="G1248" s="4" t="str">
        <f>"男"</f>
        <v>男</v>
      </c>
      <c r="H1248" s="4" t="str">
        <f>"1996-03-01"</f>
        <v>1996-03-01</v>
      </c>
      <c r="I1248" s="4">
        <v>48</v>
      </c>
      <c r="J1248" s="5"/>
    </row>
    <row r="1249" spans="1:10">
      <c r="A1249" s="4">
        <v>1245</v>
      </c>
      <c r="B1249" s="4" t="str">
        <f>"20206424215"</f>
        <v>20206424215</v>
      </c>
      <c r="C1249" s="4">
        <v>42</v>
      </c>
      <c r="D1249" s="4">
        <v>15</v>
      </c>
      <c r="E1249" s="4" t="s">
        <v>45</v>
      </c>
      <c r="F1249" s="4" t="str">
        <f>"王丹"</f>
        <v>王丹</v>
      </c>
      <c r="G1249" s="4" t="str">
        <f>"女"</f>
        <v>女</v>
      </c>
      <c r="H1249" s="4" t="str">
        <f>"1997-06-25"</f>
        <v>1997-06-25</v>
      </c>
      <c r="I1249" s="4">
        <v>59.1</v>
      </c>
      <c r="J1249" s="5"/>
    </row>
    <row r="1250" spans="1:10">
      <c r="A1250" s="4">
        <v>1246</v>
      </c>
      <c r="B1250" s="4" t="str">
        <f>"20206424216"</f>
        <v>20206424216</v>
      </c>
      <c r="C1250" s="4">
        <v>42</v>
      </c>
      <c r="D1250" s="4">
        <v>16</v>
      </c>
      <c r="E1250" s="4" t="s">
        <v>45</v>
      </c>
      <c r="F1250" s="4" t="str">
        <f>"张宇帆"</f>
        <v>张宇帆</v>
      </c>
      <c r="G1250" s="4" t="str">
        <f>"男"</f>
        <v>男</v>
      </c>
      <c r="H1250" s="4" t="str">
        <f>"1998-06-21"</f>
        <v>1998-06-21</v>
      </c>
      <c r="I1250" s="4">
        <v>67.1</v>
      </c>
      <c r="J1250" s="5"/>
    </row>
    <row r="1251" spans="1:10">
      <c r="A1251" s="4">
        <v>1247</v>
      </c>
      <c r="B1251" s="4" t="str">
        <f>"20206424217"</f>
        <v>20206424217</v>
      </c>
      <c r="C1251" s="4">
        <v>42</v>
      </c>
      <c r="D1251" s="4">
        <v>17</v>
      </c>
      <c r="E1251" s="4" t="s">
        <v>45</v>
      </c>
      <c r="F1251" s="4" t="str">
        <f>"田梦园"</f>
        <v>田梦园</v>
      </c>
      <c r="G1251" s="4" t="str">
        <f>"女"</f>
        <v>女</v>
      </c>
      <c r="H1251" s="4" t="str">
        <f>"1997-04-21"</f>
        <v>1997-04-21</v>
      </c>
      <c r="I1251" s="4">
        <v>49.1</v>
      </c>
      <c r="J1251" s="5"/>
    </row>
    <row r="1252" spans="1:10">
      <c r="A1252" s="4">
        <v>1248</v>
      </c>
      <c r="B1252" s="4" t="str">
        <f>"20206424218"</f>
        <v>20206424218</v>
      </c>
      <c r="C1252" s="4">
        <v>42</v>
      </c>
      <c r="D1252" s="4">
        <v>18</v>
      </c>
      <c r="E1252" s="4" t="s">
        <v>45</v>
      </c>
      <c r="F1252" s="4" t="str">
        <f>"王岩"</f>
        <v>王岩</v>
      </c>
      <c r="G1252" s="4" t="str">
        <f>"男"</f>
        <v>男</v>
      </c>
      <c r="H1252" s="4" t="str">
        <f>"1997-10-05"</f>
        <v>1997-10-05</v>
      </c>
      <c r="I1252" s="4">
        <v>62.5</v>
      </c>
      <c r="J1252" s="5"/>
    </row>
    <row r="1253" spans="1:10">
      <c r="A1253" s="4">
        <v>1249</v>
      </c>
      <c r="B1253" s="4" t="str">
        <f>"20206424219"</f>
        <v>20206424219</v>
      </c>
      <c r="C1253" s="4">
        <v>42</v>
      </c>
      <c r="D1253" s="4">
        <v>19</v>
      </c>
      <c r="E1253" s="4" t="s">
        <v>45</v>
      </c>
      <c r="F1253" s="4" t="str">
        <f>"高航"</f>
        <v>高航</v>
      </c>
      <c r="G1253" s="4" t="str">
        <f>"女"</f>
        <v>女</v>
      </c>
      <c r="H1253" s="4" t="str">
        <f>"1998-12-02"</f>
        <v>1998-12-02</v>
      </c>
      <c r="I1253" s="4">
        <v>58.5</v>
      </c>
      <c r="J1253" s="5"/>
    </row>
    <row r="1254" spans="1:10">
      <c r="A1254" s="4">
        <v>1250</v>
      </c>
      <c r="B1254" s="4" t="str">
        <f>"20206424220"</f>
        <v>20206424220</v>
      </c>
      <c r="C1254" s="4">
        <v>42</v>
      </c>
      <c r="D1254" s="4">
        <v>20</v>
      </c>
      <c r="E1254" s="4" t="s">
        <v>45</v>
      </c>
      <c r="F1254" s="4" t="str">
        <f>"方凯玮"</f>
        <v>方凯玮</v>
      </c>
      <c r="G1254" s="4" t="str">
        <f>"男"</f>
        <v>男</v>
      </c>
      <c r="H1254" s="4" t="str">
        <f>"1998-10-15"</f>
        <v>1998-10-15</v>
      </c>
      <c r="I1254" s="4">
        <v>48.4</v>
      </c>
      <c r="J1254" s="5"/>
    </row>
    <row r="1255" spans="1:10">
      <c r="A1255" s="4">
        <v>1251</v>
      </c>
      <c r="B1255" s="4" t="str">
        <f>"20207024301"</f>
        <v>20207024301</v>
      </c>
      <c r="C1255" s="4">
        <v>43</v>
      </c>
      <c r="D1255" s="4">
        <v>1</v>
      </c>
      <c r="E1255" s="4" t="s">
        <v>46</v>
      </c>
      <c r="F1255" s="4" t="str">
        <f>"刘海航"</f>
        <v>刘海航</v>
      </c>
      <c r="G1255" s="4" t="str">
        <f t="shared" ref="G1255:G1318" si="53">"女"</f>
        <v>女</v>
      </c>
      <c r="H1255" s="4" t="str">
        <f>"1990-01-15"</f>
        <v>1990-01-15</v>
      </c>
      <c r="I1255" s="4" t="s">
        <v>12</v>
      </c>
      <c r="J1255" s="5"/>
    </row>
    <row r="1256" spans="1:10">
      <c r="A1256" s="4">
        <v>1252</v>
      </c>
      <c r="B1256" s="4" t="str">
        <f>"20207024302"</f>
        <v>20207024302</v>
      </c>
      <c r="C1256" s="4">
        <v>43</v>
      </c>
      <c r="D1256" s="4">
        <v>2</v>
      </c>
      <c r="E1256" s="4" t="s">
        <v>46</v>
      </c>
      <c r="F1256" s="4" t="str">
        <f>"乔新士"</f>
        <v>乔新士</v>
      </c>
      <c r="G1256" s="4" t="str">
        <f t="shared" si="53"/>
        <v>女</v>
      </c>
      <c r="H1256" s="4" t="str">
        <f>"1995-09-06"</f>
        <v>1995-09-06</v>
      </c>
      <c r="I1256" s="4">
        <v>71.9</v>
      </c>
      <c r="J1256" s="5"/>
    </row>
    <row r="1257" spans="1:10">
      <c r="A1257" s="4">
        <v>1253</v>
      </c>
      <c r="B1257" s="4" t="str">
        <f>"20207024303"</f>
        <v>20207024303</v>
      </c>
      <c r="C1257" s="4">
        <v>43</v>
      </c>
      <c r="D1257" s="4">
        <v>3</v>
      </c>
      <c r="E1257" s="4" t="s">
        <v>46</v>
      </c>
      <c r="F1257" s="4" t="str">
        <f>"张萌萌"</f>
        <v>张萌萌</v>
      </c>
      <c r="G1257" s="4" t="str">
        <f t="shared" si="53"/>
        <v>女</v>
      </c>
      <c r="H1257" s="4" t="str">
        <f>"1999-05-28"</f>
        <v>1999-05-28</v>
      </c>
      <c r="I1257" s="4" t="s">
        <v>12</v>
      </c>
      <c r="J1257" s="5"/>
    </row>
    <row r="1258" spans="1:10">
      <c r="A1258" s="4">
        <v>1254</v>
      </c>
      <c r="B1258" s="4" t="str">
        <f>"20207024304"</f>
        <v>20207024304</v>
      </c>
      <c r="C1258" s="4">
        <v>43</v>
      </c>
      <c r="D1258" s="4">
        <v>4</v>
      </c>
      <c r="E1258" s="4" t="s">
        <v>46</v>
      </c>
      <c r="F1258" s="4" t="str">
        <f>"王淼"</f>
        <v>王淼</v>
      </c>
      <c r="G1258" s="4" t="str">
        <f t="shared" si="53"/>
        <v>女</v>
      </c>
      <c r="H1258" s="4" t="str">
        <f>"1996-09-26"</f>
        <v>1996-09-26</v>
      </c>
      <c r="I1258" s="4">
        <v>65.8</v>
      </c>
      <c r="J1258" s="5"/>
    </row>
    <row r="1259" spans="1:10">
      <c r="A1259" s="4">
        <v>1255</v>
      </c>
      <c r="B1259" s="4" t="str">
        <f>"20207024305"</f>
        <v>20207024305</v>
      </c>
      <c r="C1259" s="4">
        <v>43</v>
      </c>
      <c r="D1259" s="4">
        <v>5</v>
      </c>
      <c r="E1259" s="4" t="s">
        <v>46</v>
      </c>
      <c r="F1259" s="4" t="str">
        <f>"郑婵"</f>
        <v>郑婵</v>
      </c>
      <c r="G1259" s="4" t="str">
        <f t="shared" si="53"/>
        <v>女</v>
      </c>
      <c r="H1259" s="4" t="str">
        <f>"1996-02-20"</f>
        <v>1996-02-20</v>
      </c>
      <c r="I1259" s="4" t="s">
        <v>12</v>
      </c>
      <c r="J1259" s="5"/>
    </row>
    <row r="1260" spans="1:10">
      <c r="A1260" s="4">
        <v>1256</v>
      </c>
      <c r="B1260" s="4" t="str">
        <f>"20207024306"</f>
        <v>20207024306</v>
      </c>
      <c r="C1260" s="4">
        <v>43</v>
      </c>
      <c r="D1260" s="4">
        <v>6</v>
      </c>
      <c r="E1260" s="4" t="s">
        <v>46</v>
      </c>
      <c r="F1260" s="4" t="str">
        <f>"张新"</f>
        <v>张新</v>
      </c>
      <c r="G1260" s="4" t="str">
        <f t="shared" si="53"/>
        <v>女</v>
      </c>
      <c r="H1260" s="4" t="str">
        <f>"1996-08-21"</f>
        <v>1996-08-21</v>
      </c>
      <c r="I1260" s="4" t="s">
        <v>12</v>
      </c>
      <c r="J1260" s="5"/>
    </row>
    <row r="1261" spans="1:10">
      <c r="A1261" s="4">
        <v>1257</v>
      </c>
      <c r="B1261" s="4" t="str">
        <f>"20207024307"</f>
        <v>20207024307</v>
      </c>
      <c r="C1261" s="4">
        <v>43</v>
      </c>
      <c r="D1261" s="4">
        <v>7</v>
      </c>
      <c r="E1261" s="4" t="s">
        <v>46</v>
      </c>
      <c r="F1261" s="4" t="str">
        <f>"秦鑫阳"</f>
        <v>秦鑫阳</v>
      </c>
      <c r="G1261" s="4" t="str">
        <f t="shared" si="53"/>
        <v>女</v>
      </c>
      <c r="H1261" s="4" t="str">
        <f>"1997-03-12"</f>
        <v>1997-03-12</v>
      </c>
      <c r="I1261" s="4">
        <v>79.5</v>
      </c>
      <c r="J1261" s="5"/>
    </row>
    <row r="1262" spans="1:10">
      <c r="A1262" s="4">
        <v>1258</v>
      </c>
      <c r="B1262" s="4" t="str">
        <f>"20207024308"</f>
        <v>20207024308</v>
      </c>
      <c r="C1262" s="4">
        <v>43</v>
      </c>
      <c r="D1262" s="4">
        <v>8</v>
      </c>
      <c r="E1262" s="4" t="s">
        <v>46</v>
      </c>
      <c r="F1262" s="4" t="str">
        <f>"吴书凡"</f>
        <v>吴书凡</v>
      </c>
      <c r="G1262" s="4" t="str">
        <f t="shared" si="53"/>
        <v>女</v>
      </c>
      <c r="H1262" s="4" t="str">
        <f>"1997-11-05"</f>
        <v>1997-11-05</v>
      </c>
      <c r="I1262" s="4" t="s">
        <v>12</v>
      </c>
      <c r="J1262" s="5"/>
    </row>
    <row r="1263" spans="1:10">
      <c r="A1263" s="4">
        <v>1259</v>
      </c>
      <c r="B1263" s="4" t="str">
        <f>"20207024309"</f>
        <v>20207024309</v>
      </c>
      <c r="C1263" s="4">
        <v>43</v>
      </c>
      <c r="D1263" s="4">
        <v>9</v>
      </c>
      <c r="E1263" s="4" t="s">
        <v>46</v>
      </c>
      <c r="F1263" s="4" t="str">
        <f>"石西"</f>
        <v>石西</v>
      </c>
      <c r="G1263" s="4" t="str">
        <f t="shared" si="53"/>
        <v>女</v>
      </c>
      <c r="H1263" s="4" t="str">
        <f>"1996-05-13"</f>
        <v>1996-05-13</v>
      </c>
      <c r="I1263" s="4" t="s">
        <v>12</v>
      </c>
      <c r="J1263" s="5"/>
    </row>
    <row r="1264" spans="1:10">
      <c r="A1264" s="4">
        <v>1260</v>
      </c>
      <c r="B1264" s="4" t="str">
        <f>"20207024310"</f>
        <v>20207024310</v>
      </c>
      <c r="C1264" s="4">
        <v>43</v>
      </c>
      <c r="D1264" s="4">
        <v>10</v>
      </c>
      <c r="E1264" s="4" t="s">
        <v>46</v>
      </c>
      <c r="F1264" s="4" t="str">
        <f>"许艺子"</f>
        <v>许艺子</v>
      </c>
      <c r="G1264" s="4" t="str">
        <f t="shared" si="53"/>
        <v>女</v>
      </c>
      <c r="H1264" s="4" t="str">
        <f>"1993-05-26"</f>
        <v>1993-05-26</v>
      </c>
      <c r="I1264" s="4">
        <v>70.2</v>
      </c>
      <c r="J1264" s="5"/>
    </row>
    <row r="1265" spans="1:10">
      <c r="A1265" s="4">
        <v>1261</v>
      </c>
      <c r="B1265" s="4" t="str">
        <f>"20207024311"</f>
        <v>20207024311</v>
      </c>
      <c r="C1265" s="4">
        <v>43</v>
      </c>
      <c r="D1265" s="4">
        <v>11</v>
      </c>
      <c r="E1265" s="4" t="s">
        <v>46</v>
      </c>
      <c r="F1265" s="4" t="str">
        <f>"范立彦"</f>
        <v>范立彦</v>
      </c>
      <c r="G1265" s="4" t="str">
        <f t="shared" si="53"/>
        <v>女</v>
      </c>
      <c r="H1265" s="4" t="str">
        <f>"1996-12-19"</f>
        <v>1996-12-19</v>
      </c>
      <c r="I1265" s="4">
        <v>78.9</v>
      </c>
      <c r="J1265" s="5"/>
    </row>
    <row r="1266" spans="1:10">
      <c r="A1266" s="4">
        <v>1262</v>
      </c>
      <c r="B1266" s="4" t="str">
        <f>"20207024312"</f>
        <v>20207024312</v>
      </c>
      <c r="C1266" s="4">
        <v>43</v>
      </c>
      <c r="D1266" s="4">
        <v>12</v>
      </c>
      <c r="E1266" s="4" t="s">
        <v>46</v>
      </c>
      <c r="F1266" s="4" t="str">
        <f>"陈琛"</f>
        <v>陈琛</v>
      </c>
      <c r="G1266" s="4" t="str">
        <f t="shared" si="53"/>
        <v>女</v>
      </c>
      <c r="H1266" s="4" t="str">
        <f>"1991-02-02"</f>
        <v>1991-02-02</v>
      </c>
      <c r="I1266" s="4">
        <v>72.8</v>
      </c>
      <c r="J1266" s="5"/>
    </row>
    <row r="1267" spans="1:10">
      <c r="A1267" s="4">
        <v>1263</v>
      </c>
      <c r="B1267" s="4" t="str">
        <f>"20207024313"</f>
        <v>20207024313</v>
      </c>
      <c r="C1267" s="4">
        <v>43</v>
      </c>
      <c r="D1267" s="4">
        <v>13</v>
      </c>
      <c r="E1267" s="4" t="s">
        <v>46</v>
      </c>
      <c r="F1267" s="4" t="str">
        <f>"龚娜英"</f>
        <v>龚娜英</v>
      </c>
      <c r="G1267" s="4" t="str">
        <f t="shared" si="53"/>
        <v>女</v>
      </c>
      <c r="H1267" s="4" t="str">
        <f>"1997-02-25"</f>
        <v>1997-02-25</v>
      </c>
      <c r="I1267" s="4">
        <v>65.1</v>
      </c>
      <c r="J1267" s="5"/>
    </row>
    <row r="1268" spans="1:10">
      <c r="A1268" s="4">
        <v>1264</v>
      </c>
      <c r="B1268" s="4" t="str">
        <f>"20207024314"</f>
        <v>20207024314</v>
      </c>
      <c r="C1268" s="4">
        <v>43</v>
      </c>
      <c r="D1268" s="4">
        <v>14</v>
      </c>
      <c r="E1268" s="4" t="s">
        <v>46</v>
      </c>
      <c r="F1268" s="4" t="str">
        <f>"陈亮亮"</f>
        <v>陈亮亮</v>
      </c>
      <c r="G1268" s="4" t="str">
        <f t="shared" si="53"/>
        <v>女</v>
      </c>
      <c r="H1268" s="4" t="str">
        <f>"1998-05-15"</f>
        <v>1998-05-15</v>
      </c>
      <c r="I1268" s="4">
        <v>61.8</v>
      </c>
      <c r="J1268" s="5"/>
    </row>
    <row r="1269" spans="1:10">
      <c r="A1269" s="4">
        <v>1265</v>
      </c>
      <c r="B1269" s="4" t="str">
        <f>"20207024315"</f>
        <v>20207024315</v>
      </c>
      <c r="C1269" s="4">
        <v>43</v>
      </c>
      <c r="D1269" s="4">
        <v>15</v>
      </c>
      <c r="E1269" s="4" t="s">
        <v>46</v>
      </c>
      <c r="F1269" s="4" t="str">
        <f>"刘吉倩"</f>
        <v>刘吉倩</v>
      </c>
      <c r="G1269" s="4" t="str">
        <f t="shared" si="53"/>
        <v>女</v>
      </c>
      <c r="H1269" s="4" t="str">
        <f>"1998-06-19"</f>
        <v>1998-06-19</v>
      </c>
      <c r="I1269" s="4">
        <v>65</v>
      </c>
      <c r="J1269" s="5"/>
    </row>
    <row r="1270" spans="1:10">
      <c r="A1270" s="4">
        <v>1266</v>
      </c>
      <c r="B1270" s="4" t="str">
        <f>"20207024316"</f>
        <v>20207024316</v>
      </c>
      <c r="C1270" s="4">
        <v>43</v>
      </c>
      <c r="D1270" s="4">
        <v>16</v>
      </c>
      <c r="E1270" s="4" t="s">
        <v>46</v>
      </c>
      <c r="F1270" s="4" t="str">
        <f>"耿伟峰"</f>
        <v>耿伟峰</v>
      </c>
      <c r="G1270" s="4" t="str">
        <f t="shared" si="53"/>
        <v>女</v>
      </c>
      <c r="H1270" s="4" t="str">
        <f>"1999-11-11"</f>
        <v>1999-11-11</v>
      </c>
      <c r="I1270" s="4">
        <v>62.2</v>
      </c>
      <c r="J1270" s="5"/>
    </row>
    <row r="1271" spans="1:10">
      <c r="A1271" s="4">
        <v>1267</v>
      </c>
      <c r="B1271" s="4" t="str">
        <f>"20207024317"</f>
        <v>20207024317</v>
      </c>
      <c r="C1271" s="4">
        <v>43</v>
      </c>
      <c r="D1271" s="4">
        <v>17</v>
      </c>
      <c r="E1271" s="4" t="s">
        <v>46</v>
      </c>
      <c r="F1271" s="4" t="str">
        <f>"孟亚丽"</f>
        <v>孟亚丽</v>
      </c>
      <c r="G1271" s="4" t="str">
        <f t="shared" si="53"/>
        <v>女</v>
      </c>
      <c r="H1271" s="4" t="str">
        <f>"1995-09-26"</f>
        <v>1995-09-26</v>
      </c>
      <c r="I1271" s="4">
        <v>76.2</v>
      </c>
      <c r="J1271" s="5"/>
    </row>
    <row r="1272" spans="1:10">
      <c r="A1272" s="4">
        <v>1268</v>
      </c>
      <c r="B1272" s="4" t="str">
        <f>"20207024318"</f>
        <v>20207024318</v>
      </c>
      <c r="C1272" s="4">
        <v>43</v>
      </c>
      <c r="D1272" s="4">
        <v>18</v>
      </c>
      <c r="E1272" s="4" t="s">
        <v>46</v>
      </c>
      <c r="F1272" s="4" t="str">
        <f>"王闪闪"</f>
        <v>王闪闪</v>
      </c>
      <c r="G1272" s="4" t="str">
        <f t="shared" si="53"/>
        <v>女</v>
      </c>
      <c r="H1272" s="4" t="str">
        <f>"1996-11-17"</f>
        <v>1996-11-17</v>
      </c>
      <c r="I1272" s="4">
        <v>76.5</v>
      </c>
      <c r="J1272" s="5"/>
    </row>
    <row r="1273" spans="1:10">
      <c r="A1273" s="4">
        <v>1269</v>
      </c>
      <c r="B1273" s="4" t="str">
        <f>"20207024319"</f>
        <v>20207024319</v>
      </c>
      <c r="C1273" s="4">
        <v>43</v>
      </c>
      <c r="D1273" s="4">
        <v>19</v>
      </c>
      <c r="E1273" s="4" t="s">
        <v>46</v>
      </c>
      <c r="F1273" s="4" t="str">
        <f>"刘天佑"</f>
        <v>刘天佑</v>
      </c>
      <c r="G1273" s="4" t="str">
        <f t="shared" si="53"/>
        <v>女</v>
      </c>
      <c r="H1273" s="4" t="str">
        <f>"1994-09-09"</f>
        <v>1994-09-09</v>
      </c>
      <c r="I1273" s="4">
        <v>73.8</v>
      </c>
      <c r="J1273" s="5"/>
    </row>
    <row r="1274" spans="1:10">
      <c r="A1274" s="4">
        <v>1270</v>
      </c>
      <c r="B1274" s="4" t="str">
        <f>"20207024320"</f>
        <v>20207024320</v>
      </c>
      <c r="C1274" s="4">
        <v>43</v>
      </c>
      <c r="D1274" s="4">
        <v>20</v>
      </c>
      <c r="E1274" s="4" t="s">
        <v>46</v>
      </c>
      <c r="F1274" s="4" t="str">
        <f>"郑媛媛"</f>
        <v>郑媛媛</v>
      </c>
      <c r="G1274" s="4" t="str">
        <f t="shared" si="53"/>
        <v>女</v>
      </c>
      <c r="H1274" s="4" t="str">
        <f>"1997-03-19"</f>
        <v>1997-03-19</v>
      </c>
      <c r="I1274" s="4">
        <v>77.5</v>
      </c>
      <c r="J1274" s="5"/>
    </row>
    <row r="1275" spans="1:10">
      <c r="A1275" s="4">
        <v>1271</v>
      </c>
      <c r="B1275" s="4" t="str">
        <f>"20207024321"</f>
        <v>20207024321</v>
      </c>
      <c r="C1275" s="4">
        <v>43</v>
      </c>
      <c r="D1275" s="4">
        <v>21</v>
      </c>
      <c r="E1275" s="4" t="s">
        <v>46</v>
      </c>
      <c r="F1275" s="4" t="str">
        <f>"杨洋"</f>
        <v>杨洋</v>
      </c>
      <c r="G1275" s="4" t="str">
        <f t="shared" si="53"/>
        <v>女</v>
      </c>
      <c r="H1275" s="4" t="str">
        <f>"1996-06-10"</f>
        <v>1996-06-10</v>
      </c>
      <c r="I1275" s="4" t="s">
        <v>12</v>
      </c>
      <c r="J1275" s="5"/>
    </row>
    <row r="1276" spans="1:10">
      <c r="A1276" s="4">
        <v>1272</v>
      </c>
      <c r="B1276" s="4" t="str">
        <f>"20207024322"</f>
        <v>20207024322</v>
      </c>
      <c r="C1276" s="4">
        <v>43</v>
      </c>
      <c r="D1276" s="4">
        <v>22</v>
      </c>
      <c r="E1276" s="4" t="s">
        <v>46</v>
      </c>
      <c r="F1276" s="4" t="str">
        <f>"陆诗伟"</f>
        <v>陆诗伟</v>
      </c>
      <c r="G1276" s="4" t="str">
        <f t="shared" si="53"/>
        <v>女</v>
      </c>
      <c r="H1276" s="4" t="str">
        <f>"1992-12-20"</f>
        <v>1992-12-20</v>
      </c>
      <c r="I1276" s="4">
        <v>74.9</v>
      </c>
      <c r="J1276" s="5"/>
    </row>
    <row r="1277" spans="1:10">
      <c r="A1277" s="4">
        <v>1273</v>
      </c>
      <c r="B1277" s="4" t="str">
        <f>"20207024323"</f>
        <v>20207024323</v>
      </c>
      <c r="C1277" s="4">
        <v>43</v>
      </c>
      <c r="D1277" s="4">
        <v>23</v>
      </c>
      <c r="E1277" s="4" t="s">
        <v>46</v>
      </c>
      <c r="F1277" s="4" t="str">
        <f>"刘晓"</f>
        <v>刘晓</v>
      </c>
      <c r="G1277" s="4" t="str">
        <f t="shared" si="53"/>
        <v>女</v>
      </c>
      <c r="H1277" s="4" t="str">
        <f>"1995-10-21"</f>
        <v>1995-10-21</v>
      </c>
      <c r="I1277" s="4">
        <v>77.9</v>
      </c>
      <c r="J1277" s="5"/>
    </row>
    <row r="1278" spans="1:10">
      <c r="A1278" s="4">
        <v>1274</v>
      </c>
      <c r="B1278" s="4" t="str">
        <f>"20207024324"</f>
        <v>20207024324</v>
      </c>
      <c r="C1278" s="4">
        <v>43</v>
      </c>
      <c r="D1278" s="4">
        <v>24</v>
      </c>
      <c r="E1278" s="4" t="s">
        <v>46</v>
      </c>
      <c r="F1278" s="4" t="str">
        <f>"梁艺冉"</f>
        <v>梁艺冉</v>
      </c>
      <c r="G1278" s="4" t="str">
        <f t="shared" si="53"/>
        <v>女</v>
      </c>
      <c r="H1278" s="4" t="str">
        <f>"1994-12-20"</f>
        <v>1994-12-20</v>
      </c>
      <c r="I1278" s="4">
        <v>71.9</v>
      </c>
      <c r="J1278" s="5"/>
    </row>
    <row r="1279" spans="1:10">
      <c r="A1279" s="4">
        <v>1275</v>
      </c>
      <c r="B1279" s="4" t="str">
        <f>"20207024325"</f>
        <v>20207024325</v>
      </c>
      <c r="C1279" s="4">
        <v>43</v>
      </c>
      <c r="D1279" s="4">
        <v>25</v>
      </c>
      <c r="E1279" s="4" t="s">
        <v>46</v>
      </c>
      <c r="F1279" s="4" t="str">
        <f>"张珊珊"</f>
        <v>张珊珊</v>
      </c>
      <c r="G1279" s="4" t="str">
        <f t="shared" si="53"/>
        <v>女</v>
      </c>
      <c r="H1279" s="4" t="str">
        <f>"1996-09-08"</f>
        <v>1996-09-08</v>
      </c>
      <c r="I1279" s="4">
        <v>73.9</v>
      </c>
      <c r="J1279" s="5"/>
    </row>
    <row r="1280" spans="1:10">
      <c r="A1280" s="4">
        <v>1276</v>
      </c>
      <c r="B1280" s="4" t="str">
        <f>"20207024326"</f>
        <v>20207024326</v>
      </c>
      <c r="C1280" s="4">
        <v>43</v>
      </c>
      <c r="D1280" s="4">
        <v>26</v>
      </c>
      <c r="E1280" s="4" t="s">
        <v>46</v>
      </c>
      <c r="F1280" s="4" t="str">
        <f>"卢绍莲"</f>
        <v>卢绍莲</v>
      </c>
      <c r="G1280" s="4" t="str">
        <f t="shared" si="53"/>
        <v>女</v>
      </c>
      <c r="H1280" s="4" t="str">
        <f>"1997-04-22"</f>
        <v>1997-04-22</v>
      </c>
      <c r="I1280" s="4">
        <v>72.9</v>
      </c>
      <c r="J1280" s="5"/>
    </row>
    <row r="1281" spans="1:10">
      <c r="A1281" s="4">
        <v>1277</v>
      </c>
      <c r="B1281" s="4" t="str">
        <f>"20207024327"</f>
        <v>20207024327</v>
      </c>
      <c r="C1281" s="4">
        <v>43</v>
      </c>
      <c r="D1281" s="4">
        <v>27</v>
      </c>
      <c r="E1281" s="4" t="s">
        <v>46</v>
      </c>
      <c r="F1281" s="4" t="str">
        <f>"李湘君"</f>
        <v>李湘君</v>
      </c>
      <c r="G1281" s="4" t="str">
        <f t="shared" si="53"/>
        <v>女</v>
      </c>
      <c r="H1281" s="4" t="str">
        <f>"2002-06-06"</f>
        <v>2002-06-06</v>
      </c>
      <c r="I1281" s="4" t="s">
        <v>12</v>
      </c>
      <c r="J1281" s="5"/>
    </row>
    <row r="1282" spans="1:10">
      <c r="A1282" s="4">
        <v>1278</v>
      </c>
      <c r="B1282" s="4" t="str">
        <f>"20207024328"</f>
        <v>20207024328</v>
      </c>
      <c r="C1282" s="4">
        <v>43</v>
      </c>
      <c r="D1282" s="4">
        <v>28</v>
      </c>
      <c r="E1282" s="4" t="s">
        <v>46</v>
      </c>
      <c r="F1282" s="4" t="str">
        <f>"朱艺伟"</f>
        <v>朱艺伟</v>
      </c>
      <c r="G1282" s="4" t="str">
        <f t="shared" si="53"/>
        <v>女</v>
      </c>
      <c r="H1282" s="4" t="str">
        <f>"1997-08-01"</f>
        <v>1997-08-01</v>
      </c>
      <c r="I1282" s="4">
        <v>67.5</v>
      </c>
      <c r="J1282" s="5"/>
    </row>
    <row r="1283" spans="1:10">
      <c r="A1283" s="4">
        <v>1279</v>
      </c>
      <c r="B1283" s="4" t="str">
        <f>"20207024329"</f>
        <v>20207024329</v>
      </c>
      <c r="C1283" s="4">
        <v>43</v>
      </c>
      <c r="D1283" s="4">
        <v>29</v>
      </c>
      <c r="E1283" s="4" t="s">
        <v>46</v>
      </c>
      <c r="F1283" s="4" t="str">
        <f>"时玉苗"</f>
        <v>时玉苗</v>
      </c>
      <c r="G1283" s="4" t="str">
        <f t="shared" si="53"/>
        <v>女</v>
      </c>
      <c r="H1283" s="4" t="str">
        <f>"1996-09-13"</f>
        <v>1996-09-13</v>
      </c>
      <c r="I1283" s="4">
        <v>75.5</v>
      </c>
      <c r="J1283" s="5"/>
    </row>
    <row r="1284" spans="1:10">
      <c r="A1284" s="4">
        <v>1280</v>
      </c>
      <c r="B1284" s="4" t="str">
        <f>"20207024330"</f>
        <v>20207024330</v>
      </c>
      <c r="C1284" s="4">
        <v>43</v>
      </c>
      <c r="D1284" s="4">
        <v>30</v>
      </c>
      <c r="E1284" s="4" t="s">
        <v>46</v>
      </c>
      <c r="F1284" s="4" t="str">
        <f>"张华"</f>
        <v>张华</v>
      </c>
      <c r="G1284" s="4" t="str">
        <f t="shared" si="53"/>
        <v>女</v>
      </c>
      <c r="H1284" s="4" t="str">
        <f>"1990-10-13"</f>
        <v>1990-10-13</v>
      </c>
      <c r="I1284" s="4">
        <v>65.4</v>
      </c>
      <c r="J1284" s="5"/>
    </row>
    <row r="1285" spans="1:10">
      <c r="A1285" s="4">
        <v>1281</v>
      </c>
      <c r="B1285" s="4" t="str">
        <f>"20207024401"</f>
        <v>20207024401</v>
      </c>
      <c r="C1285" s="4">
        <v>44</v>
      </c>
      <c r="D1285" s="4">
        <v>1</v>
      </c>
      <c r="E1285" s="4" t="s">
        <v>46</v>
      </c>
      <c r="F1285" s="4" t="str">
        <f>"程云云"</f>
        <v>程云云</v>
      </c>
      <c r="G1285" s="4" t="str">
        <f t="shared" si="53"/>
        <v>女</v>
      </c>
      <c r="H1285" s="4" t="str">
        <f>"1992-01-08"</f>
        <v>1992-01-08</v>
      </c>
      <c r="I1285" s="4">
        <v>63.2</v>
      </c>
      <c r="J1285" s="5"/>
    </row>
    <row r="1286" spans="1:10">
      <c r="A1286" s="4">
        <v>1282</v>
      </c>
      <c r="B1286" s="4" t="str">
        <f>"20207024402"</f>
        <v>20207024402</v>
      </c>
      <c r="C1286" s="4">
        <v>44</v>
      </c>
      <c r="D1286" s="4">
        <v>2</v>
      </c>
      <c r="E1286" s="4" t="s">
        <v>46</v>
      </c>
      <c r="F1286" s="4" t="str">
        <f>"杜丽姗"</f>
        <v>杜丽姗</v>
      </c>
      <c r="G1286" s="4" t="str">
        <f t="shared" si="53"/>
        <v>女</v>
      </c>
      <c r="H1286" s="4" t="str">
        <f>"1995-10-13"</f>
        <v>1995-10-13</v>
      </c>
      <c r="I1286" s="4">
        <v>71.9</v>
      </c>
      <c r="J1286" s="5"/>
    </row>
    <row r="1287" spans="1:10">
      <c r="A1287" s="4">
        <v>1283</v>
      </c>
      <c r="B1287" s="4" t="str">
        <f>"20207024403"</f>
        <v>20207024403</v>
      </c>
      <c r="C1287" s="4">
        <v>44</v>
      </c>
      <c r="D1287" s="4">
        <v>3</v>
      </c>
      <c r="E1287" s="4" t="s">
        <v>46</v>
      </c>
      <c r="F1287" s="4" t="str">
        <f>"惠英贤"</f>
        <v>惠英贤</v>
      </c>
      <c r="G1287" s="4" t="str">
        <f t="shared" si="53"/>
        <v>女</v>
      </c>
      <c r="H1287" s="4" t="str">
        <f>"1990-09-09"</f>
        <v>1990-09-09</v>
      </c>
      <c r="I1287" s="4" t="s">
        <v>12</v>
      </c>
      <c r="J1287" s="5"/>
    </row>
    <row r="1288" spans="1:10">
      <c r="A1288" s="4">
        <v>1284</v>
      </c>
      <c r="B1288" s="4" t="str">
        <f>"20207024404"</f>
        <v>20207024404</v>
      </c>
      <c r="C1288" s="4">
        <v>44</v>
      </c>
      <c r="D1288" s="4">
        <v>4</v>
      </c>
      <c r="E1288" s="4" t="s">
        <v>46</v>
      </c>
      <c r="F1288" s="4" t="str">
        <f>"王婉琪"</f>
        <v>王婉琪</v>
      </c>
      <c r="G1288" s="4" t="str">
        <f t="shared" si="53"/>
        <v>女</v>
      </c>
      <c r="H1288" s="4" t="str">
        <f>"1996-10-17"</f>
        <v>1996-10-17</v>
      </c>
      <c r="I1288" s="4">
        <v>82.5</v>
      </c>
      <c r="J1288" s="5"/>
    </row>
    <row r="1289" spans="1:10">
      <c r="A1289" s="4">
        <v>1285</v>
      </c>
      <c r="B1289" s="4" t="str">
        <f>"20207024405"</f>
        <v>20207024405</v>
      </c>
      <c r="C1289" s="4">
        <v>44</v>
      </c>
      <c r="D1289" s="4">
        <v>5</v>
      </c>
      <c r="E1289" s="4" t="s">
        <v>46</v>
      </c>
      <c r="F1289" s="4" t="str">
        <f>"袁盼盼"</f>
        <v>袁盼盼</v>
      </c>
      <c r="G1289" s="4" t="str">
        <f t="shared" si="53"/>
        <v>女</v>
      </c>
      <c r="H1289" s="4" t="str">
        <f>"1991-03-15"</f>
        <v>1991-03-15</v>
      </c>
      <c r="I1289" s="4">
        <v>72.5</v>
      </c>
      <c r="J1289" s="5"/>
    </row>
    <row r="1290" spans="1:10">
      <c r="A1290" s="4">
        <v>1286</v>
      </c>
      <c r="B1290" s="4" t="str">
        <f>"20207024406"</f>
        <v>20207024406</v>
      </c>
      <c r="C1290" s="4">
        <v>44</v>
      </c>
      <c r="D1290" s="4">
        <v>6</v>
      </c>
      <c r="E1290" s="4" t="s">
        <v>46</v>
      </c>
      <c r="F1290" s="4" t="str">
        <f>"郭峤"</f>
        <v>郭峤</v>
      </c>
      <c r="G1290" s="4" t="str">
        <f t="shared" si="53"/>
        <v>女</v>
      </c>
      <c r="H1290" s="4" t="str">
        <f>"1998-02-02"</f>
        <v>1998-02-02</v>
      </c>
      <c r="I1290" s="4">
        <v>75.2</v>
      </c>
      <c r="J1290" s="5"/>
    </row>
    <row r="1291" spans="1:10">
      <c r="A1291" s="4">
        <v>1287</v>
      </c>
      <c r="B1291" s="4" t="str">
        <f>"20207024407"</f>
        <v>20207024407</v>
      </c>
      <c r="C1291" s="4">
        <v>44</v>
      </c>
      <c r="D1291" s="4">
        <v>7</v>
      </c>
      <c r="E1291" s="4" t="s">
        <v>46</v>
      </c>
      <c r="F1291" s="4" t="str">
        <f>"张孟宇"</f>
        <v>张孟宇</v>
      </c>
      <c r="G1291" s="4" t="str">
        <f t="shared" si="53"/>
        <v>女</v>
      </c>
      <c r="H1291" s="4" t="str">
        <f>"1997-12-01"</f>
        <v>1997-12-01</v>
      </c>
      <c r="I1291" s="4" t="s">
        <v>12</v>
      </c>
      <c r="J1291" s="5"/>
    </row>
    <row r="1292" spans="1:10">
      <c r="A1292" s="4">
        <v>1288</v>
      </c>
      <c r="B1292" s="4" t="str">
        <f>"20207024408"</f>
        <v>20207024408</v>
      </c>
      <c r="C1292" s="4">
        <v>44</v>
      </c>
      <c r="D1292" s="4">
        <v>8</v>
      </c>
      <c r="E1292" s="4" t="s">
        <v>46</v>
      </c>
      <c r="F1292" s="4" t="str">
        <f>"马钰莹"</f>
        <v>马钰莹</v>
      </c>
      <c r="G1292" s="4" t="str">
        <f t="shared" si="53"/>
        <v>女</v>
      </c>
      <c r="H1292" s="4" t="str">
        <f>"1994-09-08"</f>
        <v>1994-09-08</v>
      </c>
      <c r="I1292" s="4">
        <v>72.2</v>
      </c>
      <c r="J1292" s="5"/>
    </row>
    <row r="1293" spans="1:10">
      <c r="A1293" s="4">
        <v>1289</v>
      </c>
      <c r="B1293" s="4" t="str">
        <f>"20207024409"</f>
        <v>20207024409</v>
      </c>
      <c r="C1293" s="4">
        <v>44</v>
      </c>
      <c r="D1293" s="4">
        <v>9</v>
      </c>
      <c r="E1293" s="4" t="s">
        <v>46</v>
      </c>
      <c r="F1293" s="4" t="str">
        <f>"武一萌"</f>
        <v>武一萌</v>
      </c>
      <c r="G1293" s="4" t="str">
        <f t="shared" si="53"/>
        <v>女</v>
      </c>
      <c r="H1293" s="4" t="str">
        <f>"1997-12-25"</f>
        <v>1997-12-25</v>
      </c>
      <c r="I1293" s="4">
        <v>69.3</v>
      </c>
      <c r="J1293" s="5"/>
    </row>
    <row r="1294" spans="1:10">
      <c r="A1294" s="4">
        <v>1290</v>
      </c>
      <c r="B1294" s="4" t="str">
        <f>"20207024410"</f>
        <v>20207024410</v>
      </c>
      <c r="C1294" s="4">
        <v>44</v>
      </c>
      <c r="D1294" s="4">
        <v>10</v>
      </c>
      <c r="E1294" s="4" t="s">
        <v>46</v>
      </c>
      <c r="F1294" s="4" t="str">
        <f>"杨圣楠"</f>
        <v>杨圣楠</v>
      </c>
      <c r="G1294" s="4" t="str">
        <f t="shared" si="53"/>
        <v>女</v>
      </c>
      <c r="H1294" s="4" t="str">
        <f>"1999-12-16"</f>
        <v>1999-12-16</v>
      </c>
      <c r="I1294" s="4">
        <v>65.8</v>
      </c>
      <c r="J1294" s="5"/>
    </row>
    <row r="1295" spans="1:10">
      <c r="A1295" s="4">
        <v>1291</v>
      </c>
      <c r="B1295" s="4" t="str">
        <f>"20207024411"</f>
        <v>20207024411</v>
      </c>
      <c r="C1295" s="4">
        <v>44</v>
      </c>
      <c r="D1295" s="4">
        <v>11</v>
      </c>
      <c r="E1295" s="4" t="s">
        <v>46</v>
      </c>
      <c r="F1295" s="4" t="str">
        <f>"张锐"</f>
        <v>张锐</v>
      </c>
      <c r="G1295" s="4" t="str">
        <f t="shared" si="53"/>
        <v>女</v>
      </c>
      <c r="H1295" s="4" t="str">
        <f>"1998-08-17"</f>
        <v>1998-08-17</v>
      </c>
      <c r="I1295" s="4">
        <v>84.9</v>
      </c>
      <c r="J1295" s="5"/>
    </row>
    <row r="1296" spans="1:10">
      <c r="A1296" s="4">
        <v>1292</v>
      </c>
      <c r="B1296" s="4" t="str">
        <f>"20207024412"</f>
        <v>20207024412</v>
      </c>
      <c r="C1296" s="4">
        <v>44</v>
      </c>
      <c r="D1296" s="4">
        <v>12</v>
      </c>
      <c r="E1296" s="4" t="s">
        <v>46</v>
      </c>
      <c r="F1296" s="4" t="str">
        <f>"张俊阳"</f>
        <v>张俊阳</v>
      </c>
      <c r="G1296" s="4" t="str">
        <f t="shared" si="53"/>
        <v>女</v>
      </c>
      <c r="H1296" s="4" t="str">
        <f>"1995-06-15"</f>
        <v>1995-06-15</v>
      </c>
      <c r="I1296" s="4">
        <v>80.9</v>
      </c>
      <c r="J1296" s="5"/>
    </row>
    <row r="1297" spans="1:10">
      <c r="A1297" s="4">
        <v>1293</v>
      </c>
      <c r="B1297" s="4" t="str">
        <f>"20207024413"</f>
        <v>20207024413</v>
      </c>
      <c r="C1297" s="4">
        <v>44</v>
      </c>
      <c r="D1297" s="4">
        <v>13</v>
      </c>
      <c r="E1297" s="4" t="s">
        <v>46</v>
      </c>
      <c r="F1297" s="4" t="str">
        <f>"关永曌"</f>
        <v>关永曌</v>
      </c>
      <c r="G1297" s="4" t="str">
        <f t="shared" si="53"/>
        <v>女</v>
      </c>
      <c r="H1297" s="4" t="str">
        <f>"1996-11-23"</f>
        <v>1996-11-23</v>
      </c>
      <c r="I1297" s="4">
        <v>65.2</v>
      </c>
      <c r="J1297" s="5"/>
    </row>
    <row r="1298" spans="1:10">
      <c r="A1298" s="4">
        <v>1294</v>
      </c>
      <c r="B1298" s="4" t="str">
        <f>"20207024414"</f>
        <v>20207024414</v>
      </c>
      <c r="C1298" s="4">
        <v>44</v>
      </c>
      <c r="D1298" s="4">
        <v>14</v>
      </c>
      <c r="E1298" s="4" t="s">
        <v>46</v>
      </c>
      <c r="F1298" s="4" t="str">
        <f>"刘倩倩"</f>
        <v>刘倩倩</v>
      </c>
      <c r="G1298" s="4" t="str">
        <f t="shared" si="53"/>
        <v>女</v>
      </c>
      <c r="H1298" s="4" t="str">
        <f>"1993-12-20"</f>
        <v>1993-12-20</v>
      </c>
      <c r="I1298" s="4">
        <v>71.9</v>
      </c>
      <c r="J1298" s="5"/>
    </row>
    <row r="1299" spans="1:10">
      <c r="A1299" s="4">
        <v>1295</v>
      </c>
      <c r="B1299" s="4" t="str">
        <f>"20207024415"</f>
        <v>20207024415</v>
      </c>
      <c r="C1299" s="4">
        <v>44</v>
      </c>
      <c r="D1299" s="4">
        <v>15</v>
      </c>
      <c r="E1299" s="4" t="s">
        <v>46</v>
      </c>
      <c r="F1299" s="4" t="str">
        <f>"常源源"</f>
        <v>常源源</v>
      </c>
      <c r="G1299" s="4" t="str">
        <f t="shared" si="53"/>
        <v>女</v>
      </c>
      <c r="H1299" s="4" t="str">
        <f>"1990-02-16"</f>
        <v>1990-02-16</v>
      </c>
      <c r="I1299" s="4">
        <v>71.1</v>
      </c>
      <c r="J1299" s="5"/>
    </row>
    <row r="1300" spans="1:10">
      <c r="A1300" s="4">
        <v>1296</v>
      </c>
      <c r="B1300" s="4" t="str">
        <f>"20207024416"</f>
        <v>20207024416</v>
      </c>
      <c r="C1300" s="4">
        <v>44</v>
      </c>
      <c r="D1300" s="4">
        <v>16</v>
      </c>
      <c r="E1300" s="4" t="s">
        <v>46</v>
      </c>
      <c r="F1300" s="4" t="str">
        <f>"朱青军"</f>
        <v>朱青军</v>
      </c>
      <c r="G1300" s="4" t="str">
        <f t="shared" si="53"/>
        <v>女</v>
      </c>
      <c r="H1300" s="4" t="str">
        <f>"1996-01-06"</f>
        <v>1996-01-06</v>
      </c>
      <c r="I1300" s="4">
        <v>82.6</v>
      </c>
      <c r="J1300" s="5"/>
    </row>
    <row r="1301" spans="1:10">
      <c r="A1301" s="4">
        <v>1297</v>
      </c>
      <c r="B1301" s="4" t="str">
        <f>"20207024417"</f>
        <v>20207024417</v>
      </c>
      <c r="C1301" s="4">
        <v>44</v>
      </c>
      <c r="D1301" s="4">
        <v>17</v>
      </c>
      <c r="E1301" s="4" t="s">
        <v>46</v>
      </c>
      <c r="F1301" s="4" t="str">
        <f>"徐见英"</f>
        <v>徐见英</v>
      </c>
      <c r="G1301" s="4" t="str">
        <f t="shared" si="53"/>
        <v>女</v>
      </c>
      <c r="H1301" s="4" t="str">
        <f>"1998-10-12"</f>
        <v>1998-10-12</v>
      </c>
      <c r="I1301" s="4">
        <v>73.9</v>
      </c>
      <c r="J1301" s="5"/>
    </row>
    <row r="1302" spans="1:10">
      <c r="A1302" s="4">
        <v>1298</v>
      </c>
      <c r="B1302" s="4" t="str">
        <f>"20207024418"</f>
        <v>20207024418</v>
      </c>
      <c r="C1302" s="4">
        <v>44</v>
      </c>
      <c r="D1302" s="4">
        <v>18</v>
      </c>
      <c r="E1302" s="4" t="s">
        <v>46</v>
      </c>
      <c r="F1302" s="4" t="str">
        <f>"郭黄平"</f>
        <v>郭黄平</v>
      </c>
      <c r="G1302" s="4" t="str">
        <f t="shared" si="53"/>
        <v>女</v>
      </c>
      <c r="H1302" s="4" t="str">
        <f>"1996-07-18"</f>
        <v>1996-07-18</v>
      </c>
      <c r="I1302" s="4">
        <v>74.5</v>
      </c>
      <c r="J1302" s="5"/>
    </row>
    <row r="1303" spans="1:10">
      <c r="A1303" s="4">
        <v>1299</v>
      </c>
      <c r="B1303" s="4" t="str">
        <f>"20207024419"</f>
        <v>20207024419</v>
      </c>
      <c r="C1303" s="4">
        <v>44</v>
      </c>
      <c r="D1303" s="4">
        <v>19</v>
      </c>
      <c r="E1303" s="4" t="s">
        <v>46</v>
      </c>
      <c r="F1303" s="4" t="str">
        <f>"汤荣乐"</f>
        <v>汤荣乐</v>
      </c>
      <c r="G1303" s="4" t="str">
        <f t="shared" si="53"/>
        <v>女</v>
      </c>
      <c r="H1303" s="4" t="str">
        <f>"1996-07-18"</f>
        <v>1996-07-18</v>
      </c>
      <c r="I1303" s="4" t="s">
        <v>12</v>
      </c>
      <c r="J1303" s="5"/>
    </row>
    <row r="1304" spans="1:10">
      <c r="A1304" s="4">
        <v>1300</v>
      </c>
      <c r="B1304" s="4" t="str">
        <f>"20207024420"</f>
        <v>20207024420</v>
      </c>
      <c r="C1304" s="4">
        <v>44</v>
      </c>
      <c r="D1304" s="4">
        <v>20</v>
      </c>
      <c r="E1304" s="4" t="s">
        <v>46</v>
      </c>
      <c r="F1304" s="4" t="str">
        <f>"杨洁"</f>
        <v>杨洁</v>
      </c>
      <c r="G1304" s="4" t="str">
        <f t="shared" si="53"/>
        <v>女</v>
      </c>
      <c r="H1304" s="4" t="str">
        <f>"1993-09-06"</f>
        <v>1993-09-06</v>
      </c>
      <c r="I1304" s="4">
        <v>65.8</v>
      </c>
      <c r="J1304" s="5"/>
    </row>
    <row r="1305" spans="1:10">
      <c r="A1305" s="4">
        <v>1301</v>
      </c>
      <c r="B1305" s="4" t="str">
        <f>"20207024421"</f>
        <v>20207024421</v>
      </c>
      <c r="C1305" s="4">
        <v>44</v>
      </c>
      <c r="D1305" s="4">
        <v>21</v>
      </c>
      <c r="E1305" s="4" t="s">
        <v>46</v>
      </c>
      <c r="F1305" s="4" t="str">
        <f>"李莹"</f>
        <v>李莹</v>
      </c>
      <c r="G1305" s="4" t="str">
        <f t="shared" si="53"/>
        <v>女</v>
      </c>
      <c r="H1305" s="4" t="str">
        <f>"1997-07-24"</f>
        <v>1997-07-24</v>
      </c>
      <c r="I1305" s="4">
        <v>84.9</v>
      </c>
      <c r="J1305" s="5"/>
    </row>
    <row r="1306" spans="1:10">
      <c r="A1306" s="4">
        <v>1302</v>
      </c>
      <c r="B1306" s="4" t="str">
        <f>"20207024422"</f>
        <v>20207024422</v>
      </c>
      <c r="C1306" s="4">
        <v>44</v>
      </c>
      <c r="D1306" s="4">
        <v>22</v>
      </c>
      <c r="E1306" s="4" t="s">
        <v>46</v>
      </c>
      <c r="F1306" s="4" t="str">
        <f>"王金迪"</f>
        <v>王金迪</v>
      </c>
      <c r="G1306" s="4" t="str">
        <f t="shared" si="53"/>
        <v>女</v>
      </c>
      <c r="H1306" s="4" t="str">
        <f>"1997-03-26"</f>
        <v>1997-03-26</v>
      </c>
      <c r="I1306" s="4">
        <v>76.2</v>
      </c>
      <c r="J1306" s="5"/>
    </row>
    <row r="1307" spans="1:10">
      <c r="A1307" s="4">
        <v>1303</v>
      </c>
      <c r="B1307" s="4" t="str">
        <f>"20207024423"</f>
        <v>20207024423</v>
      </c>
      <c r="C1307" s="4">
        <v>44</v>
      </c>
      <c r="D1307" s="4">
        <v>23</v>
      </c>
      <c r="E1307" s="4" t="s">
        <v>46</v>
      </c>
      <c r="F1307" s="4" t="str">
        <f>"王产"</f>
        <v>王产</v>
      </c>
      <c r="G1307" s="4" t="str">
        <f t="shared" si="53"/>
        <v>女</v>
      </c>
      <c r="H1307" s="4" t="str">
        <f>"1991-11-18"</f>
        <v>1991-11-18</v>
      </c>
      <c r="I1307" s="4">
        <v>76.4</v>
      </c>
      <c r="J1307" s="5"/>
    </row>
    <row r="1308" spans="1:10">
      <c r="A1308" s="4">
        <v>1304</v>
      </c>
      <c r="B1308" s="4" t="str">
        <f>"20207024424"</f>
        <v>20207024424</v>
      </c>
      <c r="C1308" s="4">
        <v>44</v>
      </c>
      <c r="D1308" s="4">
        <v>24</v>
      </c>
      <c r="E1308" s="4" t="s">
        <v>46</v>
      </c>
      <c r="F1308" s="4" t="str">
        <f>"白迎娣"</f>
        <v>白迎娣</v>
      </c>
      <c r="G1308" s="4" t="str">
        <f t="shared" si="53"/>
        <v>女</v>
      </c>
      <c r="H1308" s="4" t="str">
        <f>"1997-11-01"</f>
        <v>1997-11-01</v>
      </c>
      <c r="I1308" s="4">
        <v>66.9</v>
      </c>
      <c r="J1308" s="5"/>
    </row>
    <row r="1309" spans="1:10">
      <c r="A1309" s="4">
        <v>1305</v>
      </c>
      <c r="B1309" s="4" t="str">
        <f>"20207024425"</f>
        <v>20207024425</v>
      </c>
      <c r="C1309" s="4">
        <v>44</v>
      </c>
      <c r="D1309" s="4">
        <v>25</v>
      </c>
      <c r="E1309" s="4" t="s">
        <v>46</v>
      </c>
      <c r="F1309" s="4" t="str">
        <f>"李峰"</f>
        <v>李峰</v>
      </c>
      <c r="G1309" s="4" t="str">
        <f t="shared" si="53"/>
        <v>女</v>
      </c>
      <c r="H1309" s="4" t="str">
        <f>"1997-11-26"</f>
        <v>1997-11-26</v>
      </c>
      <c r="I1309" s="4">
        <v>76.9</v>
      </c>
      <c r="J1309" s="5"/>
    </row>
    <row r="1310" spans="1:10">
      <c r="A1310" s="4">
        <v>1306</v>
      </c>
      <c r="B1310" s="4" t="str">
        <f>"20207024426"</f>
        <v>20207024426</v>
      </c>
      <c r="C1310" s="4">
        <v>44</v>
      </c>
      <c r="D1310" s="4">
        <v>26</v>
      </c>
      <c r="E1310" s="4" t="s">
        <v>46</v>
      </c>
      <c r="F1310" s="4" t="str">
        <f>"杨丹"</f>
        <v>杨丹</v>
      </c>
      <c r="G1310" s="4" t="str">
        <f t="shared" si="53"/>
        <v>女</v>
      </c>
      <c r="H1310" s="4" t="str">
        <f>"1995-08-23"</f>
        <v>1995-08-23</v>
      </c>
      <c r="I1310" s="4">
        <v>64.8</v>
      </c>
      <c r="J1310" s="5"/>
    </row>
    <row r="1311" spans="1:10">
      <c r="A1311" s="4">
        <v>1307</v>
      </c>
      <c r="B1311" s="4" t="str">
        <f>"20207024427"</f>
        <v>20207024427</v>
      </c>
      <c r="C1311" s="4">
        <v>44</v>
      </c>
      <c r="D1311" s="4">
        <v>27</v>
      </c>
      <c r="E1311" s="4" t="s">
        <v>46</v>
      </c>
      <c r="F1311" s="4" t="str">
        <f>"刘秋艳"</f>
        <v>刘秋艳</v>
      </c>
      <c r="G1311" s="4" t="str">
        <f t="shared" si="53"/>
        <v>女</v>
      </c>
      <c r="H1311" s="4" t="str">
        <f>"1999-06-18"</f>
        <v>1999-06-18</v>
      </c>
      <c r="I1311" s="4">
        <v>68.5</v>
      </c>
      <c r="J1311" s="5"/>
    </row>
    <row r="1312" spans="1:10">
      <c r="A1312" s="4">
        <v>1308</v>
      </c>
      <c r="B1312" s="4" t="str">
        <f>"20207024428"</f>
        <v>20207024428</v>
      </c>
      <c r="C1312" s="4">
        <v>44</v>
      </c>
      <c r="D1312" s="4">
        <v>28</v>
      </c>
      <c r="E1312" s="4" t="s">
        <v>46</v>
      </c>
      <c r="F1312" s="4" t="str">
        <f>"党凯露"</f>
        <v>党凯露</v>
      </c>
      <c r="G1312" s="4" t="str">
        <f t="shared" si="53"/>
        <v>女</v>
      </c>
      <c r="H1312" s="4" t="str">
        <f>"1997-07-15"</f>
        <v>1997-07-15</v>
      </c>
      <c r="I1312" s="4">
        <v>67.9</v>
      </c>
      <c r="J1312" s="5"/>
    </row>
    <row r="1313" spans="1:10">
      <c r="A1313" s="4">
        <v>1309</v>
      </c>
      <c r="B1313" s="4" t="str">
        <f>"20207024429"</f>
        <v>20207024429</v>
      </c>
      <c r="C1313" s="4">
        <v>44</v>
      </c>
      <c r="D1313" s="4">
        <v>29</v>
      </c>
      <c r="E1313" s="4" t="s">
        <v>46</v>
      </c>
      <c r="F1313" s="4" t="str">
        <f>"孙胜楠"</f>
        <v>孙胜楠</v>
      </c>
      <c r="G1313" s="4" t="str">
        <f t="shared" si="53"/>
        <v>女</v>
      </c>
      <c r="H1313" s="4" t="str">
        <f>"1997-06-10"</f>
        <v>1997-06-10</v>
      </c>
      <c r="I1313" s="4">
        <v>68.5</v>
      </c>
      <c r="J1313" s="5"/>
    </row>
    <row r="1314" spans="1:10">
      <c r="A1314" s="4">
        <v>1310</v>
      </c>
      <c r="B1314" s="4" t="str">
        <f>"20207024430"</f>
        <v>20207024430</v>
      </c>
      <c r="C1314" s="4">
        <v>44</v>
      </c>
      <c r="D1314" s="4">
        <v>30</v>
      </c>
      <c r="E1314" s="4" t="s">
        <v>46</v>
      </c>
      <c r="F1314" s="4" t="str">
        <f>"彭可"</f>
        <v>彭可</v>
      </c>
      <c r="G1314" s="4" t="str">
        <f t="shared" si="53"/>
        <v>女</v>
      </c>
      <c r="H1314" s="4" t="str">
        <f>"1991-02-10"</f>
        <v>1991-02-10</v>
      </c>
      <c r="I1314" s="4">
        <v>68.8</v>
      </c>
      <c r="J1314" s="5"/>
    </row>
    <row r="1315" spans="1:10">
      <c r="A1315" s="4">
        <v>1311</v>
      </c>
      <c r="B1315" s="4" t="str">
        <f>"20207024501"</f>
        <v>20207024501</v>
      </c>
      <c r="C1315" s="4">
        <v>45</v>
      </c>
      <c r="D1315" s="4">
        <v>1</v>
      </c>
      <c r="E1315" s="4" t="s">
        <v>46</v>
      </c>
      <c r="F1315" s="4" t="str">
        <f>"付佳璇"</f>
        <v>付佳璇</v>
      </c>
      <c r="G1315" s="4" t="str">
        <f t="shared" si="53"/>
        <v>女</v>
      </c>
      <c r="H1315" s="4" t="str">
        <f>"1997-12-23"</f>
        <v>1997-12-23</v>
      </c>
      <c r="I1315" s="4">
        <v>75.9</v>
      </c>
      <c r="J1315" s="5"/>
    </row>
    <row r="1316" spans="1:10">
      <c r="A1316" s="4">
        <v>1312</v>
      </c>
      <c r="B1316" s="4" t="str">
        <f>"20207024502"</f>
        <v>20207024502</v>
      </c>
      <c r="C1316" s="4">
        <v>45</v>
      </c>
      <c r="D1316" s="4">
        <v>2</v>
      </c>
      <c r="E1316" s="4" t="s">
        <v>46</v>
      </c>
      <c r="F1316" s="4" t="str">
        <f>"鲁慧"</f>
        <v>鲁慧</v>
      </c>
      <c r="G1316" s="4" t="str">
        <f t="shared" si="53"/>
        <v>女</v>
      </c>
      <c r="H1316" s="4" t="str">
        <f>"1999-11-14"</f>
        <v>1999-11-14</v>
      </c>
      <c r="I1316" s="4">
        <v>62.1</v>
      </c>
      <c r="J1316" s="5"/>
    </row>
    <row r="1317" spans="1:10">
      <c r="A1317" s="4">
        <v>1313</v>
      </c>
      <c r="B1317" s="4" t="str">
        <f>"20207024503"</f>
        <v>20207024503</v>
      </c>
      <c r="C1317" s="4">
        <v>45</v>
      </c>
      <c r="D1317" s="4">
        <v>3</v>
      </c>
      <c r="E1317" s="4" t="s">
        <v>46</v>
      </c>
      <c r="F1317" s="4" t="str">
        <f>"王静"</f>
        <v>王静</v>
      </c>
      <c r="G1317" s="4" t="str">
        <f t="shared" si="53"/>
        <v>女</v>
      </c>
      <c r="H1317" s="4" t="str">
        <f>"1997-10-28"</f>
        <v>1997-10-28</v>
      </c>
      <c r="I1317" s="4">
        <v>48.7</v>
      </c>
      <c r="J1317" s="5"/>
    </row>
    <row r="1318" spans="1:10">
      <c r="A1318" s="4">
        <v>1314</v>
      </c>
      <c r="B1318" s="4" t="str">
        <f>"20207024504"</f>
        <v>20207024504</v>
      </c>
      <c r="C1318" s="4">
        <v>45</v>
      </c>
      <c r="D1318" s="4">
        <v>4</v>
      </c>
      <c r="E1318" s="4" t="s">
        <v>46</v>
      </c>
      <c r="F1318" s="4" t="str">
        <f>"牛欣欣"</f>
        <v>牛欣欣</v>
      </c>
      <c r="G1318" s="4" t="str">
        <f t="shared" si="53"/>
        <v>女</v>
      </c>
      <c r="H1318" s="4" t="str">
        <f>"1994-04-09"</f>
        <v>1994-04-09</v>
      </c>
      <c r="I1318" s="4" t="s">
        <v>12</v>
      </c>
      <c r="J1318" s="5"/>
    </row>
    <row r="1319" spans="1:10">
      <c r="A1319" s="4">
        <v>1315</v>
      </c>
      <c r="B1319" s="4" t="str">
        <f>"20207024505"</f>
        <v>20207024505</v>
      </c>
      <c r="C1319" s="4">
        <v>45</v>
      </c>
      <c r="D1319" s="4">
        <v>5</v>
      </c>
      <c r="E1319" s="4" t="s">
        <v>46</v>
      </c>
      <c r="F1319" s="4" t="str">
        <f>"张少平"</f>
        <v>张少平</v>
      </c>
      <c r="G1319" s="4" t="str">
        <f t="shared" ref="G1319:G1329" si="54">"女"</f>
        <v>女</v>
      </c>
      <c r="H1319" s="4" t="str">
        <f>"1995-11-17"</f>
        <v>1995-11-17</v>
      </c>
      <c r="I1319" s="4">
        <v>62.5</v>
      </c>
      <c r="J1319" s="5"/>
    </row>
    <row r="1320" spans="1:10">
      <c r="A1320" s="4">
        <v>1316</v>
      </c>
      <c r="B1320" s="4" t="str">
        <f>"20207024506"</f>
        <v>20207024506</v>
      </c>
      <c r="C1320" s="4">
        <v>45</v>
      </c>
      <c r="D1320" s="4">
        <v>6</v>
      </c>
      <c r="E1320" s="4" t="s">
        <v>46</v>
      </c>
      <c r="F1320" s="4" t="str">
        <f>"罗珊珊"</f>
        <v>罗珊珊</v>
      </c>
      <c r="G1320" s="4" t="str">
        <f t="shared" si="54"/>
        <v>女</v>
      </c>
      <c r="H1320" s="4" t="str">
        <f>"1999-12-14"</f>
        <v>1999-12-14</v>
      </c>
      <c r="I1320" s="4">
        <v>62.1</v>
      </c>
      <c r="J1320" s="5"/>
    </row>
    <row r="1321" spans="1:10">
      <c r="A1321" s="4">
        <v>1317</v>
      </c>
      <c r="B1321" s="4" t="str">
        <f>"20207024507"</f>
        <v>20207024507</v>
      </c>
      <c r="C1321" s="4">
        <v>45</v>
      </c>
      <c r="D1321" s="4">
        <v>7</v>
      </c>
      <c r="E1321" s="4" t="s">
        <v>46</v>
      </c>
      <c r="F1321" s="4" t="str">
        <f>"郑欢"</f>
        <v>郑欢</v>
      </c>
      <c r="G1321" s="4" t="str">
        <f t="shared" si="54"/>
        <v>女</v>
      </c>
      <c r="H1321" s="4" t="str">
        <f>"1996-03-23"</f>
        <v>1996-03-23</v>
      </c>
      <c r="I1321" s="4">
        <v>72.2</v>
      </c>
      <c r="J1321" s="5"/>
    </row>
    <row r="1322" spans="1:10">
      <c r="A1322" s="4">
        <v>1318</v>
      </c>
      <c r="B1322" s="4" t="str">
        <f>"20207024508"</f>
        <v>20207024508</v>
      </c>
      <c r="C1322" s="4">
        <v>45</v>
      </c>
      <c r="D1322" s="4">
        <v>8</v>
      </c>
      <c r="E1322" s="4" t="s">
        <v>46</v>
      </c>
      <c r="F1322" s="4" t="str">
        <f>"姬晨静"</f>
        <v>姬晨静</v>
      </c>
      <c r="G1322" s="4" t="str">
        <f t="shared" si="54"/>
        <v>女</v>
      </c>
      <c r="H1322" s="4" t="str">
        <f>"1996-08-17"</f>
        <v>1996-08-17</v>
      </c>
      <c r="I1322" s="4">
        <v>65.5</v>
      </c>
      <c r="J1322" s="5"/>
    </row>
    <row r="1323" spans="1:10">
      <c r="A1323" s="4">
        <v>1319</v>
      </c>
      <c r="B1323" s="4" t="str">
        <f>"20207024509"</f>
        <v>20207024509</v>
      </c>
      <c r="C1323" s="4">
        <v>45</v>
      </c>
      <c r="D1323" s="4">
        <v>9</v>
      </c>
      <c r="E1323" s="4" t="s">
        <v>46</v>
      </c>
      <c r="F1323" s="4" t="str">
        <f>"张鹏"</f>
        <v>张鹏</v>
      </c>
      <c r="G1323" s="4" t="str">
        <f t="shared" si="54"/>
        <v>女</v>
      </c>
      <c r="H1323" s="4" t="str">
        <f>"1990-06-02"</f>
        <v>1990-06-02</v>
      </c>
      <c r="I1323" s="4">
        <v>80.9</v>
      </c>
      <c r="J1323" s="5"/>
    </row>
    <row r="1324" spans="1:10">
      <c r="A1324" s="4">
        <v>1320</v>
      </c>
      <c r="B1324" s="4" t="str">
        <f>"20207024510"</f>
        <v>20207024510</v>
      </c>
      <c r="C1324" s="4">
        <v>45</v>
      </c>
      <c r="D1324" s="4">
        <v>10</v>
      </c>
      <c r="E1324" s="4" t="s">
        <v>46</v>
      </c>
      <c r="F1324" s="4" t="str">
        <f>"付孟珠"</f>
        <v>付孟珠</v>
      </c>
      <c r="G1324" s="4" t="str">
        <f t="shared" si="54"/>
        <v>女</v>
      </c>
      <c r="H1324" s="4" t="str">
        <f>"1990-07-09"</f>
        <v>1990-07-09</v>
      </c>
      <c r="I1324" s="4">
        <v>75.4</v>
      </c>
      <c r="J1324" s="5"/>
    </row>
    <row r="1325" spans="1:10">
      <c r="A1325" s="4">
        <v>1321</v>
      </c>
      <c r="B1325" s="4" t="str">
        <f>"20207024511"</f>
        <v>20207024511</v>
      </c>
      <c r="C1325" s="4">
        <v>45</v>
      </c>
      <c r="D1325" s="4">
        <v>11</v>
      </c>
      <c r="E1325" s="4" t="s">
        <v>46</v>
      </c>
      <c r="F1325" s="4" t="str">
        <f>"邱楠楠"</f>
        <v>邱楠楠</v>
      </c>
      <c r="G1325" s="4" t="str">
        <f t="shared" si="54"/>
        <v>女</v>
      </c>
      <c r="H1325" s="4" t="str">
        <f>"1994-01-08"</f>
        <v>1994-01-08</v>
      </c>
      <c r="I1325" s="4">
        <v>63.8</v>
      </c>
      <c r="J1325" s="5"/>
    </row>
    <row r="1326" spans="1:10">
      <c r="A1326" s="4">
        <v>1322</v>
      </c>
      <c r="B1326" s="4" t="str">
        <f>"20207024512"</f>
        <v>20207024512</v>
      </c>
      <c r="C1326" s="4">
        <v>45</v>
      </c>
      <c r="D1326" s="4">
        <v>12</v>
      </c>
      <c r="E1326" s="4" t="s">
        <v>46</v>
      </c>
      <c r="F1326" s="4" t="str">
        <f>"王宣"</f>
        <v>王宣</v>
      </c>
      <c r="G1326" s="4" t="str">
        <f t="shared" si="54"/>
        <v>女</v>
      </c>
      <c r="H1326" s="4" t="str">
        <f>"1990-09-13"</f>
        <v>1990-09-13</v>
      </c>
      <c r="I1326" s="4">
        <v>71.9</v>
      </c>
      <c r="J1326" s="5"/>
    </row>
    <row r="1327" spans="1:10">
      <c r="A1327" s="4">
        <v>1323</v>
      </c>
      <c r="B1327" s="4" t="str">
        <f>"20207024513"</f>
        <v>20207024513</v>
      </c>
      <c r="C1327" s="4">
        <v>45</v>
      </c>
      <c r="D1327" s="4">
        <v>13</v>
      </c>
      <c r="E1327" s="4" t="s">
        <v>46</v>
      </c>
      <c r="F1327" s="4" t="str">
        <f>"朱景卓"</f>
        <v>朱景卓</v>
      </c>
      <c r="G1327" s="4" t="str">
        <f t="shared" si="54"/>
        <v>女</v>
      </c>
      <c r="H1327" s="4" t="str">
        <f>"1995-09-11"</f>
        <v>1995-09-11</v>
      </c>
      <c r="I1327" s="4">
        <v>66.5</v>
      </c>
      <c r="J1327" s="5"/>
    </row>
    <row r="1328" spans="1:10">
      <c r="A1328" s="4">
        <v>1324</v>
      </c>
      <c r="B1328" s="4" t="str">
        <f>"20207024514"</f>
        <v>20207024514</v>
      </c>
      <c r="C1328" s="4">
        <v>45</v>
      </c>
      <c r="D1328" s="4">
        <v>14</v>
      </c>
      <c r="E1328" s="4" t="s">
        <v>46</v>
      </c>
      <c r="F1328" s="4" t="str">
        <f>"何洋"</f>
        <v>何洋</v>
      </c>
      <c r="G1328" s="4" t="str">
        <f t="shared" si="54"/>
        <v>女</v>
      </c>
      <c r="H1328" s="4" t="str">
        <f>"1999-01-22"</f>
        <v>1999-01-22</v>
      </c>
      <c r="I1328" s="4">
        <v>69</v>
      </c>
      <c r="J1328" s="5"/>
    </row>
    <row r="1329" spans="1:10">
      <c r="A1329" s="4">
        <v>1325</v>
      </c>
      <c r="B1329" s="4" t="str">
        <f>"20207024515"</f>
        <v>20207024515</v>
      </c>
      <c r="C1329" s="4">
        <v>45</v>
      </c>
      <c r="D1329" s="4">
        <v>15</v>
      </c>
      <c r="E1329" s="4" t="s">
        <v>46</v>
      </c>
      <c r="F1329" s="4" t="str">
        <f>"袁紫然"</f>
        <v>袁紫然</v>
      </c>
      <c r="G1329" s="4" t="str">
        <f t="shared" si="54"/>
        <v>女</v>
      </c>
      <c r="H1329" s="4" t="str">
        <f>"1994-08-28"</f>
        <v>1994-08-28</v>
      </c>
      <c r="I1329" s="4">
        <v>79.6</v>
      </c>
      <c r="J1329" s="5"/>
    </row>
    <row r="1330" spans="1:10">
      <c r="A1330" s="4">
        <v>1326</v>
      </c>
      <c r="B1330" s="4" t="str">
        <f>"20207024516"</f>
        <v>20207024516</v>
      </c>
      <c r="C1330" s="4">
        <v>45</v>
      </c>
      <c r="D1330" s="4">
        <v>16</v>
      </c>
      <c r="E1330" s="4" t="s">
        <v>46</v>
      </c>
      <c r="F1330" s="4" t="str">
        <f>"朱汶阳"</f>
        <v>朱汶阳</v>
      </c>
      <c r="G1330" s="4" t="str">
        <f>"男"</f>
        <v>男</v>
      </c>
      <c r="H1330" s="4" t="str">
        <f>"1998-05-29"</f>
        <v>1998-05-29</v>
      </c>
      <c r="I1330" s="4">
        <v>61.4</v>
      </c>
      <c r="J1330" s="5"/>
    </row>
    <row r="1331" spans="1:10">
      <c r="A1331" s="4">
        <v>1327</v>
      </c>
      <c r="B1331" s="4" t="str">
        <f>"20207024517"</f>
        <v>20207024517</v>
      </c>
      <c r="C1331" s="4">
        <v>45</v>
      </c>
      <c r="D1331" s="4">
        <v>17</v>
      </c>
      <c r="E1331" s="4" t="s">
        <v>46</v>
      </c>
      <c r="F1331" s="4" t="str">
        <f>"马孟军"</f>
        <v>马孟军</v>
      </c>
      <c r="G1331" s="4" t="str">
        <f t="shared" ref="G1331:G1361" si="55">"女"</f>
        <v>女</v>
      </c>
      <c r="H1331" s="4" t="str">
        <f>"1995-10-18"</f>
        <v>1995-10-18</v>
      </c>
      <c r="I1331" s="4">
        <v>84.6</v>
      </c>
      <c r="J1331" s="5"/>
    </row>
    <row r="1332" spans="1:10">
      <c r="A1332" s="4">
        <v>1328</v>
      </c>
      <c r="B1332" s="4" t="str">
        <f>"20207024518"</f>
        <v>20207024518</v>
      </c>
      <c r="C1332" s="4">
        <v>45</v>
      </c>
      <c r="D1332" s="4">
        <v>18</v>
      </c>
      <c r="E1332" s="4" t="s">
        <v>46</v>
      </c>
      <c r="F1332" s="4" t="str">
        <f>"王建荣"</f>
        <v>王建荣</v>
      </c>
      <c r="G1332" s="4" t="str">
        <f t="shared" si="55"/>
        <v>女</v>
      </c>
      <c r="H1332" s="4" t="str">
        <f>"1993-09-21"</f>
        <v>1993-09-21</v>
      </c>
      <c r="I1332" s="4">
        <v>71.2</v>
      </c>
      <c r="J1332" s="5"/>
    </row>
    <row r="1333" spans="1:10">
      <c r="A1333" s="4">
        <v>1329</v>
      </c>
      <c r="B1333" s="4" t="str">
        <f>"20207024519"</f>
        <v>20207024519</v>
      </c>
      <c r="C1333" s="4">
        <v>45</v>
      </c>
      <c r="D1333" s="4">
        <v>19</v>
      </c>
      <c r="E1333" s="4" t="s">
        <v>46</v>
      </c>
      <c r="F1333" s="4" t="str">
        <f>"杜梦婷"</f>
        <v>杜梦婷</v>
      </c>
      <c r="G1333" s="4" t="str">
        <f t="shared" si="55"/>
        <v>女</v>
      </c>
      <c r="H1333" s="4" t="str">
        <f>"1996-03-05"</f>
        <v>1996-03-05</v>
      </c>
      <c r="I1333" s="4">
        <v>70.4</v>
      </c>
      <c r="J1333" s="5"/>
    </row>
    <row r="1334" spans="1:10">
      <c r="A1334" s="4">
        <v>1330</v>
      </c>
      <c r="B1334" s="4" t="str">
        <f>"20207024520"</f>
        <v>20207024520</v>
      </c>
      <c r="C1334" s="4">
        <v>45</v>
      </c>
      <c r="D1334" s="4">
        <v>20</v>
      </c>
      <c r="E1334" s="4" t="s">
        <v>46</v>
      </c>
      <c r="F1334" s="4" t="str">
        <f>"周洁"</f>
        <v>周洁</v>
      </c>
      <c r="G1334" s="4" t="str">
        <f t="shared" si="55"/>
        <v>女</v>
      </c>
      <c r="H1334" s="4" t="str">
        <f>"1995-06-10"</f>
        <v>1995-06-10</v>
      </c>
      <c r="I1334" s="4" t="s">
        <v>12</v>
      </c>
      <c r="J1334" s="5"/>
    </row>
    <row r="1335" spans="1:10">
      <c r="A1335" s="4">
        <v>1331</v>
      </c>
      <c r="B1335" s="4" t="str">
        <f>"20207024521"</f>
        <v>20207024521</v>
      </c>
      <c r="C1335" s="4">
        <v>45</v>
      </c>
      <c r="D1335" s="4">
        <v>21</v>
      </c>
      <c r="E1335" s="4" t="s">
        <v>46</v>
      </c>
      <c r="F1335" s="4" t="str">
        <f>"姜双"</f>
        <v>姜双</v>
      </c>
      <c r="G1335" s="4" t="str">
        <f t="shared" si="55"/>
        <v>女</v>
      </c>
      <c r="H1335" s="4" t="str">
        <f>"1996-11-12"</f>
        <v>1996-11-12</v>
      </c>
      <c r="I1335" s="4" t="s">
        <v>12</v>
      </c>
      <c r="J1335" s="5"/>
    </row>
    <row r="1336" spans="1:10">
      <c r="A1336" s="4">
        <v>1332</v>
      </c>
      <c r="B1336" s="4" t="str">
        <f>"20207024522"</f>
        <v>20207024522</v>
      </c>
      <c r="C1336" s="4">
        <v>45</v>
      </c>
      <c r="D1336" s="4">
        <v>22</v>
      </c>
      <c r="E1336" s="4" t="s">
        <v>46</v>
      </c>
      <c r="F1336" s="4" t="str">
        <f>"周林"</f>
        <v>周林</v>
      </c>
      <c r="G1336" s="4" t="str">
        <f t="shared" si="55"/>
        <v>女</v>
      </c>
      <c r="H1336" s="4" t="str">
        <f>"1997-08-06"</f>
        <v>1997-08-06</v>
      </c>
      <c r="I1336" s="4">
        <v>77.9</v>
      </c>
      <c r="J1336" s="5"/>
    </row>
    <row r="1337" spans="1:10">
      <c r="A1337" s="4">
        <v>1333</v>
      </c>
      <c r="B1337" s="4" t="str">
        <f>"20207024523"</f>
        <v>20207024523</v>
      </c>
      <c r="C1337" s="4">
        <v>45</v>
      </c>
      <c r="D1337" s="4">
        <v>23</v>
      </c>
      <c r="E1337" s="4" t="s">
        <v>46</v>
      </c>
      <c r="F1337" s="4" t="str">
        <f>"金阳"</f>
        <v>金阳</v>
      </c>
      <c r="G1337" s="4" t="str">
        <f t="shared" si="55"/>
        <v>女</v>
      </c>
      <c r="H1337" s="4" t="str">
        <f>"1994-12-27"</f>
        <v>1994-12-27</v>
      </c>
      <c r="I1337" s="4">
        <v>77.9</v>
      </c>
      <c r="J1337" s="5"/>
    </row>
    <row r="1338" spans="1:10">
      <c r="A1338" s="4">
        <v>1334</v>
      </c>
      <c r="B1338" s="4" t="str">
        <f>"20207024524"</f>
        <v>20207024524</v>
      </c>
      <c r="C1338" s="4">
        <v>45</v>
      </c>
      <c r="D1338" s="4">
        <v>24</v>
      </c>
      <c r="E1338" s="4" t="s">
        <v>46</v>
      </c>
      <c r="F1338" s="4" t="str">
        <f>"李佳颖"</f>
        <v>李佳颖</v>
      </c>
      <c r="G1338" s="4" t="str">
        <f t="shared" si="55"/>
        <v>女</v>
      </c>
      <c r="H1338" s="4" t="str">
        <f>"1999-10-07"</f>
        <v>1999-10-07</v>
      </c>
      <c r="I1338" s="4">
        <v>67.2</v>
      </c>
      <c r="J1338" s="5"/>
    </row>
    <row r="1339" spans="1:10">
      <c r="A1339" s="4">
        <v>1335</v>
      </c>
      <c r="B1339" s="4" t="str">
        <f>"20207024525"</f>
        <v>20207024525</v>
      </c>
      <c r="C1339" s="4">
        <v>45</v>
      </c>
      <c r="D1339" s="4">
        <v>25</v>
      </c>
      <c r="E1339" s="4" t="s">
        <v>46</v>
      </c>
      <c r="F1339" s="4" t="str">
        <f>"王鹤"</f>
        <v>王鹤</v>
      </c>
      <c r="G1339" s="4" t="str">
        <f t="shared" si="55"/>
        <v>女</v>
      </c>
      <c r="H1339" s="4" t="str">
        <f>"1996-02-13"</f>
        <v>1996-02-13</v>
      </c>
      <c r="I1339" s="4">
        <v>60.2</v>
      </c>
      <c r="J1339" s="5"/>
    </row>
    <row r="1340" spans="1:10">
      <c r="A1340" s="4">
        <v>1336</v>
      </c>
      <c r="B1340" s="4" t="str">
        <f>"20207024526"</f>
        <v>20207024526</v>
      </c>
      <c r="C1340" s="4">
        <v>45</v>
      </c>
      <c r="D1340" s="4">
        <v>26</v>
      </c>
      <c r="E1340" s="4" t="s">
        <v>46</v>
      </c>
      <c r="F1340" s="4" t="str">
        <f>"南明月"</f>
        <v>南明月</v>
      </c>
      <c r="G1340" s="4" t="str">
        <f t="shared" si="55"/>
        <v>女</v>
      </c>
      <c r="H1340" s="4" t="str">
        <f>"1996-03-15"</f>
        <v>1996-03-15</v>
      </c>
      <c r="I1340" s="4" t="s">
        <v>12</v>
      </c>
      <c r="J1340" s="5"/>
    </row>
    <row r="1341" spans="1:10">
      <c r="A1341" s="4">
        <v>1337</v>
      </c>
      <c r="B1341" s="4" t="str">
        <f>"20207024527"</f>
        <v>20207024527</v>
      </c>
      <c r="C1341" s="4">
        <v>45</v>
      </c>
      <c r="D1341" s="4">
        <v>27</v>
      </c>
      <c r="E1341" s="4" t="s">
        <v>46</v>
      </c>
      <c r="F1341" s="4" t="str">
        <f>"吕娜"</f>
        <v>吕娜</v>
      </c>
      <c r="G1341" s="4" t="str">
        <f t="shared" si="55"/>
        <v>女</v>
      </c>
      <c r="H1341" s="4" t="str">
        <f>"1996-01-08"</f>
        <v>1996-01-08</v>
      </c>
      <c r="I1341" s="4">
        <v>60.8</v>
      </c>
      <c r="J1341" s="5"/>
    </row>
    <row r="1342" spans="1:10">
      <c r="A1342" s="4">
        <v>1338</v>
      </c>
      <c r="B1342" s="4" t="str">
        <f>"20207024528"</f>
        <v>20207024528</v>
      </c>
      <c r="C1342" s="4">
        <v>45</v>
      </c>
      <c r="D1342" s="4">
        <v>28</v>
      </c>
      <c r="E1342" s="4" t="s">
        <v>46</v>
      </c>
      <c r="F1342" s="4" t="str">
        <f>"贺韩"</f>
        <v>贺韩</v>
      </c>
      <c r="G1342" s="4" t="str">
        <f t="shared" si="55"/>
        <v>女</v>
      </c>
      <c r="H1342" s="4" t="str">
        <f>"1995-10-15"</f>
        <v>1995-10-15</v>
      </c>
      <c r="I1342" s="4">
        <v>66.1</v>
      </c>
      <c r="J1342" s="5"/>
    </row>
    <row r="1343" spans="1:10">
      <c r="A1343" s="4">
        <v>1339</v>
      </c>
      <c r="B1343" s="4" t="str">
        <f>"20207024529"</f>
        <v>20207024529</v>
      </c>
      <c r="C1343" s="4">
        <v>45</v>
      </c>
      <c r="D1343" s="4">
        <v>29</v>
      </c>
      <c r="E1343" s="4" t="s">
        <v>46</v>
      </c>
      <c r="F1343" s="4" t="str">
        <f>"胡金舸"</f>
        <v>胡金舸</v>
      </c>
      <c r="G1343" s="4" t="str">
        <f t="shared" si="55"/>
        <v>女</v>
      </c>
      <c r="H1343" s="4" t="str">
        <f>"2000-11-05"</f>
        <v>2000-11-05</v>
      </c>
      <c r="I1343" s="4">
        <v>65.1</v>
      </c>
      <c r="J1343" s="5"/>
    </row>
    <row r="1344" spans="1:10">
      <c r="A1344" s="4">
        <v>1340</v>
      </c>
      <c r="B1344" s="4" t="str">
        <f>"20207024530"</f>
        <v>20207024530</v>
      </c>
      <c r="C1344" s="4">
        <v>45</v>
      </c>
      <c r="D1344" s="4">
        <v>30</v>
      </c>
      <c r="E1344" s="4" t="s">
        <v>46</v>
      </c>
      <c r="F1344" s="4" t="str">
        <f>"赵启涵"</f>
        <v>赵启涵</v>
      </c>
      <c r="G1344" s="4" t="str">
        <f t="shared" si="55"/>
        <v>女</v>
      </c>
      <c r="H1344" s="4" t="str">
        <f>"1997-08-29"</f>
        <v>1997-08-29</v>
      </c>
      <c r="I1344" s="4">
        <v>70.8</v>
      </c>
      <c r="J1344" s="5"/>
    </row>
    <row r="1345" spans="1:10">
      <c r="A1345" s="4">
        <v>1341</v>
      </c>
      <c r="B1345" s="4" t="str">
        <f>"20207024601"</f>
        <v>20207024601</v>
      </c>
      <c r="C1345" s="4">
        <v>46</v>
      </c>
      <c r="D1345" s="4">
        <v>1</v>
      </c>
      <c r="E1345" s="4" t="s">
        <v>46</v>
      </c>
      <c r="F1345" s="4" t="str">
        <f>"安可果"</f>
        <v>安可果</v>
      </c>
      <c r="G1345" s="4" t="str">
        <f t="shared" si="55"/>
        <v>女</v>
      </c>
      <c r="H1345" s="4" t="str">
        <f>"1992-05-04"</f>
        <v>1992-05-04</v>
      </c>
      <c r="I1345" s="4" t="s">
        <v>12</v>
      </c>
      <c r="J1345" s="5"/>
    </row>
    <row r="1346" spans="1:10">
      <c r="A1346" s="4">
        <v>1342</v>
      </c>
      <c r="B1346" s="4" t="str">
        <f>"20207024602"</f>
        <v>20207024602</v>
      </c>
      <c r="C1346" s="4">
        <v>46</v>
      </c>
      <c r="D1346" s="4">
        <v>2</v>
      </c>
      <c r="E1346" s="4" t="s">
        <v>46</v>
      </c>
      <c r="F1346" s="4" t="str">
        <f>"赵晓露"</f>
        <v>赵晓露</v>
      </c>
      <c r="G1346" s="4" t="str">
        <f t="shared" si="55"/>
        <v>女</v>
      </c>
      <c r="H1346" s="4" t="str">
        <f>"1991-07-06"</f>
        <v>1991-07-06</v>
      </c>
      <c r="I1346" s="4">
        <v>65.8</v>
      </c>
      <c r="J1346" s="5"/>
    </row>
    <row r="1347" spans="1:10">
      <c r="A1347" s="4">
        <v>1343</v>
      </c>
      <c r="B1347" s="4" t="str">
        <f>"20207024603"</f>
        <v>20207024603</v>
      </c>
      <c r="C1347" s="4">
        <v>46</v>
      </c>
      <c r="D1347" s="4">
        <v>3</v>
      </c>
      <c r="E1347" s="4" t="s">
        <v>46</v>
      </c>
      <c r="F1347" s="4" t="str">
        <f>"赵楚君"</f>
        <v>赵楚君</v>
      </c>
      <c r="G1347" s="4" t="str">
        <f t="shared" si="55"/>
        <v>女</v>
      </c>
      <c r="H1347" s="4" t="str">
        <f>"1993-09-14"</f>
        <v>1993-09-14</v>
      </c>
      <c r="I1347" s="4">
        <v>68.2</v>
      </c>
      <c r="J1347" s="5"/>
    </row>
    <row r="1348" spans="1:10">
      <c r="A1348" s="4">
        <v>1344</v>
      </c>
      <c r="B1348" s="4" t="str">
        <f>"20207024604"</f>
        <v>20207024604</v>
      </c>
      <c r="C1348" s="4">
        <v>46</v>
      </c>
      <c r="D1348" s="4">
        <v>4</v>
      </c>
      <c r="E1348" s="4" t="s">
        <v>46</v>
      </c>
      <c r="F1348" s="4" t="str">
        <f>"李媛"</f>
        <v>李媛</v>
      </c>
      <c r="G1348" s="4" t="str">
        <f t="shared" si="55"/>
        <v>女</v>
      </c>
      <c r="H1348" s="4" t="str">
        <f>"1996-01-14"</f>
        <v>1996-01-14</v>
      </c>
      <c r="I1348" s="4">
        <v>73.2</v>
      </c>
      <c r="J1348" s="5"/>
    </row>
    <row r="1349" spans="1:10">
      <c r="A1349" s="4">
        <v>1345</v>
      </c>
      <c r="B1349" s="4" t="str">
        <f>"20207024605"</f>
        <v>20207024605</v>
      </c>
      <c r="C1349" s="4">
        <v>46</v>
      </c>
      <c r="D1349" s="4">
        <v>5</v>
      </c>
      <c r="E1349" s="4" t="s">
        <v>46</v>
      </c>
      <c r="F1349" s="4" t="str">
        <f>"张瑞轩"</f>
        <v>张瑞轩</v>
      </c>
      <c r="G1349" s="4" t="str">
        <f t="shared" si="55"/>
        <v>女</v>
      </c>
      <c r="H1349" s="4" t="str">
        <f>"1998-07-02"</f>
        <v>1998-07-02</v>
      </c>
      <c r="I1349" s="4" t="s">
        <v>12</v>
      </c>
      <c r="J1349" s="5"/>
    </row>
    <row r="1350" spans="1:10">
      <c r="A1350" s="4">
        <v>1346</v>
      </c>
      <c r="B1350" s="4" t="str">
        <f>"20207024606"</f>
        <v>20207024606</v>
      </c>
      <c r="C1350" s="4">
        <v>46</v>
      </c>
      <c r="D1350" s="4">
        <v>6</v>
      </c>
      <c r="E1350" s="4" t="s">
        <v>46</v>
      </c>
      <c r="F1350" s="4" t="str">
        <f>"王君"</f>
        <v>王君</v>
      </c>
      <c r="G1350" s="4" t="str">
        <f t="shared" si="55"/>
        <v>女</v>
      </c>
      <c r="H1350" s="4" t="str">
        <f>"1993-02-15"</f>
        <v>1993-02-15</v>
      </c>
      <c r="I1350" s="4">
        <v>64.1</v>
      </c>
      <c r="J1350" s="5"/>
    </row>
    <row r="1351" spans="1:10">
      <c r="A1351" s="4">
        <v>1347</v>
      </c>
      <c r="B1351" s="4" t="str">
        <f>"20207024607"</f>
        <v>20207024607</v>
      </c>
      <c r="C1351" s="4">
        <v>46</v>
      </c>
      <c r="D1351" s="4">
        <v>7</v>
      </c>
      <c r="E1351" s="4" t="s">
        <v>46</v>
      </c>
      <c r="F1351" s="4" t="str">
        <f>"汪丝竹"</f>
        <v>汪丝竹</v>
      </c>
      <c r="G1351" s="4" t="str">
        <f t="shared" si="55"/>
        <v>女</v>
      </c>
      <c r="H1351" s="4" t="str">
        <f>"1998-01-07"</f>
        <v>1998-01-07</v>
      </c>
      <c r="I1351" s="4" t="s">
        <v>12</v>
      </c>
      <c r="J1351" s="5"/>
    </row>
    <row r="1352" spans="1:10">
      <c r="A1352" s="4">
        <v>1348</v>
      </c>
      <c r="B1352" s="4" t="str">
        <f>"20207024608"</f>
        <v>20207024608</v>
      </c>
      <c r="C1352" s="4">
        <v>46</v>
      </c>
      <c r="D1352" s="4">
        <v>8</v>
      </c>
      <c r="E1352" s="4" t="s">
        <v>46</v>
      </c>
      <c r="F1352" s="4" t="str">
        <f>"苏香香"</f>
        <v>苏香香</v>
      </c>
      <c r="G1352" s="4" t="str">
        <f t="shared" si="55"/>
        <v>女</v>
      </c>
      <c r="H1352" s="4" t="str">
        <f>"1997-01-31"</f>
        <v>1997-01-31</v>
      </c>
      <c r="I1352" s="4">
        <v>72.2</v>
      </c>
      <c r="J1352" s="5"/>
    </row>
    <row r="1353" spans="1:10">
      <c r="A1353" s="4">
        <v>1349</v>
      </c>
      <c r="B1353" s="4" t="str">
        <f>"20207024609"</f>
        <v>20207024609</v>
      </c>
      <c r="C1353" s="4">
        <v>46</v>
      </c>
      <c r="D1353" s="4">
        <v>9</v>
      </c>
      <c r="E1353" s="4" t="s">
        <v>46</v>
      </c>
      <c r="F1353" s="4" t="str">
        <f>"杨翠玲"</f>
        <v>杨翠玲</v>
      </c>
      <c r="G1353" s="4" t="str">
        <f t="shared" si="55"/>
        <v>女</v>
      </c>
      <c r="H1353" s="4" t="str">
        <f>"1992-11-17"</f>
        <v>1992-11-17</v>
      </c>
      <c r="I1353" s="4">
        <v>62.1</v>
      </c>
      <c r="J1353" s="5"/>
    </row>
    <row r="1354" spans="1:10">
      <c r="A1354" s="4">
        <v>1350</v>
      </c>
      <c r="B1354" s="4" t="str">
        <f>"20207024610"</f>
        <v>20207024610</v>
      </c>
      <c r="C1354" s="4">
        <v>46</v>
      </c>
      <c r="D1354" s="4">
        <v>10</v>
      </c>
      <c r="E1354" s="4" t="s">
        <v>46</v>
      </c>
      <c r="F1354" s="4" t="str">
        <f>"尹松梅"</f>
        <v>尹松梅</v>
      </c>
      <c r="G1354" s="4" t="str">
        <f t="shared" si="55"/>
        <v>女</v>
      </c>
      <c r="H1354" s="4" t="str">
        <f>"1993-08-04"</f>
        <v>1993-08-04</v>
      </c>
      <c r="I1354" s="4">
        <v>75.5</v>
      </c>
      <c r="J1354" s="5"/>
    </row>
    <row r="1355" spans="1:10">
      <c r="A1355" s="4">
        <v>1351</v>
      </c>
      <c r="B1355" s="4" t="str">
        <f>"20207024611"</f>
        <v>20207024611</v>
      </c>
      <c r="C1355" s="4">
        <v>46</v>
      </c>
      <c r="D1355" s="4">
        <v>11</v>
      </c>
      <c r="E1355" s="4" t="s">
        <v>46</v>
      </c>
      <c r="F1355" s="4" t="str">
        <f>"李越"</f>
        <v>李越</v>
      </c>
      <c r="G1355" s="4" t="str">
        <f t="shared" si="55"/>
        <v>女</v>
      </c>
      <c r="H1355" s="4" t="str">
        <f>"1998-06-15"</f>
        <v>1998-06-15</v>
      </c>
      <c r="I1355" s="4" t="s">
        <v>12</v>
      </c>
      <c r="J1355" s="5"/>
    </row>
    <row r="1356" spans="1:10">
      <c r="A1356" s="4">
        <v>1352</v>
      </c>
      <c r="B1356" s="4" t="str">
        <f>"20207024612"</f>
        <v>20207024612</v>
      </c>
      <c r="C1356" s="4">
        <v>46</v>
      </c>
      <c r="D1356" s="4">
        <v>12</v>
      </c>
      <c r="E1356" s="4" t="s">
        <v>46</v>
      </c>
      <c r="F1356" s="4" t="str">
        <f>"王莹"</f>
        <v>王莹</v>
      </c>
      <c r="G1356" s="4" t="str">
        <f t="shared" si="55"/>
        <v>女</v>
      </c>
      <c r="H1356" s="4" t="str">
        <f>"1998-08-22"</f>
        <v>1998-08-22</v>
      </c>
      <c r="I1356" s="4">
        <v>59.2</v>
      </c>
      <c r="J1356" s="5"/>
    </row>
    <row r="1357" spans="1:10">
      <c r="A1357" s="4">
        <v>1353</v>
      </c>
      <c r="B1357" s="4" t="str">
        <f>"20207024613"</f>
        <v>20207024613</v>
      </c>
      <c r="C1357" s="4">
        <v>46</v>
      </c>
      <c r="D1357" s="4">
        <v>13</v>
      </c>
      <c r="E1357" s="4" t="s">
        <v>46</v>
      </c>
      <c r="F1357" s="4" t="str">
        <f>"董倩"</f>
        <v>董倩</v>
      </c>
      <c r="G1357" s="4" t="str">
        <f t="shared" si="55"/>
        <v>女</v>
      </c>
      <c r="H1357" s="4" t="str">
        <f>"1992-04-22"</f>
        <v>1992-04-22</v>
      </c>
      <c r="I1357" s="4">
        <v>63.8</v>
      </c>
      <c r="J1357" s="5"/>
    </row>
    <row r="1358" spans="1:10">
      <c r="A1358" s="4">
        <v>1354</v>
      </c>
      <c r="B1358" s="4" t="str">
        <f>"20207024614"</f>
        <v>20207024614</v>
      </c>
      <c r="C1358" s="4">
        <v>46</v>
      </c>
      <c r="D1358" s="4">
        <v>14</v>
      </c>
      <c r="E1358" s="4" t="s">
        <v>46</v>
      </c>
      <c r="F1358" s="4" t="str">
        <f>"杨博"</f>
        <v>杨博</v>
      </c>
      <c r="G1358" s="4" t="str">
        <f t="shared" si="55"/>
        <v>女</v>
      </c>
      <c r="H1358" s="4" t="str">
        <f>"1994-11-02"</f>
        <v>1994-11-02</v>
      </c>
      <c r="I1358" s="4">
        <v>69.8</v>
      </c>
      <c r="J1358" s="5"/>
    </row>
    <row r="1359" spans="1:10">
      <c r="A1359" s="4">
        <v>1355</v>
      </c>
      <c r="B1359" s="4" t="str">
        <f>"20207024615"</f>
        <v>20207024615</v>
      </c>
      <c r="C1359" s="4">
        <v>46</v>
      </c>
      <c r="D1359" s="4">
        <v>15</v>
      </c>
      <c r="E1359" s="4" t="s">
        <v>46</v>
      </c>
      <c r="F1359" s="4" t="str">
        <f>"王晓冰"</f>
        <v>王晓冰</v>
      </c>
      <c r="G1359" s="4" t="str">
        <f t="shared" si="55"/>
        <v>女</v>
      </c>
      <c r="H1359" s="4" t="str">
        <f>"1993-04-15"</f>
        <v>1993-04-15</v>
      </c>
      <c r="I1359" s="4">
        <v>72.5</v>
      </c>
      <c r="J1359" s="5"/>
    </row>
    <row r="1360" spans="1:10">
      <c r="A1360" s="4">
        <v>1356</v>
      </c>
      <c r="B1360" s="4" t="str">
        <f>"20207024616"</f>
        <v>20207024616</v>
      </c>
      <c r="C1360" s="4">
        <v>46</v>
      </c>
      <c r="D1360" s="4">
        <v>16</v>
      </c>
      <c r="E1360" s="4" t="s">
        <v>46</v>
      </c>
      <c r="F1360" s="4" t="str">
        <f>"段富羽"</f>
        <v>段富羽</v>
      </c>
      <c r="G1360" s="4" t="str">
        <f t="shared" si="55"/>
        <v>女</v>
      </c>
      <c r="H1360" s="4" t="str">
        <f>"1995-06-22"</f>
        <v>1995-06-22</v>
      </c>
      <c r="I1360" s="4" t="s">
        <v>12</v>
      </c>
      <c r="J1360" s="5"/>
    </row>
    <row r="1361" spans="1:10">
      <c r="A1361" s="4">
        <v>1357</v>
      </c>
      <c r="B1361" s="4" t="str">
        <f>"20207024617"</f>
        <v>20207024617</v>
      </c>
      <c r="C1361" s="4">
        <v>46</v>
      </c>
      <c r="D1361" s="4">
        <v>17</v>
      </c>
      <c r="E1361" s="4" t="s">
        <v>46</v>
      </c>
      <c r="F1361" s="4" t="str">
        <f>"杨彩玲"</f>
        <v>杨彩玲</v>
      </c>
      <c r="G1361" s="4" t="str">
        <f t="shared" si="55"/>
        <v>女</v>
      </c>
      <c r="H1361" s="4" t="str">
        <f>"1994-11-08"</f>
        <v>1994-11-08</v>
      </c>
      <c r="I1361" s="4">
        <v>74.5</v>
      </c>
      <c r="J1361" s="5"/>
    </row>
    <row r="1362" spans="1:10">
      <c r="A1362" s="4">
        <v>1358</v>
      </c>
      <c r="B1362" s="4" t="str">
        <f>"20207024618"</f>
        <v>20207024618</v>
      </c>
      <c r="C1362" s="4">
        <v>46</v>
      </c>
      <c r="D1362" s="4">
        <v>18</v>
      </c>
      <c r="E1362" s="4" t="s">
        <v>46</v>
      </c>
      <c r="F1362" s="4" t="str">
        <f>"何冰"</f>
        <v>何冰</v>
      </c>
      <c r="G1362" s="4" t="str">
        <f>"男"</f>
        <v>男</v>
      </c>
      <c r="H1362" s="4" t="str">
        <f>"1995-11-15"</f>
        <v>1995-11-15</v>
      </c>
      <c r="I1362" s="4">
        <v>34.4</v>
      </c>
      <c r="J1362" s="5"/>
    </row>
    <row r="1363" spans="1:10">
      <c r="A1363" s="4">
        <v>1359</v>
      </c>
      <c r="B1363" s="4" t="str">
        <f>"20207024619"</f>
        <v>20207024619</v>
      </c>
      <c r="C1363" s="4">
        <v>46</v>
      </c>
      <c r="D1363" s="4">
        <v>19</v>
      </c>
      <c r="E1363" s="4" t="s">
        <v>46</v>
      </c>
      <c r="F1363" s="4" t="str">
        <f>"赵晨晨"</f>
        <v>赵晨晨</v>
      </c>
      <c r="G1363" s="4" t="str">
        <f t="shared" ref="G1363:G1375" si="56">"女"</f>
        <v>女</v>
      </c>
      <c r="H1363" s="4" t="str">
        <f>"1990-12-25"</f>
        <v>1990-12-25</v>
      </c>
      <c r="I1363" s="4" t="s">
        <v>12</v>
      </c>
      <c r="J1363" s="5"/>
    </row>
    <row r="1364" spans="1:10">
      <c r="A1364" s="4">
        <v>1360</v>
      </c>
      <c r="B1364" s="4" t="str">
        <f>"20207024620"</f>
        <v>20207024620</v>
      </c>
      <c r="C1364" s="4">
        <v>46</v>
      </c>
      <c r="D1364" s="4">
        <v>20</v>
      </c>
      <c r="E1364" s="4" t="s">
        <v>46</v>
      </c>
      <c r="F1364" s="4" t="str">
        <f>"丁万惠"</f>
        <v>丁万惠</v>
      </c>
      <c r="G1364" s="4" t="str">
        <f t="shared" si="56"/>
        <v>女</v>
      </c>
      <c r="H1364" s="4" t="str">
        <f>"1996-09-25"</f>
        <v>1996-09-25</v>
      </c>
      <c r="I1364" s="4" t="s">
        <v>12</v>
      </c>
      <c r="J1364" s="5"/>
    </row>
    <row r="1365" spans="1:10">
      <c r="A1365" s="4">
        <v>1361</v>
      </c>
      <c r="B1365" s="4" t="str">
        <f>"20207024621"</f>
        <v>20207024621</v>
      </c>
      <c r="C1365" s="4">
        <v>46</v>
      </c>
      <c r="D1365" s="4">
        <v>21</v>
      </c>
      <c r="E1365" s="4" t="s">
        <v>46</v>
      </c>
      <c r="F1365" s="4" t="str">
        <f>"顾雪勤"</f>
        <v>顾雪勤</v>
      </c>
      <c r="G1365" s="4" t="str">
        <f t="shared" si="56"/>
        <v>女</v>
      </c>
      <c r="H1365" s="4" t="str">
        <f>"1990-06-03"</f>
        <v>1990-06-03</v>
      </c>
      <c r="I1365" s="4">
        <v>75.6</v>
      </c>
      <c r="J1365" s="5"/>
    </row>
    <row r="1366" spans="1:10">
      <c r="A1366" s="4">
        <v>1362</v>
      </c>
      <c r="B1366" s="4" t="str">
        <f>"20207024622"</f>
        <v>20207024622</v>
      </c>
      <c r="C1366" s="4">
        <v>46</v>
      </c>
      <c r="D1366" s="4">
        <v>22</v>
      </c>
      <c r="E1366" s="4" t="s">
        <v>46</v>
      </c>
      <c r="F1366" s="4" t="str">
        <f>"刘汇湘"</f>
        <v>刘汇湘</v>
      </c>
      <c r="G1366" s="4" t="str">
        <f t="shared" si="56"/>
        <v>女</v>
      </c>
      <c r="H1366" s="4" t="str">
        <f>"2000-02-19"</f>
        <v>2000-02-19</v>
      </c>
      <c r="I1366" s="4">
        <v>65.8</v>
      </c>
      <c r="J1366" s="5"/>
    </row>
    <row r="1367" spans="1:10">
      <c r="A1367" s="4">
        <v>1363</v>
      </c>
      <c r="B1367" s="4" t="str">
        <f>"20207024623"</f>
        <v>20207024623</v>
      </c>
      <c r="C1367" s="4">
        <v>46</v>
      </c>
      <c r="D1367" s="4">
        <v>23</v>
      </c>
      <c r="E1367" s="4" t="s">
        <v>46</v>
      </c>
      <c r="F1367" s="4" t="str">
        <f>"李新昉"</f>
        <v>李新昉</v>
      </c>
      <c r="G1367" s="4" t="str">
        <f t="shared" si="56"/>
        <v>女</v>
      </c>
      <c r="H1367" s="4" t="str">
        <f>"1995-02-17"</f>
        <v>1995-02-17</v>
      </c>
      <c r="I1367" s="4">
        <v>61.1</v>
      </c>
      <c r="J1367" s="5"/>
    </row>
    <row r="1368" spans="1:10">
      <c r="A1368" s="4">
        <v>1364</v>
      </c>
      <c r="B1368" s="4" t="str">
        <f>"20207024624"</f>
        <v>20207024624</v>
      </c>
      <c r="C1368" s="4">
        <v>46</v>
      </c>
      <c r="D1368" s="4">
        <v>24</v>
      </c>
      <c r="E1368" s="4" t="s">
        <v>46</v>
      </c>
      <c r="F1368" s="4" t="str">
        <f>"李彬"</f>
        <v>李彬</v>
      </c>
      <c r="G1368" s="4" t="str">
        <f t="shared" si="56"/>
        <v>女</v>
      </c>
      <c r="H1368" s="4" t="str">
        <f>"1998-12-17"</f>
        <v>1998-12-17</v>
      </c>
      <c r="I1368" s="4" t="s">
        <v>12</v>
      </c>
      <c r="J1368" s="5"/>
    </row>
    <row r="1369" spans="1:10">
      <c r="A1369" s="4">
        <v>1365</v>
      </c>
      <c r="B1369" s="4" t="str">
        <f>"20207024625"</f>
        <v>20207024625</v>
      </c>
      <c r="C1369" s="4">
        <v>46</v>
      </c>
      <c r="D1369" s="4">
        <v>25</v>
      </c>
      <c r="E1369" s="4" t="s">
        <v>46</v>
      </c>
      <c r="F1369" s="4" t="str">
        <f>"李梦梦"</f>
        <v>李梦梦</v>
      </c>
      <c r="G1369" s="4" t="str">
        <f t="shared" si="56"/>
        <v>女</v>
      </c>
      <c r="H1369" s="4" t="str">
        <f>"1991-10-13"</f>
        <v>1991-10-13</v>
      </c>
      <c r="I1369" s="4" t="s">
        <v>12</v>
      </c>
      <c r="J1369" s="5"/>
    </row>
    <row r="1370" spans="1:10">
      <c r="A1370" s="4">
        <v>1366</v>
      </c>
      <c r="B1370" s="4" t="str">
        <f>"20207024626"</f>
        <v>20207024626</v>
      </c>
      <c r="C1370" s="4">
        <v>46</v>
      </c>
      <c r="D1370" s="4">
        <v>26</v>
      </c>
      <c r="E1370" s="4" t="s">
        <v>46</v>
      </c>
      <c r="F1370" s="4" t="str">
        <f>"邬宏玉"</f>
        <v>邬宏玉</v>
      </c>
      <c r="G1370" s="4" t="str">
        <f t="shared" si="56"/>
        <v>女</v>
      </c>
      <c r="H1370" s="4" t="str">
        <f>"1995-08-10"</f>
        <v>1995-08-10</v>
      </c>
      <c r="I1370" s="4">
        <v>63.2</v>
      </c>
      <c r="J1370" s="5"/>
    </row>
    <row r="1371" spans="1:10">
      <c r="A1371" s="4">
        <v>1367</v>
      </c>
      <c r="B1371" s="4" t="str">
        <f>"20207024627"</f>
        <v>20207024627</v>
      </c>
      <c r="C1371" s="4">
        <v>46</v>
      </c>
      <c r="D1371" s="4">
        <v>27</v>
      </c>
      <c r="E1371" s="4" t="s">
        <v>46</v>
      </c>
      <c r="F1371" s="4" t="str">
        <f>"吴昊"</f>
        <v>吴昊</v>
      </c>
      <c r="G1371" s="4" t="str">
        <f t="shared" si="56"/>
        <v>女</v>
      </c>
      <c r="H1371" s="4" t="str">
        <f>"2001-06-18"</f>
        <v>2001-06-18</v>
      </c>
      <c r="I1371" s="4">
        <v>69.5</v>
      </c>
      <c r="J1371" s="5"/>
    </row>
    <row r="1372" spans="1:10">
      <c r="A1372" s="4">
        <v>1368</v>
      </c>
      <c r="B1372" s="4" t="str">
        <f>"20207024628"</f>
        <v>20207024628</v>
      </c>
      <c r="C1372" s="4">
        <v>46</v>
      </c>
      <c r="D1372" s="4">
        <v>28</v>
      </c>
      <c r="E1372" s="4" t="s">
        <v>46</v>
      </c>
      <c r="F1372" s="4" t="str">
        <f>"李均哲"</f>
        <v>李均哲</v>
      </c>
      <c r="G1372" s="4" t="str">
        <f t="shared" si="56"/>
        <v>女</v>
      </c>
      <c r="H1372" s="4" t="str">
        <f>"1993-08-13"</f>
        <v>1993-08-13</v>
      </c>
      <c r="I1372" s="4">
        <v>71.5</v>
      </c>
      <c r="J1372" s="5"/>
    </row>
    <row r="1373" spans="1:10">
      <c r="A1373" s="4">
        <v>1369</v>
      </c>
      <c r="B1373" s="4" t="str">
        <f>"20207024629"</f>
        <v>20207024629</v>
      </c>
      <c r="C1373" s="4">
        <v>46</v>
      </c>
      <c r="D1373" s="4">
        <v>29</v>
      </c>
      <c r="E1373" s="4" t="s">
        <v>46</v>
      </c>
      <c r="F1373" s="4" t="str">
        <f>"董雪"</f>
        <v>董雪</v>
      </c>
      <c r="G1373" s="4" t="str">
        <f t="shared" si="56"/>
        <v>女</v>
      </c>
      <c r="H1373" s="4" t="str">
        <f>"1990-03-27"</f>
        <v>1990-03-27</v>
      </c>
      <c r="I1373" s="4">
        <v>69.8</v>
      </c>
      <c r="J1373" s="5"/>
    </row>
    <row r="1374" spans="1:10">
      <c r="A1374" s="4">
        <v>1370</v>
      </c>
      <c r="B1374" s="4" t="str">
        <f>"20207024630"</f>
        <v>20207024630</v>
      </c>
      <c r="C1374" s="4">
        <v>46</v>
      </c>
      <c r="D1374" s="4">
        <v>30</v>
      </c>
      <c r="E1374" s="4" t="s">
        <v>46</v>
      </c>
      <c r="F1374" s="4" t="str">
        <f>"王越"</f>
        <v>王越</v>
      </c>
      <c r="G1374" s="4" t="str">
        <f t="shared" si="56"/>
        <v>女</v>
      </c>
      <c r="H1374" s="4" t="str">
        <f>"1996-06-15"</f>
        <v>1996-06-15</v>
      </c>
      <c r="I1374" s="4">
        <v>69.2</v>
      </c>
      <c r="J1374" s="5"/>
    </row>
    <row r="1375" spans="1:10">
      <c r="A1375" s="4">
        <v>1371</v>
      </c>
      <c r="B1375" s="4" t="str">
        <f>"20207024701"</f>
        <v>20207024701</v>
      </c>
      <c r="C1375" s="4">
        <v>47</v>
      </c>
      <c r="D1375" s="4">
        <v>1</v>
      </c>
      <c r="E1375" s="4" t="s">
        <v>46</v>
      </c>
      <c r="F1375" s="4" t="str">
        <f>"杜娟"</f>
        <v>杜娟</v>
      </c>
      <c r="G1375" s="4" t="str">
        <f t="shared" si="56"/>
        <v>女</v>
      </c>
      <c r="H1375" s="4" t="str">
        <f>"1990-10-27"</f>
        <v>1990-10-27</v>
      </c>
      <c r="I1375" s="4">
        <v>79.2</v>
      </c>
      <c r="J1375" s="5"/>
    </row>
    <row r="1376" spans="1:10">
      <c r="A1376" s="4">
        <v>1372</v>
      </c>
      <c r="B1376" s="4" t="str">
        <f>"20207024702"</f>
        <v>20207024702</v>
      </c>
      <c r="C1376" s="4">
        <v>47</v>
      </c>
      <c r="D1376" s="4">
        <v>2</v>
      </c>
      <c r="E1376" s="4" t="s">
        <v>46</v>
      </c>
      <c r="F1376" s="4" t="str">
        <f>"罗乐"</f>
        <v>罗乐</v>
      </c>
      <c r="G1376" s="4" t="str">
        <f>"男"</f>
        <v>男</v>
      </c>
      <c r="H1376" s="4" t="str">
        <f>"1996-10-06"</f>
        <v>1996-10-06</v>
      </c>
      <c r="I1376" s="4">
        <v>53</v>
      </c>
      <c r="J1376" s="5"/>
    </row>
    <row r="1377" spans="1:10">
      <c r="A1377" s="4">
        <v>1373</v>
      </c>
      <c r="B1377" s="4" t="str">
        <f>"20207024703"</f>
        <v>20207024703</v>
      </c>
      <c r="C1377" s="4">
        <v>47</v>
      </c>
      <c r="D1377" s="4">
        <v>3</v>
      </c>
      <c r="E1377" s="4" t="s">
        <v>46</v>
      </c>
      <c r="F1377" s="4" t="str">
        <f>"李玲瑜"</f>
        <v>李玲瑜</v>
      </c>
      <c r="G1377" s="4" t="str">
        <f t="shared" ref="G1377:G1405" si="57">"女"</f>
        <v>女</v>
      </c>
      <c r="H1377" s="4" t="str">
        <f>"1997-04-23"</f>
        <v>1997-04-23</v>
      </c>
      <c r="I1377" s="4">
        <v>77.6</v>
      </c>
      <c r="J1377" s="5"/>
    </row>
    <row r="1378" spans="1:10">
      <c r="A1378" s="4">
        <v>1374</v>
      </c>
      <c r="B1378" s="4" t="str">
        <f>"20207024704"</f>
        <v>20207024704</v>
      </c>
      <c r="C1378" s="4">
        <v>47</v>
      </c>
      <c r="D1378" s="4">
        <v>4</v>
      </c>
      <c r="E1378" s="4" t="s">
        <v>46</v>
      </c>
      <c r="F1378" s="4" t="str">
        <f>"安迪"</f>
        <v>安迪</v>
      </c>
      <c r="G1378" s="4" t="str">
        <f t="shared" si="57"/>
        <v>女</v>
      </c>
      <c r="H1378" s="4" t="str">
        <f>"1991-10-29"</f>
        <v>1991-10-29</v>
      </c>
      <c r="I1378" s="4">
        <v>69.7</v>
      </c>
      <c r="J1378" s="5"/>
    </row>
    <row r="1379" spans="1:10">
      <c r="A1379" s="4">
        <v>1375</v>
      </c>
      <c r="B1379" s="4" t="str">
        <f>"20207024705"</f>
        <v>20207024705</v>
      </c>
      <c r="C1379" s="4">
        <v>47</v>
      </c>
      <c r="D1379" s="4">
        <v>5</v>
      </c>
      <c r="E1379" s="4" t="s">
        <v>46</v>
      </c>
      <c r="F1379" s="4" t="str">
        <f>"杨伟"</f>
        <v>杨伟</v>
      </c>
      <c r="G1379" s="4" t="str">
        <f t="shared" si="57"/>
        <v>女</v>
      </c>
      <c r="H1379" s="4" t="str">
        <f>"1992-02-07"</f>
        <v>1992-02-07</v>
      </c>
      <c r="I1379" s="4">
        <v>65.1</v>
      </c>
      <c r="J1379" s="5"/>
    </row>
    <row r="1380" spans="1:10">
      <c r="A1380" s="4">
        <v>1376</v>
      </c>
      <c r="B1380" s="4" t="str">
        <f>"20207024706"</f>
        <v>20207024706</v>
      </c>
      <c r="C1380" s="4">
        <v>47</v>
      </c>
      <c r="D1380" s="4">
        <v>6</v>
      </c>
      <c r="E1380" s="4" t="s">
        <v>46</v>
      </c>
      <c r="F1380" s="4" t="str">
        <f>"王君"</f>
        <v>王君</v>
      </c>
      <c r="G1380" s="4" t="str">
        <f t="shared" si="57"/>
        <v>女</v>
      </c>
      <c r="H1380" s="4" t="str">
        <f>"1996-01-08"</f>
        <v>1996-01-08</v>
      </c>
      <c r="I1380" s="4">
        <v>61.8</v>
      </c>
      <c r="J1380" s="5"/>
    </row>
    <row r="1381" spans="1:10">
      <c r="A1381" s="4">
        <v>1377</v>
      </c>
      <c r="B1381" s="4" t="str">
        <f>"20207024707"</f>
        <v>20207024707</v>
      </c>
      <c r="C1381" s="4">
        <v>47</v>
      </c>
      <c r="D1381" s="4">
        <v>7</v>
      </c>
      <c r="E1381" s="4" t="s">
        <v>46</v>
      </c>
      <c r="F1381" s="4" t="str">
        <f>"李处"</f>
        <v>李处</v>
      </c>
      <c r="G1381" s="4" t="str">
        <f t="shared" si="57"/>
        <v>女</v>
      </c>
      <c r="H1381" s="4" t="str">
        <f>"1995-08-11"</f>
        <v>1995-08-11</v>
      </c>
      <c r="I1381" s="4">
        <v>71.1</v>
      </c>
      <c r="J1381" s="5"/>
    </row>
    <row r="1382" spans="1:10">
      <c r="A1382" s="4">
        <v>1378</v>
      </c>
      <c r="B1382" s="4" t="str">
        <f>"20207024708"</f>
        <v>20207024708</v>
      </c>
      <c r="C1382" s="4">
        <v>47</v>
      </c>
      <c r="D1382" s="4">
        <v>8</v>
      </c>
      <c r="E1382" s="4" t="s">
        <v>46</v>
      </c>
      <c r="F1382" s="4" t="str">
        <f>"李玉颖"</f>
        <v>李玉颖</v>
      </c>
      <c r="G1382" s="4" t="str">
        <f t="shared" si="57"/>
        <v>女</v>
      </c>
      <c r="H1382" s="4" t="str">
        <f>"1999-09-06"</f>
        <v>1999-09-06</v>
      </c>
      <c r="I1382" s="4">
        <v>64.8</v>
      </c>
      <c r="J1382" s="5"/>
    </row>
    <row r="1383" spans="1:10">
      <c r="A1383" s="4">
        <v>1379</v>
      </c>
      <c r="B1383" s="4" t="str">
        <f>"20207024709"</f>
        <v>20207024709</v>
      </c>
      <c r="C1383" s="4">
        <v>47</v>
      </c>
      <c r="D1383" s="4">
        <v>9</v>
      </c>
      <c r="E1383" s="4" t="s">
        <v>46</v>
      </c>
      <c r="F1383" s="4" t="str">
        <f>"张宛新"</f>
        <v>张宛新</v>
      </c>
      <c r="G1383" s="4" t="str">
        <f t="shared" si="57"/>
        <v>女</v>
      </c>
      <c r="H1383" s="4" t="str">
        <f>"1992-02-05"</f>
        <v>1992-02-05</v>
      </c>
      <c r="I1383" s="4">
        <v>69.8</v>
      </c>
      <c r="J1383" s="5"/>
    </row>
    <row r="1384" spans="1:10">
      <c r="A1384" s="4">
        <v>1380</v>
      </c>
      <c r="B1384" s="4" t="str">
        <f>"20207024710"</f>
        <v>20207024710</v>
      </c>
      <c r="C1384" s="4">
        <v>47</v>
      </c>
      <c r="D1384" s="4">
        <v>10</v>
      </c>
      <c r="E1384" s="4" t="s">
        <v>46</v>
      </c>
      <c r="F1384" s="4" t="str">
        <f>"李敏"</f>
        <v>李敏</v>
      </c>
      <c r="G1384" s="4" t="str">
        <f t="shared" si="57"/>
        <v>女</v>
      </c>
      <c r="H1384" s="4" t="str">
        <f>"1992-12-18"</f>
        <v>1992-12-18</v>
      </c>
      <c r="I1384" s="4" t="s">
        <v>12</v>
      </c>
      <c r="J1384" s="5"/>
    </row>
    <row r="1385" spans="1:10">
      <c r="A1385" s="4">
        <v>1381</v>
      </c>
      <c r="B1385" s="4" t="str">
        <f>"20207024711"</f>
        <v>20207024711</v>
      </c>
      <c r="C1385" s="4">
        <v>47</v>
      </c>
      <c r="D1385" s="4">
        <v>11</v>
      </c>
      <c r="E1385" s="4" t="s">
        <v>46</v>
      </c>
      <c r="F1385" s="4" t="str">
        <f>"闻新冉"</f>
        <v>闻新冉</v>
      </c>
      <c r="G1385" s="4" t="str">
        <f t="shared" si="57"/>
        <v>女</v>
      </c>
      <c r="H1385" s="4" t="str">
        <f>"1997-03-24"</f>
        <v>1997-03-24</v>
      </c>
      <c r="I1385" s="4">
        <v>73.9</v>
      </c>
      <c r="J1385" s="5"/>
    </row>
    <row r="1386" spans="1:10">
      <c r="A1386" s="4">
        <v>1382</v>
      </c>
      <c r="B1386" s="4" t="str">
        <f>"20207024712"</f>
        <v>20207024712</v>
      </c>
      <c r="C1386" s="4">
        <v>47</v>
      </c>
      <c r="D1386" s="4">
        <v>12</v>
      </c>
      <c r="E1386" s="4" t="s">
        <v>46</v>
      </c>
      <c r="F1386" s="4" t="str">
        <f>"贾霖"</f>
        <v>贾霖</v>
      </c>
      <c r="G1386" s="4" t="str">
        <f t="shared" si="57"/>
        <v>女</v>
      </c>
      <c r="H1386" s="4" t="str">
        <f>"1999-09-04"</f>
        <v>1999-09-04</v>
      </c>
      <c r="I1386" s="4" t="s">
        <v>12</v>
      </c>
      <c r="J1386" s="5"/>
    </row>
    <row r="1387" spans="1:10">
      <c r="A1387" s="4">
        <v>1383</v>
      </c>
      <c r="B1387" s="4" t="str">
        <f>"20207024713"</f>
        <v>20207024713</v>
      </c>
      <c r="C1387" s="4">
        <v>47</v>
      </c>
      <c r="D1387" s="4">
        <v>13</v>
      </c>
      <c r="E1387" s="4" t="s">
        <v>46</v>
      </c>
      <c r="F1387" s="4" t="str">
        <f>"刘茵"</f>
        <v>刘茵</v>
      </c>
      <c r="G1387" s="4" t="str">
        <f t="shared" si="57"/>
        <v>女</v>
      </c>
      <c r="H1387" s="4" t="str">
        <f>"1993-06-24"</f>
        <v>1993-06-24</v>
      </c>
      <c r="I1387" s="4">
        <v>76.2</v>
      </c>
      <c r="J1387" s="5"/>
    </row>
    <row r="1388" spans="1:10">
      <c r="A1388" s="4">
        <v>1384</v>
      </c>
      <c r="B1388" s="4" t="str">
        <f>"20207024714"</f>
        <v>20207024714</v>
      </c>
      <c r="C1388" s="4">
        <v>47</v>
      </c>
      <c r="D1388" s="4">
        <v>14</v>
      </c>
      <c r="E1388" s="4" t="s">
        <v>46</v>
      </c>
      <c r="F1388" s="4" t="str">
        <f>"李明楷"</f>
        <v>李明楷</v>
      </c>
      <c r="G1388" s="4" t="str">
        <f t="shared" si="57"/>
        <v>女</v>
      </c>
      <c r="H1388" s="4" t="str">
        <f>"1990-05-24"</f>
        <v>1990-05-24</v>
      </c>
      <c r="I1388" s="4">
        <v>73.6</v>
      </c>
      <c r="J1388" s="5"/>
    </row>
    <row r="1389" spans="1:10">
      <c r="A1389" s="4">
        <v>1385</v>
      </c>
      <c r="B1389" s="4" t="str">
        <f>"20207024715"</f>
        <v>20207024715</v>
      </c>
      <c r="C1389" s="4">
        <v>47</v>
      </c>
      <c r="D1389" s="4">
        <v>15</v>
      </c>
      <c r="E1389" s="4" t="s">
        <v>46</v>
      </c>
      <c r="F1389" s="4" t="str">
        <f>"彭宇"</f>
        <v>彭宇</v>
      </c>
      <c r="G1389" s="4" t="str">
        <f t="shared" si="57"/>
        <v>女</v>
      </c>
      <c r="H1389" s="4" t="str">
        <f>"1995-10-18"</f>
        <v>1995-10-18</v>
      </c>
      <c r="I1389" s="4" t="s">
        <v>12</v>
      </c>
      <c r="J1389" s="5"/>
    </row>
    <row r="1390" spans="1:10">
      <c r="A1390" s="4">
        <v>1386</v>
      </c>
      <c r="B1390" s="4" t="str">
        <f>"20207024716"</f>
        <v>20207024716</v>
      </c>
      <c r="C1390" s="4">
        <v>47</v>
      </c>
      <c r="D1390" s="4">
        <v>16</v>
      </c>
      <c r="E1390" s="4" t="s">
        <v>46</v>
      </c>
      <c r="F1390" s="4" t="str">
        <f>"刘亚盈"</f>
        <v>刘亚盈</v>
      </c>
      <c r="G1390" s="4" t="str">
        <f t="shared" si="57"/>
        <v>女</v>
      </c>
      <c r="H1390" s="4" t="str">
        <f>"1998-10-29"</f>
        <v>1998-10-29</v>
      </c>
      <c r="I1390" s="4">
        <v>56.7</v>
      </c>
      <c r="J1390" s="5"/>
    </row>
    <row r="1391" spans="1:10">
      <c r="A1391" s="4">
        <v>1387</v>
      </c>
      <c r="B1391" s="4" t="str">
        <f>"20207024717"</f>
        <v>20207024717</v>
      </c>
      <c r="C1391" s="4">
        <v>47</v>
      </c>
      <c r="D1391" s="4">
        <v>17</v>
      </c>
      <c r="E1391" s="4" t="s">
        <v>46</v>
      </c>
      <c r="F1391" s="4" t="str">
        <f>"朱巧娅"</f>
        <v>朱巧娅</v>
      </c>
      <c r="G1391" s="4" t="str">
        <f t="shared" si="57"/>
        <v>女</v>
      </c>
      <c r="H1391" s="4" t="str">
        <f>"1992-07-30"</f>
        <v>1992-07-30</v>
      </c>
      <c r="I1391" s="4">
        <v>71.9</v>
      </c>
      <c r="J1391" s="5"/>
    </row>
    <row r="1392" spans="1:10">
      <c r="A1392" s="4">
        <v>1388</v>
      </c>
      <c r="B1392" s="4" t="str">
        <f>"20207024718"</f>
        <v>20207024718</v>
      </c>
      <c r="C1392" s="4">
        <v>47</v>
      </c>
      <c r="D1392" s="4">
        <v>18</v>
      </c>
      <c r="E1392" s="4" t="s">
        <v>46</v>
      </c>
      <c r="F1392" s="4" t="str">
        <f>"杨延秋"</f>
        <v>杨延秋</v>
      </c>
      <c r="G1392" s="4" t="str">
        <f t="shared" si="57"/>
        <v>女</v>
      </c>
      <c r="H1392" s="4" t="str">
        <f>"1997-01-12"</f>
        <v>1997-01-12</v>
      </c>
      <c r="I1392" s="4" t="s">
        <v>12</v>
      </c>
      <c r="J1392" s="5"/>
    </row>
    <row r="1393" spans="1:10">
      <c r="A1393" s="4">
        <v>1389</v>
      </c>
      <c r="B1393" s="4" t="str">
        <f>"20207024719"</f>
        <v>20207024719</v>
      </c>
      <c r="C1393" s="4">
        <v>47</v>
      </c>
      <c r="D1393" s="4">
        <v>19</v>
      </c>
      <c r="E1393" s="4" t="s">
        <v>46</v>
      </c>
      <c r="F1393" s="4" t="str">
        <f>"王亚巨"</f>
        <v>王亚巨</v>
      </c>
      <c r="G1393" s="4" t="str">
        <f t="shared" si="57"/>
        <v>女</v>
      </c>
      <c r="H1393" s="4" t="str">
        <f>"1994-08-01"</f>
        <v>1994-08-01</v>
      </c>
      <c r="I1393" s="4">
        <v>67.5</v>
      </c>
      <c r="J1393" s="5"/>
    </row>
    <row r="1394" spans="1:10">
      <c r="A1394" s="4">
        <v>1390</v>
      </c>
      <c r="B1394" s="4" t="str">
        <f>"20207024720"</f>
        <v>20207024720</v>
      </c>
      <c r="C1394" s="4">
        <v>47</v>
      </c>
      <c r="D1394" s="4">
        <v>20</v>
      </c>
      <c r="E1394" s="4" t="s">
        <v>46</v>
      </c>
      <c r="F1394" s="4" t="str">
        <f>"袁世存"</f>
        <v>袁世存</v>
      </c>
      <c r="G1394" s="4" t="str">
        <f t="shared" si="57"/>
        <v>女</v>
      </c>
      <c r="H1394" s="4" t="str">
        <f>"1995-10-01"</f>
        <v>1995-10-01</v>
      </c>
      <c r="I1394" s="4" t="s">
        <v>12</v>
      </c>
      <c r="J1394" s="5"/>
    </row>
    <row r="1395" spans="1:10">
      <c r="A1395" s="4">
        <v>1391</v>
      </c>
      <c r="B1395" s="4" t="str">
        <f>"20207024721"</f>
        <v>20207024721</v>
      </c>
      <c r="C1395" s="4">
        <v>47</v>
      </c>
      <c r="D1395" s="4">
        <v>21</v>
      </c>
      <c r="E1395" s="4" t="s">
        <v>46</v>
      </c>
      <c r="F1395" s="4" t="str">
        <f>"赵一凡"</f>
        <v>赵一凡</v>
      </c>
      <c r="G1395" s="4" t="str">
        <f t="shared" si="57"/>
        <v>女</v>
      </c>
      <c r="H1395" s="4" t="str">
        <f>"1999-12-31"</f>
        <v>1999-12-31</v>
      </c>
      <c r="I1395" s="4">
        <v>57.1</v>
      </c>
      <c r="J1395" s="5"/>
    </row>
    <row r="1396" spans="1:10">
      <c r="A1396" s="4">
        <v>1392</v>
      </c>
      <c r="B1396" s="4" t="str">
        <f>"20207024722"</f>
        <v>20207024722</v>
      </c>
      <c r="C1396" s="4">
        <v>47</v>
      </c>
      <c r="D1396" s="4">
        <v>22</v>
      </c>
      <c r="E1396" s="4" t="s">
        <v>46</v>
      </c>
      <c r="F1396" s="4" t="str">
        <f>"郭玉存"</f>
        <v>郭玉存</v>
      </c>
      <c r="G1396" s="4" t="str">
        <f t="shared" si="57"/>
        <v>女</v>
      </c>
      <c r="H1396" s="4" t="str">
        <f>"1999-01-06"</f>
        <v>1999-01-06</v>
      </c>
      <c r="I1396" s="4">
        <v>66.1</v>
      </c>
      <c r="J1396" s="5"/>
    </row>
    <row r="1397" spans="1:10">
      <c r="A1397" s="4">
        <v>1393</v>
      </c>
      <c r="B1397" s="4" t="str">
        <f>"20207024723"</f>
        <v>20207024723</v>
      </c>
      <c r="C1397" s="4">
        <v>47</v>
      </c>
      <c r="D1397" s="4">
        <v>23</v>
      </c>
      <c r="E1397" s="4" t="s">
        <v>46</v>
      </c>
      <c r="F1397" s="4" t="str">
        <f>"鲁然"</f>
        <v>鲁然</v>
      </c>
      <c r="G1397" s="4" t="str">
        <f t="shared" si="57"/>
        <v>女</v>
      </c>
      <c r="H1397" s="4" t="str">
        <f>"1993-03-28"</f>
        <v>1993-03-28</v>
      </c>
      <c r="I1397" s="4">
        <v>64.2</v>
      </c>
      <c r="J1397" s="5"/>
    </row>
    <row r="1398" spans="1:10">
      <c r="A1398" s="4">
        <v>1394</v>
      </c>
      <c r="B1398" s="4" t="str">
        <f>"20207024724"</f>
        <v>20207024724</v>
      </c>
      <c r="C1398" s="4">
        <v>47</v>
      </c>
      <c r="D1398" s="4">
        <v>24</v>
      </c>
      <c r="E1398" s="4" t="s">
        <v>46</v>
      </c>
      <c r="F1398" s="4" t="str">
        <f>"陈静静"</f>
        <v>陈静静</v>
      </c>
      <c r="G1398" s="4" t="str">
        <f t="shared" si="57"/>
        <v>女</v>
      </c>
      <c r="H1398" s="4" t="str">
        <f>"1995-11-10"</f>
        <v>1995-11-10</v>
      </c>
      <c r="I1398" s="4">
        <v>69.9</v>
      </c>
      <c r="J1398" s="5"/>
    </row>
    <row r="1399" spans="1:10">
      <c r="A1399" s="4">
        <v>1395</v>
      </c>
      <c r="B1399" s="4" t="str">
        <f>"20207024725"</f>
        <v>20207024725</v>
      </c>
      <c r="C1399" s="4">
        <v>47</v>
      </c>
      <c r="D1399" s="4">
        <v>25</v>
      </c>
      <c r="E1399" s="4" t="s">
        <v>46</v>
      </c>
      <c r="F1399" s="4" t="str">
        <f>"王艳"</f>
        <v>王艳</v>
      </c>
      <c r="G1399" s="4" t="str">
        <f t="shared" si="57"/>
        <v>女</v>
      </c>
      <c r="H1399" s="4" t="str">
        <f>"1992-06-22"</f>
        <v>1992-06-22</v>
      </c>
      <c r="I1399" s="4">
        <v>69.5</v>
      </c>
      <c r="J1399" s="5"/>
    </row>
    <row r="1400" spans="1:10">
      <c r="A1400" s="4">
        <v>1396</v>
      </c>
      <c r="B1400" s="4" t="str">
        <f>"20207024726"</f>
        <v>20207024726</v>
      </c>
      <c r="C1400" s="4">
        <v>47</v>
      </c>
      <c r="D1400" s="4">
        <v>26</v>
      </c>
      <c r="E1400" s="4" t="s">
        <v>46</v>
      </c>
      <c r="F1400" s="4" t="str">
        <f>"关俊洋"</f>
        <v>关俊洋</v>
      </c>
      <c r="G1400" s="4" t="str">
        <f t="shared" si="57"/>
        <v>女</v>
      </c>
      <c r="H1400" s="4" t="str">
        <f>"1991-02-25"</f>
        <v>1991-02-25</v>
      </c>
      <c r="I1400" s="4" t="s">
        <v>12</v>
      </c>
      <c r="J1400" s="5"/>
    </row>
    <row r="1401" spans="1:10">
      <c r="A1401" s="4">
        <v>1397</v>
      </c>
      <c r="B1401" s="4" t="str">
        <f>"20207024727"</f>
        <v>20207024727</v>
      </c>
      <c r="C1401" s="4">
        <v>47</v>
      </c>
      <c r="D1401" s="4">
        <v>27</v>
      </c>
      <c r="E1401" s="4" t="s">
        <v>46</v>
      </c>
      <c r="F1401" s="4" t="str">
        <f>"李璐璐"</f>
        <v>李璐璐</v>
      </c>
      <c r="G1401" s="4" t="str">
        <f t="shared" si="57"/>
        <v>女</v>
      </c>
      <c r="H1401" s="4" t="str">
        <f>"1998-06-16"</f>
        <v>1998-06-16</v>
      </c>
      <c r="I1401" s="4">
        <v>78.6</v>
      </c>
      <c r="J1401" s="5"/>
    </row>
    <row r="1402" spans="1:10">
      <c r="A1402" s="4">
        <v>1398</v>
      </c>
      <c r="B1402" s="4" t="str">
        <f>"20207024728"</f>
        <v>20207024728</v>
      </c>
      <c r="C1402" s="4">
        <v>47</v>
      </c>
      <c r="D1402" s="4">
        <v>28</v>
      </c>
      <c r="E1402" s="4" t="s">
        <v>46</v>
      </c>
      <c r="F1402" s="4" t="str">
        <f>"向录草"</f>
        <v>向录草</v>
      </c>
      <c r="G1402" s="4" t="str">
        <f t="shared" si="57"/>
        <v>女</v>
      </c>
      <c r="H1402" s="4" t="str">
        <f>"1997-10-18"</f>
        <v>1997-10-18</v>
      </c>
      <c r="I1402" s="4">
        <v>73.1</v>
      </c>
      <c r="J1402" s="5"/>
    </row>
    <row r="1403" spans="1:10">
      <c r="A1403" s="4">
        <v>1399</v>
      </c>
      <c r="B1403" s="4" t="str">
        <f>"20207024729"</f>
        <v>20207024729</v>
      </c>
      <c r="C1403" s="4">
        <v>47</v>
      </c>
      <c r="D1403" s="4">
        <v>29</v>
      </c>
      <c r="E1403" s="4" t="s">
        <v>46</v>
      </c>
      <c r="F1403" s="4" t="str">
        <f>"来克碧"</f>
        <v>来克碧</v>
      </c>
      <c r="G1403" s="4" t="str">
        <f t="shared" si="57"/>
        <v>女</v>
      </c>
      <c r="H1403" s="4" t="str">
        <f>"1994-05-20"</f>
        <v>1994-05-20</v>
      </c>
      <c r="I1403" s="4">
        <v>64.5</v>
      </c>
      <c r="J1403" s="5"/>
    </row>
    <row r="1404" spans="1:10">
      <c r="A1404" s="4">
        <v>1400</v>
      </c>
      <c r="B1404" s="4" t="str">
        <f>"20207024730"</f>
        <v>20207024730</v>
      </c>
      <c r="C1404" s="4">
        <v>47</v>
      </c>
      <c r="D1404" s="4">
        <v>30</v>
      </c>
      <c r="E1404" s="4" t="s">
        <v>46</v>
      </c>
      <c r="F1404" s="4" t="str">
        <f>"孙红霞"</f>
        <v>孙红霞</v>
      </c>
      <c r="G1404" s="4" t="str">
        <f t="shared" si="57"/>
        <v>女</v>
      </c>
      <c r="H1404" s="4" t="str">
        <f>"1991-01-05"</f>
        <v>1991-01-05</v>
      </c>
      <c r="I1404" s="4">
        <v>75.2</v>
      </c>
      <c r="J1404" s="5"/>
    </row>
    <row r="1405" spans="1:10">
      <c r="A1405" s="4">
        <v>1401</v>
      </c>
      <c r="B1405" s="4" t="str">
        <f>"20207024801"</f>
        <v>20207024801</v>
      </c>
      <c r="C1405" s="4">
        <v>48</v>
      </c>
      <c r="D1405" s="4">
        <v>1</v>
      </c>
      <c r="E1405" s="4" t="s">
        <v>46</v>
      </c>
      <c r="F1405" s="4" t="str">
        <f>"景丰娟"</f>
        <v>景丰娟</v>
      </c>
      <c r="G1405" s="4" t="str">
        <f t="shared" si="57"/>
        <v>女</v>
      </c>
      <c r="H1405" s="4" t="str">
        <f>"1997-11-05"</f>
        <v>1997-11-05</v>
      </c>
      <c r="I1405" s="4" t="s">
        <v>12</v>
      </c>
      <c r="J1405" s="5"/>
    </row>
    <row r="1406" spans="1:10">
      <c r="A1406" s="4">
        <v>1402</v>
      </c>
      <c r="B1406" s="4" t="str">
        <f>"20207024802"</f>
        <v>20207024802</v>
      </c>
      <c r="C1406" s="4">
        <v>48</v>
      </c>
      <c r="D1406" s="4">
        <v>2</v>
      </c>
      <c r="E1406" s="4" t="s">
        <v>46</v>
      </c>
      <c r="F1406" s="4" t="str">
        <f>"李道金"</f>
        <v>李道金</v>
      </c>
      <c r="G1406" s="4" t="str">
        <f>"男"</f>
        <v>男</v>
      </c>
      <c r="H1406" s="4" t="str">
        <f>"1991-10-20"</f>
        <v>1991-10-20</v>
      </c>
      <c r="I1406" s="4">
        <v>70.2</v>
      </c>
      <c r="J1406" s="5"/>
    </row>
    <row r="1407" spans="1:10">
      <c r="A1407" s="4">
        <v>1403</v>
      </c>
      <c r="B1407" s="4" t="str">
        <f>"20207024803"</f>
        <v>20207024803</v>
      </c>
      <c r="C1407" s="4">
        <v>48</v>
      </c>
      <c r="D1407" s="4">
        <v>3</v>
      </c>
      <c r="E1407" s="4" t="s">
        <v>46</v>
      </c>
      <c r="F1407" s="4" t="str">
        <f>"崔江"</f>
        <v>崔江</v>
      </c>
      <c r="G1407" s="4" t="str">
        <f t="shared" ref="G1407:G1470" si="58">"女"</f>
        <v>女</v>
      </c>
      <c r="H1407" s="4" t="str">
        <f>"1996-08-28"</f>
        <v>1996-08-28</v>
      </c>
      <c r="I1407" s="4">
        <v>72.2</v>
      </c>
      <c r="J1407" s="5"/>
    </row>
    <row r="1408" spans="1:10">
      <c r="A1408" s="4">
        <v>1404</v>
      </c>
      <c r="B1408" s="4" t="str">
        <f>"20207024804"</f>
        <v>20207024804</v>
      </c>
      <c r="C1408" s="4">
        <v>48</v>
      </c>
      <c r="D1408" s="4">
        <v>4</v>
      </c>
      <c r="E1408" s="4" t="s">
        <v>46</v>
      </c>
      <c r="F1408" s="4" t="str">
        <f>"涂玺"</f>
        <v>涂玺</v>
      </c>
      <c r="G1408" s="4" t="str">
        <f t="shared" si="58"/>
        <v>女</v>
      </c>
      <c r="H1408" s="4" t="str">
        <f>"1991-04-26"</f>
        <v>1991-04-26</v>
      </c>
      <c r="I1408" s="4">
        <v>74.6</v>
      </c>
      <c r="J1408" s="5"/>
    </row>
    <row r="1409" spans="1:10">
      <c r="A1409" s="4">
        <v>1405</v>
      </c>
      <c r="B1409" s="4" t="str">
        <f>"20207024805"</f>
        <v>20207024805</v>
      </c>
      <c r="C1409" s="4">
        <v>48</v>
      </c>
      <c r="D1409" s="4">
        <v>5</v>
      </c>
      <c r="E1409" s="4" t="s">
        <v>46</v>
      </c>
      <c r="F1409" s="4" t="str">
        <f>"李珂"</f>
        <v>李珂</v>
      </c>
      <c r="G1409" s="4" t="str">
        <f t="shared" si="58"/>
        <v>女</v>
      </c>
      <c r="H1409" s="4" t="str">
        <f>"1998-10-20"</f>
        <v>1998-10-20</v>
      </c>
      <c r="I1409" s="4" t="s">
        <v>12</v>
      </c>
      <c r="J1409" s="5"/>
    </row>
    <row r="1410" spans="1:10">
      <c r="A1410" s="4">
        <v>1406</v>
      </c>
      <c r="B1410" s="4" t="str">
        <f>"20207024806"</f>
        <v>20207024806</v>
      </c>
      <c r="C1410" s="4">
        <v>48</v>
      </c>
      <c r="D1410" s="4">
        <v>6</v>
      </c>
      <c r="E1410" s="4" t="s">
        <v>46</v>
      </c>
      <c r="F1410" s="4" t="str">
        <f>"吕园园"</f>
        <v>吕园园</v>
      </c>
      <c r="G1410" s="4" t="str">
        <f t="shared" si="58"/>
        <v>女</v>
      </c>
      <c r="H1410" s="4" t="str">
        <f>"1997-09-12"</f>
        <v>1997-09-12</v>
      </c>
      <c r="I1410" s="4">
        <v>66.8</v>
      </c>
      <c r="J1410" s="5"/>
    </row>
    <row r="1411" spans="1:10">
      <c r="A1411" s="4">
        <v>1407</v>
      </c>
      <c r="B1411" s="4" t="str">
        <f>"20207024807"</f>
        <v>20207024807</v>
      </c>
      <c r="C1411" s="4">
        <v>48</v>
      </c>
      <c r="D1411" s="4">
        <v>7</v>
      </c>
      <c r="E1411" s="4" t="s">
        <v>46</v>
      </c>
      <c r="F1411" s="4" t="str">
        <f>"万文琪"</f>
        <v>万文琪</v>
      </c>
      <c r="G1411" s="4" t="str">
        <f t="shared" si="58"/>
        <v>女</v>
      </c>
      <c r="H1411" s="4" t="str">
        <f>"1995-12-10"</f>
        <v>1995-12-10</v>
      </c>
      <c r="I1411" s="4">
        <v>64.8</v>
      </c>
      <c r="J1411" s="5"/>
    </row>
    <row r="1412" spans="1:10">
      <c r="A1412" s="4">
        <v>1408</v>
      </c>
      <c r="B1412" s="4" t="str">
        <f>"20207024808"</f>
        <v>20207024808</v>
      </c>
      <c r="C1412" s="4">
        <v>48</v>
      </c>
      <c r="D1412" s="4">
        <v>8</v>
      </c>
      <c r="E1412" s="4" t="s">
        <v>46</v>
      </c>
      <c r="F1412" s="4" t="str">
        <f>"梁丹"</f>
        <v>梁丹</v>
      </c>
      <c r="G1412" s="4" t="str">
        <f t="shared" si="58"/>
        <v>女</v>
      </c>
      <c r="H1412" s="4" t="str">
        <f>"1991-09-10"</f>
        <v>1991-09-10</v>
      </c>
      <c r="I1412" s="4" t="s">
        <v>12</v>
      </c>
      <c r="J1412" s="5"/>
    </row>
    <row r="1413" spans="1:10">
      <c r="A1413" s="4">
        <v>1409</v>
      </c>
      <c r="B1413" s="4" t="str">
        <f>"20207024809"</f>
        <v>20207024809</v>
      </c>
      <c r="C1413" s="4">
        <v>48</v>
      </c>
      <c r="D1413" s="4">
        <v>9</v>
      </c>
      <c r="E1413" s="4" t="s">
        <v>46</v>
      </c>
      <c r="F1413" s="4" t="str">
        <f>"管俊方"</f>
        <v>管俊方</v>
      </c>
      <c r="G1413" s="4" t="str">
        <f t="shared" si="58"/>
        <v>女</v>
      </c>
      <c r="H1413" s="4" t="str">
        <f>"1995-07-25"</f>
        <v>1995-07-25</v>
      </c>
      <c r="I1413" s="4">
        <v>67.5</v>
      </c>
      <c r="J1413" s="5"/>
    </row>
    <row r="1414" spans="1:10">
      <c r="A1414" s="4">
        <v>1410</v>
      </c>
      <c r="B1414" s="4" t="str">
        <f>"20207024810"</f>
        <v>20207024810</v>
      </c>
      <c r="C1414" s="4">
        <v>48</v>
      </c>
      <c r="D1414" s="4">
        <v>10</v>
      </c>
      <c r="E1414" s="4" t="s">
        <v>46</v>
      </c>
      <c r="F1414" s="4" t="str">
        <f>"徐鹏英"</f>
        <v>徐鹏英</v>
      </c>
      <c r="G1414" s="4" t="str">
        <f t="shared" si="58"/>
        <v>女</v>
      </c>
      <c r="H1414" s="4" t="str">
        <f>"1998-03-14"</f>
        <v>1998-03-14</v>
      </c>
      <c r="I1414" s="4">
        <v>79.9</v>
      </c>
      <c r="J1414" s="5"/>
    </row>
    <row r="1415" spans="1:10">
      <c r="A1415" s="4">
        <v>1411</v>
      </c>
      <c r="B1415" s="4" t="str">
        <f>"20207024811"</f>
        <v>20207024811</v>
      </c>
      <c r="C1415" s="4">
        <v>48</v>
      </c>
      <c r="D1415" s="4">
        <v>11</v>
      </c>
      <c r="E1415" s="4" t="s">
        <v>46</v>
      </c>
      <c r="F1415" s="4" t="str">
        <f>"杨丽媛"</f>
        <v>杨丽媛</v>
      </c>
      <c r="G1415" s="4" t="str">
        <f t="shared" si="58"/>
        <v>女</v>
      </c>
      <c r="H1415" s="4" t="str">
        <f>"1995-08-16"</f>
        <v>1995-08-16</v>
      </c>
      <c r="I1415" s="4">
        <v>68.5</v>
      </c>
      <c r="J1415" s="5"/>
    </row>
    <row r="1416" spans="1:10">
      <c r="A1416" s="4">
        <v>1412</v>
      </c>
      <c r="B1416" s="4" t="str">
        <f>"20207024812"</f>
        <v>20207024812</v>
      </c>
      <c r="C1416" s="4">
        <v>48</v>
      </c>
      <c r="D1416" s="4">
        <v>12</v>
      </c>
      <c r="E1416" s="4" t="s">
        <v>46</v>
      </c>
      <c r="F1416" s="4" t="str">
        <f>"赵梦瑶"</f>
        <v>赵梦瑶</v>
      </c>
      <c r="G1416" s="4" t="str">
        <f t="shared" si="58"/>
        <v>女</v>
      </c>
      <c r="H1416" s="4" t="str">
        <f>"1996-05-20"</f>
        <v>1996-05-20</v>
      </c>
      <c r="I1416" s="4">
        <v>61.4</v>
      </c>
      <c r="J1416" s="5"/>
    </row>
    <row r="1417" spans="1:10">
      <c r="A1417" s="4">
        <v>1413</v>
      </c>
      <c r="B1417" s="4" t="str">
        <f>"20207024813"</f>
        <v>20207024813</v>
      </c>
      <c r="C1417" s="4">
        <v>48</v>
      </c>
      <c r="D1417" s="4">
        <v>13</v>
      </c>
      <c r="E1417" s="4" t="s">
        <v>46</v>
      </c>
      <c r="F1417" s="4" t="str">
        <f>"耿冬洋"</f>
        <v>耿冬洋</v>
      </c>
      <c r="G1417" s="4" t="str">
        <f t="shared" si="58"/>
        <v>女</v>
      </c>
      <c r="H1417" s="4" t="str">
        <f>"1991-12-14"</f>
        <v>1991-12-14</v>
      </c>
      <c r="I1417" s="4" t="s">
        <v>12</v>
      </c>
      <c r="J1417" s="5"/>
    </row>
    <row r="1418" spans="1:10">
      <c r="A1418" s="4">
        <v>1414</v>
      </c>
      <c r="B1418" s="4" t="str">
        <f>"20207024814"</f>
        <v>20207024814</v>
      </c>
      <c r="C1418" s="4">
        <v>48</v>
      </c>
      <c r="D1418" s="4">
        <v>14</v>
      </c>
      <c r="E1418" s="4" t="s">
        <v>46</v>
      </c>
      <c r="F1418" s="4" t="str">
        <f>"金华"</f>
        <v>金华</v>
      </c>
      <c r="G1418" s="4" t="str">
        <f t="shared" si="58"/>
        <v>女</v>
      </c>
      <c r="H1418" s="4" t="str">
        <f>"1994-10-15"</f>
        <v>1994-10-15</v>
      </c>
      <c r="I1418" s="4">
        <v>75.6</v>
      </c>
      <c r="J1418" s="5"/>
    </row>
    <row r="1419" spans="1:10">
      <c r="A1419" s="4">
        <v>1415</v>
      </c>
      <c r="B1419" s="4" t="str">
        <f>"20207024815"</f>
        <v>20207024815</v>
      </c>
      <c r="C1419" s="4">
        <v>48</v>
      </c>
      <c r="D1419" s="4">
        <v>15</v>
      </c>
      <c r="E1419" s="4" t="s">
        <v>46</v>
      </c>
      <c r="F1419" s="4" t="str">
        <f>"安秋帆"</f>
        <v>安秋帆</v>
      </c>
      <c r="G1419" s="4" t="str">
        <f t="shared" si="58"/>
        <v>女</v>
      </c>
      <c r="H1419" s="4" t="str">
        <f>"1995-01-04"</f>
        <v>1995-01-04</v>
      </c>
      <c r="I1419" s="4">
        <v>61.8</v>
      </c>
      <c r="J1419" s="5"/>
    </row>
    <row r="1420" spans="1:10">
      <c r="A1420" s="4">
        <v>1416</v>
      </c>
      <c r="B1420" s="4" t="str">
        <f>"20207024816"</f>
        <v>20207024816</v>
      </c>
      <c r="C1420" s="4">
        <v>48</v>
      </c>
      <c r="D1420" s="4">
        <v>16</v>
      </c>
      <c r="E1420" s="4" t="s">
        <v>46</v>
      </c>
      <c r="F1420" s="4" t="str">
        <f>"王倩"</f>
        <v>王倩</v>
      </c>
      <c r="G1420" s="4" t="str">
        <f t="shared" si="58"/>
        <v>女</v>
      </c>
      <c r="H1420" s="4" t="str">
        <f>"1996-09-03"</f>
        <v>1996-09-03</v>
      </c>
      <c r="I1420" s="4">
        <v>56.1</v>
      </c>
      <c r="J1420" s="5"/>
    </row>
    <row r="1421" spans="1:10">
      <c r="A1421" s="4">
        <v>1417</v>
      </c>
      <c r="B1421" s="4" t="str">
        <f>"20207024817"</f>
        <v>20207024817</v>
      </c>
      <c r="C1421" s="4">
        <v>48</v>
      </c>
      <c r="D1421" s="4">
        <v>17</v>
      </c>
      <c r="E1421" s="4" t="s">
        <v>46</v>
      </c>
      <c r="F1421" s="4" t="str">
        <f>"郝身莹"</f>
        <v>郝身莹</v>
      </c>
      <c r="G1421" s="4" t="str">
        <f t="shared" si="58"/>
        <v>女</v>
      </c>
      <c r="H1421" s="4" t="str">
        <f>"1995-02-18"</f>
        <v>1995-02-18</v>
      </c>
      <c r="I1421" s="4">
        <v>74.5</v>
      </c>
      <c r="J1421" s="5"/>
    </row>
    <row r="1422" spans="1:10">
      <c r="A1422" s="4">
        <v>1418</v>
      </c>
      <c r="B1422" s="4" t="str">
        <f>"20207024818"</f>
        <v>20207024818</v>
      </c>
      <c r="C1422" s="4">
        <v>48</v>
      </c>
      <c r="D1422" s="4">
        <v>18</v>
      </c>
      <c r="E1422" s="4" t="s">
        <v>46</v>
      </c>
      <c r="F1422" s="4" t="str">
        <f>"崔保珠"</f>
        <v>崔保珠</v>
      </c>
      <c r="G1422" s="4" t="str">
        <f t="shared" si="58"/>
        <v>女</v>
      </c>
      <c r="H1422" s="4" t="str">
        <f>"1995-03-16"</f>
        <v>1995-03-16</v>
      </c>
      <c r="I1422" s="4">
        <v>65.1</v>
      </c>
      <c r="J1422" s="5"/>
    </row>
    <row r="1423" spans="1:10">
      <c r="A1423" s="4">
        <v>1419</v>
      </c>
      <c r="B1423" s="4" t="str">
        <f>"20207024819"</f>
        <v>20207024819</v>
      </c>
      <c r="C1423" s="4">
        <v>48</v>
      </c>
      <c r="D1423" s="4">
        <v>19</v>
      </c>
      <c r="E1423" s="4" t="s">
        <v>46</v>
      </c>
      <c r="F1423" s="4" t="str">
        <f>"董刘洋"</f>
        <v>董刘洋</v>
      </c>
      <c r="G1423" s="4" t="str">
        <f t="shared" si="58"/>
        <v>女</v>
      </c>
      <c r="H1423" s="4" t="str">
        <f>"1993-09-28"</f>
        <v>1993-09-28</v>
      </c>
      <c r="I1423" s="4">
        <v>57.4</v>
      </c>
      <c r="J1423" s="5"/>
    </row>
    <row r="1424" spans="1:10">
      <c r="A1424" s="4">
        <v>1420</v>
      </c>
      <c r="B1424" s="4" t="str">
        <f>"20207024820"</f>
        <v>20207024820</v>
      </c>
      <c r="C1424" s="4">
        <v>48</v>
      </c>
      <c r="D1424" s="4">
        <v>20</v>
      </c>
      <c r="E1424" s="4" t="s">
        <v>46</v>
      </c>
      <c r="F1424" s="4" t="str">
        <f>"刘春阁"</f>
        <v>刘春阁</v>
      </c>
      <c r="G1424" s="4" t="str">
        <f t="shared" si="58"/>
        <v>女</v>
      </c>
      <c r="H1424" s="4" t="str">
        <f>"1997-12-24"</f>
        <v>1997-12-24</v>
      </c>
      <c r="I1424" s="4">
        <v>61.1</v>
      </c>
      <c r="J1424" s="5"/>
    </row>
    <row r="1425" spans="1:10">
      <c r="A1425" s="4">
        <v>1421</v>
      </c>
      <c r="B1425" s="4" t="str">
        <f>"20207024821"</f>
        <v>20207024821</v>
      </c>
      <c r="C1425" s="4">
        <v>48</v>
      </c>
      <c r="D1425" s="4">
        <v>21</v>
      </c>
      <c r="E1425" s="4" t="s">
        <v>46</v>
      </c>
      <c r="F1425" s="4" t="str">
        <f>"周茹"</f>
        <v>周茹</v>
      </c>
      <c r="G1425" s="4" t="str">
        <f t="shared" si="58"/>
        <v>女</v>
      </c>
      <c r="H1425" s="4" t="str">
        <f>"1997-10-02"</f>
        <v>1997-10-02</v>
      </c>
      <c r="I1425" s="4">
        <v>71.2</v>
      </c>
      <c r="J1425" s="5"/>
    </row>
    <row r="1426" spans="1:10">
      <c r="A1426" s="4">
        <v>1422</v>
      </c>
      <c r="B1426" s="4" t="str">
        <f>"20207024822"</f>
        <v>20207024822</v>
      </c>
      <c r="C1426" s="4">
        <v>48</v>
      </c>
      <c r="D1426" s="4">
        <v>22</v>
      </c>
      <c r="E1426" s="4" t="s">
        <v>46</v>
      </c>
      <c r="F1426" s="4" t="str">
        <f>"刘爽"</f>
        <v>刘爽</v>
      </c>
      <c r="G1426" s="4" t="str">
        <f t="shared" si="58"/>
        <v>女</v>
      </c>
      <c r="H1426" s="4" t="str">
        <f>"1997-06-18"</f>
        <v>1997-06-18</v>
      </c>
      <c r="I1426" s="4" t="s">
        <v>12</v>
      </c>
      <c r="J1426" s="5"/>
    </row>
    <row r="1427" spans="1:10">
      <c r="A1427" s="4">
        <v>1423</v>
      </c>
      <c r="B1427" s="4" t="str">
        <f>"20207024823"</f>
        <v>20207024823</v>
      </c>
      <c r="C1427" s="4">
        <v>48</v>
      </c>
      <c r="D1427" s="4">
        <v>23</v>
      </c>
      <c r="E1427" s="4" t="s">
        <v>46</v>
      </c>
      <c r="F1427" s="4" t="str">
        <f>"邓栓"</f>
        <v>邓栓</v>
      </c>
      <c r="G1427" s="4" t="str">
        <f t="shared" si="58"/>
        <v>女</v>
      </c>
      <c r="H1427" s="4" t="str">
        <f>"1994-12-04"</f>
        <v>1994-12-04</v>
      </c>
      <c r="I1427" s="4">
        <v>74.2</v>
      </c>
      <c r="J1427" s="5"/>
    </row>
    <row r="1428" spans="1:10">
      <c r="A1428" s="4">
        <v>1424</v>
      </c>
      <c r="B1428" s="4" t="str">
        <f>"20207024824"</f>
        <v>20207024824</v>
      </c>
      <c r="C1428" s="4">
        <v>48</v>
      </c>
      <c r="D1428" s="4">
        <v>24</v>
      </c>
      <c r="E1428" s="4" t="s">
        <v>46</v>
      </c>
      <c r="F1428" s="4" t="str">
        <f>"吕华"</f>
        <v>吕华</v>
      </c>
      <c r="G1428" s="4" t="str">
        <f t="shared" si="58"/>
        <v>女</v>
      </c>
      <c r="H1428" s="4" t="str">
        <f>"1998-12-19"</f>
        <v>1998-12-19</v>
      </c>
      <c r="I1428" s="4">
        <v>49.4</v>
      </c>
      <c r="J1428" s="5"/>
    </row>
    <row r="1429" spans="1:10">
      <c r="A1429" s="4">
        <v>1425</v>
      </c>
      <c r="B1429" s="4" t="str">
        <f>"20207024825"</f>
        <v>20207024825</v>
      </c>
      <c r="C1429" s="4">
        <v>48</v>
      </c>
      <c r="D1429" s="4">
        <v>25</v>
      </c>
      <c r="E1429" s="4" t="s">
        <v>46</v>
      </c>
      <c r="F1429" s="4" t="str">
        <f>"崔聪哲"</f>
        <v>崔聪哲</v>
      </c>
      <c r="G1429" s="4" t="str">
        <f t="shared" si="58"/>
        <v>女</v>
      </c>
      <c r="H1429" s="4" t="str">
        <f>"1995-05-04"</f>
        <v>1995-05-04</v>
      </c>
      <c r="I1429" s="4">
        <v>30.5</v>
      </c>
      <c r="J1429" s="5"/>
    </row>
    <row r="1430" spans="1:10">
      <c r="A1430" s="4">
        <v>1426</v>
      </c>
      <c r="B1430" s="4" t="str">
        <f>"20207024826"</f>
        <v>20207024826</v>
      </c>
      <c r="C1430" s="4">
        <v>48</v>
      </c>
      <c r="D1430" s="4">
        <v>26</v>
      </c>
      <c r="E1430" s="4" t="s">
        <v>46</v>
      </c>
      <c r="F1430" s="4" t="str">
        <f>"黄彦"</f>
        <v>黄彦</v>
      </c>
      <c r="G1430" s="4" t="str">
        <f t="shared" si="58"/>
        <v>女</v>
      </c>
      <c r="H1430" s="4" t="str">
        <f>"1991-06-20"</f>
        <v>1991-06-20</v>
      </c>
      <c r="I1430" s="4">
        <v>66.8</v>
      </c>
      <c r="J1430" s="5"/>
    </row>
    <row r="1431" spans="1:10">
      <c r="A1431" s="4">
        <v>1427</v>
      </c>
      <c r="B1431" s="4" t="str">
        <f>"20207024827"</f>
        <v>20207024827</v>
      </c>
      <c r="C1431" s="4">
        <v>48</v>
      </c>
      <c r="D1431" s="4">
        <v>27</v>
      </c>
      <c r="E1431" s="4" t="s">
        <v>46</v>
      </c>
      <c r="F1431" s="4" t="str">
        <f>"王畑"</f>
        <v>王畑</v>
      </c>
      <c r="G1431" s="4" t="str">
        <f t="shared" si="58"/>
        <v>女</v>
      </c>
      <c r="H1431" s="4" t="str">
        <f>"1998-09-22"</f>
        <v>1998-09-22</v>
      </c>
      <c r="I1431" s="4">
        <v>84.6</v>
      </c>
      <c r="J1431" s="5"/>
    </row>
    <row r="1432" spans="1:10">
      <c r="A1432" s="4">
        <v>1428</v>
      </c>
      <c r="B1432" s="4" t="str">
        <f>"20207024828"</f>
        <v>20207024828</v>
      </c>
      <c r="C1432" s="4">
        <v>48</v>
      </c>
      <c r="D1432" s="4">
        <v>28</v>
      </c>
      <c r="E1432" s="4" t="s">
        <v>46</v>
      </c>
      <c r="F1432" s="4" t="str">
        <f>"刘潇"</f>
        <v>刘潇</v>
      </c>
      <c r="G1432" s="4" t="str">
        <f t="shared" si="58"/>
        <v>女</v>
      </c>
      <c r="H1432" s="4" t="str">
        <f>"1991-01-25"</f>
        <v>1991-01-25</v>
      </c>
      <c r="I1432" s="4">
        <v>74.8</v>
      </c>
      <c r="J1432" s="5"/>
    </row>
    <row r="1433" spans="1:10">
      <c r="A1433" s="4">
        <v>1429</v>
      </c>
      <c r="B1433" s="4" t="str">
        <f>"20207024829"</f>
        <v>20207024829</v>
      </c>
      <c r="C1433" s="4">
        <v>48</v>
      </c>
      <c r="D1433" s="4">
        <v>29</v>
      </c>
      <c r="E1433" s="4" t="s">
        <v>46</v>
      </c>
      <c r="F1433" s="4" t="str">
        <f>"芽芽班"</f>
        <v>芽芽班</v>
      </c>
      <c r="G1433" s="4" t="str">
        <f t="shared" si="58"/>
        <v>女</v>
      </c>
      <c r="H1433" s="4" t="str">
        <f>"1995-04-16"</f>
        <v>1995-04-16</v>
      </c>
      <c r="I1433" s="4" t="s">
        <v>12</v>
      </c>
      <c r="J1433" s="5"/>
    </row>
    <row r="1434" spans="1:10">
      <c r="A1434" s="4">
        <v>1430</v>
      </c>
      <c r="B1434" s="4" t="str">
        <f>"20207024830"</f>
        <v>20207024830</v>
      </c>
      <c r="C1434" s="4">
        <v>48</v>
      </c>
      <c r="D1434" s="4">
        <v>30</v>
      </c>
      <c r="E1434" s="4" t="s">
        <v>46</v>
      </c>
      <c r="F1434" s="4" t="str">
        <f>"刘金转"</f>
        <v>刘金转</v>
      </c>
      <c r="G1434" s="4" t="str">
        <f t="shared" si="58"/>
        <v>女</v>
      </c>
      <c r="H1434" s="4" t="str">
        <f>"1998-02-01"</f>
        <v>1998-02-01</v>
      </c>
      <c r="I1434" s="4">
        <v>71.9</v>
      </c>
      <c r="J1434" s="5"/>
    </row>
    <row r="1435" spans="1:10">
      <c r="A1435" s="4">
        <v>1431</v>
      </c>
      <c r="B1435" s="4" t="str">
        <f>"20207024901"</f>
        <v>20207024901</v>
      </c>
      <c r="C1435" s="4">
        <v>49</v>
      </c>
      <c r="D1435" s="4">
        <v>1</v>
      </c>
      <c r="E1435" s="4" t="s">
        <v>46</v>
      </c>
      <c r="F1435" s="4" t="str">
        <f>"管雅婷"</f>
        <v>管雅婷</v>
      </c>
      <c r="G1435" s="4" t="str">
        <f t="shared" si="58"/>
        <v>女</v>
      </c>
      <c r="H1435" s="4" t="str">
        <f>"1998-03-08"</f>
        <v>1998-03-08</v>
      </c>
      <c r="I1435" s="4">
        <v>65.8</v>
      </c>
      <c r="J1435" s="5"/>
    </row>
    <row r="1436" spans="1:10">
      <c r="A1436" s="4">
        <v>1432</v>
      </c>
      <c r="B1436" s="4" t="str">
        <f>"20207024902"</f>
        <v>20207024902</v>
      </c>
      <c r="C1436" s="4">
        <v>49</v>
      </c>
      <c r="D1436" s="4">
        <v>2</v>
      </c>
      <c r="E1436" s="4" t="s">
        <v>46</v>
      </c>
      <c r="F1436" s="4" t="str">
        <f>"陈高洁"</f>
        <v>陈高洁</v>
      </c>
      <c r="G1436" s="4" t="str">
        <f t="shared" si="58"/>
        <v>女</v>
      </c>
      <c r="H1436" s="4" t="str">
        <f>"1991-12-26"</f>
        <v>1991-12-26</v>
      </c>
      <c r="I1436" s="4">
        <v>74.6</v>
      </c>
      <c r="J1436" s="5"/>
    </row>
    <row r="1437" spans="1:10">
      <c r="A1437" s="4">
        <v>1433</v>
      </c>
      <c r="B1437" s="4" t="str">
        <f>"20207024903"</f>
        <v>20207024903</v>
      </c>
      <c r="C1437" s="4">
        <v>49</v>
      </c>
      <c r="D1437" s="4">
        <v>3</v>
      </c>
      <c r="E1437" s="4" t="s">
        <v>46</v>
      </c>
      <c r="F1437" s="4" t="str">
        <f>"毕万真"</f>
        <v>毕万真</v>
      </c>
      <c r="G1437" s="4" t="str">
        <f t="shared" si="58"/>
        <v>女</v>
      </c>
      <c r="H1437" s="4" t="str">
        <f>"1994-02-27"</f>
        <v>1994-02-27</v>
      </c>
      <c r="I1437" s="4">
        <v>65.2</v>
      </c>
      <c r="J1437" s="5"/>
    </row>
    <row r="1438" spans="1:10">
      <c r="A1438" s="4">
        <v>1434</v>
      </c>
      <c r="B1438" s="4" t="str">
        <f>"20207024904"</f>
        <v>20207024904</v>
      </c>
      <c r="C1438" s="4">
        <v>49</v>
      </c>
      <c r="D1438" s="4">
        <v>4</v>
      </c>
      <c r="E1438" s="4" t="s">
        <v>46</v>
      </c>
      <c r="F1438" s="4" t="str">
        <f>"张雪颖"</f>
        <v>张雪颖</v>
      </c>
      <c r="G1438" s="4" t="str">
        <f t="shared" si="58"/>
        <v>女</v>
      </c>
      <c r="H1438" s="4" t="str">
        <f>"1996-05-09"</f>
        <v>1996-05-09</v>
      </c>
      <c r="I1438" s="4">
        <v>73.2</v>
      </c>
      <c r="J1438" s="5"/>
    </row>
    <row r="1439" spans="1:10">
      <c r="A1439" s="4">
        <v>1435</v>
      </c>
      <c r="B1439" s="4" t="str">
        <f>"20207024905"</f>
        <v>20207024905</v>
      </c>
      <c r="C1439" s="4">
        <v>49</v>
      </c>
      <c r="D1439" s="4">
        <v>5</v>
      </c>
      <c r="E1439" s="4" t="s">
        <v>46</v>
      </c>
      <c r="F1439" s="4" t="str">
        <f>"井嵛"</f>
        <v>井嵛</v>
      </c>
      <c r="G1439" s="4" t="str">
        <f t="shared" si="58"/>
        <v>女</v>
      </c>
      <c r="H1439" s="4" t="str">
        <f>"1998-01-08"</f>
        <v>1998-01-08</v>
      </c>
      <c r="I1439" s="4">
        <v>66.1</v>
      </c>
      <c r="J1439" s="5"/>
    </row>
    <row r="1440" spans="1:10">
      <c r="A1440" s="4">
        <v>1436</v>
      </c>
      <c r="B1440" s="4" t="str">
        <f>"20207024906"</f>
        <v>20207024906</v>
      </c>
      <c r="C1440" s="4">
        <v>49</v>
      </c>
      <c r="D1440" s="4">
        <v>6</v>
      </c>
      <c r="E1440" s="4" t="s">
        <v>46</v>
      </c>
      <c r="F1440" s="4" t="str">
        <f>"孙艺芳"</f>
        <v>孙艺芳</v>
      </c>
      <c r="G1440" s="4" t="str">
        <f t="shared" si="58"/>
        <v>女</v>
      </c>
      <c r="H1440" s="4" t="str">
        <f>"1995-02-27"</f>
        <v>1995-02-27</v>
      </c>
      <c r="I1440" s="4">
        <v>69.4</v>
      </c>
      <c r="J1440" s="5"/>
    </row>
    <row r="1441" spans="1:10">
      <c r="A1441" s="4">
        <v>1437</v>
      </c>
      <c r="B1441" s="4" t="str">
        <f>"20207024907"</f>
        <v>20207024907</v>
      </c>
      <c r="C1441" s="4">
        <v>49</v>
      </c>
      <c r="D1441" s="4">
        <v>7</v>
      </c>
      <c r="E1441" s="4" t="s">
        <v>46</v>
      </c>
      <c r="F1441" s="4" t="str">
        <f>"宋贝贝"</f>
        <v>宋贝贝</v>
      </c>
      <c r="G1441" s="4" t="str">
        <f t="shared" si="58"/>
        <v>女</v>
      </c>
      <c r="H1441" s="4" t="str">
        <f>"1994-12-01"</f>
        <v>1994-12-01</v>
      </c>
      <c r="I1441" s="4">
        <v>70.2</v>
      </c>
      <c r="J1441" s="5"/>
    </row>
    <row r="1442" spans="1:10">
      <c r="A1442" s="4">
        <v>1438</v>
      </c>
      <c r="B1442" s="4" t="str">
        <f>"20207024908"</f>
        <v>20207024908</v>
      </c>
      <c r="C1442" s="4">
        <v>49</v>
      </c>
      <c r="D1442" s="4">
        <v>8</v>
      </c>
      <c r="E1442" s="4" t="s">
        <v>46</v>
      </c>
      <c r="F1442" s="4" t="str">
        <f>"王晓杰"</f>
        <v>王晓杰</v>
      </c>
      <c r="G1442" s="4" t="str">
        <f t="shared" si="58"/>
        <v>女</v>
      </c>
      <c r="H1442" s="4" t="str">
        <f>"1994-01-19"</f>
        <v>1994-01-19</v>
      </c>
      <c r="I1442" s="4">
        <v>79.9</v>
      </c>
      <c r="J1442" s="5"/>
    </row>
    <row r="1443" spans="1:10">
      <c r="A1443" s="4">
        <v>1439</v>
      </c>
      <c r="B1443" s="4" t="str">
        <f>"20207024909"</f>
        <v>20207024909</v>
      </c>
      <c r="C1443" s="4">
        <v>49</v>
      </c>
      <c r="D1443" s="4">
        <v>9</v>
      </c>
      <c r="E1443" s="4" t="s">
        <v>46</v>
      </c>
      <c r="F1443" s="4" t="str">
        <f>"杜静"</f>
        <v>杜静</v>
      </c>
      <c r="G1443" s="4" t="str">
        <f t="shared" si="58"/>
        <v>女</v>
      </c>
      <c r="H1443" s="4" t="str">
        <f>"1995-06-04"</f>
        <v>1995-06-04</v>
      </c>
      <c r="I1443" s="4" t="s">
        <v>12</v>
      </c>
      <c r="J1443" s="5"/>
    </row>
    <row r="1444" spans="1:10">
      <c r="A1444" s="4">
        <v>1440</v>
      </c>
      <c r="B1444" s="4" t="str">
        <f>"20207024910"</f>
        <v>20207024910</v>
      </c>
      <c r="C1444" s="4">
        <v>49</v>
      </c>
      <c r="D1444" s="4">
        <v>10</v>
      </c>
      <c r="E1444" s="4" t="s">
        <v>46</v>
      </c>
      <c r="F1444" s="4" t="str">
        <f>"王付双"</f>
        <v>王付双</v>
      </c>
      <c r="G1444" s="4" t="str">
        <f t="shared" si="58"/>
        <v>女</v>
      </c>
      <c r="H1444" s="4" t="str">
        <f>"1994-10-02"</f>
        <v>1994-10-02</v>
      </c>
      <c r="I1444" s="4">
        <v>71.2</v>
      </c>
      <c r="J1444" s="5"/>
    </row>
    <row r="1445" spans="1:10">
      <c r="A1445" s="4">
        <v>1441</v>
      </c>
      <c r="B1445" s="4" t="str">
        <f>"20207024911"</f>
        <v>20207024911</v>
      </c>
      <c r="C1445" s="4">
        <v>49</v>
      </c>
      <c r="D1445" s="4">
        <v>11</v>
      </c>
      <c r="E1445" s="4" t="s">
        <v>46</v>
      </c>
      <c r="F1445" s="4" t="str">
        <f>"王雪珂"</f>
        <v>王雪珂</v>
      </c>
      <c r="G1445" s="4" t="str">
        <f t="shared" si="58"/>
        <v>女</v>
      </c>
      <c r="H1445" s="4" t="str">
        <f>"2000-08-01"</f>
        <v>2000-08-01</v>
      </c>
      <c r="I1445" s="4">
        <v>65.4</v>
      </c>
      <c r="J1445" s="5"/>
    </row>
    <row r="1446" spans="1:10">
      <c r="A1446" s="4">
        <v>1442</v>
      </c>
      <c r="B1446" s="4" t="str">
        <f>"20207024912"</f>
        <v>20207024912</v>
      </c>
      <c r="C1446" s="4">
        <v>49</v>
      </c>
      <c r="D1446" s="4">
        <v>12</v>
      </c>
      <c r="E1446" s="4" t="s">
        <v>46</v>
      </c>
      <c r="F1446" s="4" t="str">
        <f>"刘爽"</f>
        <v>刘爽</v>
      </c>
      <c r="G1446" s="4" t="str">
        <f t="shared" si="58"/>
        <v>女</v>
      </c>
      <c r="H1446" s="4" t="str">
        <f>"1996-10-07"</f>
        <v>1996-10-07</v>
      </c>
      <c r="I1446" s="4">
        <v>66.8</v>
      </c>
      <c r="J1446" s="5"/>
    </row>
    <row r="1447" spans="1:10">
      <c r="A1447" s="4">
        <v>1443</v>
      </c>
      <c r="B1447" s="4" t="str">
        <f>"20207024913"</f>
        <v>20207024913</v>
      </c>
      <c r="C1447" s="4">
        <v>49</v>
      </c>
      <c r="D1447" s="4">
        <v>13</v>
      </c>
      <c r="E1447" s="4" t="s">
        <v>46</v>
      </c>
      <c r="F1447" s="4" t="str">
        <f>"胡国静"</f>
        <v>胡国静</v>
      </c>
      <c r="G1447" s="4" t="str">
        <f t="shared" si="58"/>
        <v>女</v>
      </c>
      <c r="H1447" s="4" t="str">
        <f>"1994-10-12"</f>
        <v>1994-10-12</v>
      </c>
      <c r="I1447" s="4" t="s">
        <v>12</v>
      </c>
      <c r="J1447" s="5"/>
    </row>
    <row r="1448" spans="1:10">
      <c r="A1448" s="4">
        <v>1444</v>
      </c>
      <c r="B1448" s="4" t="str">
        <f>"20207024914"</f>
        <v>20207024914</v>
      </c>
      <c r="C1448" s="4">
        <v>49</v>
      </c>
      <c r="D1448" s="4">
        <v>14</v>
      </c>
      <c r="E1448" s="4" t="s">
        <v>46</v>
      </c>
      <c r="F1448" s="4" t="str">
        <f>"王凯文"</f>
        <v>王凯文</v>
      </c>
      <c r="G1448" s="4" t="str">
        <f t="shared" si="58"/>
        <v>女</v>
      </c>
      <c r="H1448" s="4" t="str">
        <f>"2000-03-25"</f>
        <v>2000-03-25</v>
      </c>
      <c r="I1448" s="4">
        <v>59.8</v>
      </c>
      <c r="J1448" s="5"/>
    </row>
    <row r="1449" spans="1:10">
      <c r="A1449" s="4">
        <v>1445</v>
      </c>
      <c r="B1449" s="4" t="str">
        <f>"20207024915"</f>
        <v>20207024915</v>
      </c>
      <c r="C1449" s="4">
        <v>49</v>
      </c>
      <c r="D1449" s="4">
        <v>15</v>
      </c>
      <c r="E1449" s="4" t="s">
        <v>46</v>
      </c>
      <c r="F1449" s="4" t="str">
        <f>"陈尊"</f>
        <v>陈尊</v>
      </c>
      <c r="G1449" s="4" t="str">
        <f t="shared" si="58"/>
        <v>女</v>
      </c>
      <c r="H1449" s="4" t="str">
        <f>"1997-05-06"</f>
        <v>1997-05-06</v>
      </c>
      <c r="I1449" s="4">
        <v>75.2</v>
      </c>
      <c r="J1449" s="5"/>
    </row>
    <row r="1450" spans="1:10">
      <c r="A1450" s="4">
        <v>1446</v>
      </c>
      <c r="B1450" s="4" t="str">
        <f>"20207024916"</f>
        <v>20207024916</v>
      </c>
      <c r="C1450" s="4">
        <v>49</v>
      </c>
      <c r="D1450" s="4">
        <v>16</v>
      </c>
      <c r="E1450" s="4" t="s">
        <v>46</v>
      </c>
      <c r="F1450" s="4" t="str">
        <f>"肖玉静"</f>
        <v>肖玉静</v>
      </c>
      <c r="G1450" s="4" t="str">
        <f t="shared" si="58"/>
        <v>女</v>
      </c>
      <c r="H1450" s="4" t="str">
        <f>"1991-08-18"</f>
        <v>1991-08-18</v>
      </c>
      <c r="I1450" s="4">
        <v>64.2</v>
      </c>
      <c r="J1450" s="5"/>
    </row>
    <row r="1451" spans="1:10">
      <c r="A1451" s="4">
        <v>1447</v>
      </c>
      <c r="B1451" s="4" t="str">
        <f>"20207024917"</f>
        <v>20207024917</v>
      </c>
      <c r="C1451" s="4">
        <v>49</v>
      </c>
      <c r="D1451" s="4">
        <v>17</v>
      </c>
      <c r="E1451" s="4" t="s">
        <v>46</v>
      </c>
      <c r="F1451" s="4" t="str">
        <f>"孟梅"</f>
        <v>孟梅</v>
      </c>
      <c r="G1451" s="4" t="str">
        <f t="shared" si="58"/>
        <v>女</v>
      </c>
      <c r="H1451" s="4" t="str">
        <f>"1992-12-10"</f>
        <v>1992-12-10</v>
      </c>
      <c r="I1451" s="4">
        <v>71.8</v>
      </c>
      <c r="J1451" s="5"/>
    </row>
    <row r="1452" spans="1:10">
      <c r="A1452" s="4">
        <v>1448</v>
      </c>
      <c r="B1452" s="4" t="str">
        <f>"20207024918"</f>
        <v>20207024918</v>
      </c>
      <c r="C1452" s="4">
        <v>49</v>
      </c>
      <c r="D1452" s="4">
        <v>18</v>
      </c>
      <c r="E1452" s="4" t="s">
        <v>46</v>
      </c>
      <c r="F1452" s="4" t="str">
        <f>"王停停"</f>
        <v>王停停</v>
      </c>
      <c r="G1452" s="4" t="str">
        <f t="shared" si="58"/>
        <v>女</v>
      </c>
      <c r="H1452" s="4" t="str">
        <f>"1990-05-24"</f>
        <v>1990-05-24</v>
      </c>
      <c r="I1452" s="4">
        <v>79.9</v>
      </c>
      <c r="J1452" s="5"/>
    </row>
    <row r="1453" spans="1:10">
      <c r="A1453" s="4">
        <v>1449</v>
      </c>
      <c r="B1453" s="4" t="str">
        <f>"20207024919"</f>
        <v>20207024919</v>
      </c>
      <c r="C1453" s="4">
        <v>49</v>
      </c>
      <c r="D1453" s="4">
        <v>19</v>
      </c>
      <c r="E1453" s="4" t="s">
        <v>46</v>
      </c>
      <c r="F1453" s="4" t="str">
        <f>"吴铎"</f>
        <v>吴铎</v>
      </c>
      <c r="G1453" s="4" t="str">
        <f t="shared" si="58"/>
        <v>女</v>
      </c>
      <c r="H1453" s="4" t="str">
        <f>"1998-04-06"</f>
        <v>1998-04-06</v>
      </c>
      <c r="I1453" s="4">
        <v>60.1</v>
      </c>
      <c r="J1453" s="5"/>
    </row>
    <row r="1454" spans="1:10">
      <c r="A1454" s="4">
        <v>1450</v>
      </c>
      <c r="B1454" s="4" t="str">
        <f>"20207024920"</f>
        <v>20207024920</v>
      </c>
      <c r="C1454" s="4">
        <v>49</v>
      </c>
      <c r="D1454" s="4">
        <v>20</v>
      </c>
      <c r="E1454" s="4" t="s">
        <v>46</v>
      </c>
      <c r="F1454" s="4" t="str">
        <f>"程婉"</f>
        <v>程婉</v>
      </c>
      <c r="G1454" s="4" t="str">
        <f t="shared" si="58"/>
        <v>女</v>
      </c>
      <c r="H1454" s="4" t="str">
        <f>"1996-12-04"</f>
        <v>1996-12-04</v>
      </c>
      <c r="I1454" s="4" t="s">
        <v>12</v>
      </c>
      <c r="J1454" s="5"/>
    </row>
    <row r="1455" spans="1:10">
      <c r="A1455" s="4">
        <v>1451</v>
      </c>
      <c r="B1455" s="4" t="str">
        <f>"20207024921"</f>
        <v>20207024921</v>
      </c>
      <c r="C1455" s="4">
        <v>49</v>
      </c>
      <c r="D1455" s="4">
        <v>21</v>
      </c>
      <c r="E1455" s="4" t="s">
        <v>46</v>
      </c>
      <c r="F1455" s="4" t="str">
        <f>"于海游"</f>
        <v>于海游</v>
      </c>
      <c r="G1455" s="4" t="str">
        <f t="shared" si="58"/>
        <v>女</v>
      </c>
      <c r="H1455" s="4" t="str">
        <f>"1999-03-07"</f>
        <v>1999-03-07</v>
      </c>
      <c r="I1455" s="4">
        <v>49</v>
      </c>
      <c r="J1455" s="5"/>
    </row>
    <row r="1456" spans="1:10">
      <c r="A1456" s="4">
        <v>1452</v>
      </c>
      <c r="B1456" s="4" t="str">
        <f>"20207024922"</f>
        <v>20207024922</v>
      </c>
      <c r="C1456" s="4">
        <v>49</v>
      </c>
      <c r="D1456" s="4">
        <v>22</v>
      </c>
      <c r="E1456" s="4" t="s">
        <v>46</v>
      </c>
      <c r="F1456" s="4" t="str">
        <f>"常露露"</f>
        <v>常露露</v>
      </c>
      <c r="G1456" s="4" t="str">
        <f t="shared" si="58"/>
        <v>女</v>
      </c>
      <c r="H1456" s="4" t="str">
        <f>"1990-08-27"</f>
        <v>1990-08-27</v>
      </c>
      <c r="I1456" s="4">
        <v>71.8</v>
      </c>
      <c r="J1456" s="5"/>
    </row>
    <row r="1457" spans="1:10">
      <c r="A1457" s="4">
        <v>1453</v>
      </c>
      <c r="B1457" s="4" t="str">
        <f>"20207024923"</f>
        <v>20207024923</v>
      </c>
      <c r="C1457" s="4">
        <v>49</v>
      </c>
      <c r="D1457" s="4">
        <v>23</v>
      </c>
      <c r="E1457" s="4" t="s">
        <v>46</v>
      </c>
      <c r="F1457" s="4" t="str">
        <f>"聂士英"</f>
        <v>聂士英</v>
      </c>
      <c r="G1457" s="4" t="str">
        <f t="shared" si="58"/>
        <v>女</v>
      </c>
      <c r="H1457" s="4" t="str">
        <f>"1995-09-09"</f>
        <v>1995-09-09</v>
      </c>
      <c r="I1457" s="4">
        <v>57.4</v>
      </c>
      <c r="J1457" s="5"/>
    </row>
    <row r="1458" spans="1:10">
      <c r="A1458" s="4">
        <v>1454</v>
      </c>
      <c r="B1458" s="4" t="str">
        <f>"20207024924"</f>
        <v>20207024924</v>
      </c>
      <c r="C1458" s="4">
        <v>49</v>
      </c>
      <c r="D1458" s="4">
        <v>24</v>
      </c>
      <c r="E1458" s="4" t="s">
        <v>46</v>
      </c>
      <c r="F1458" s="4" t="str">
        <f>" 薛怡萱"</f>
        <v> 薛怡萱</v>
      </c>
      <c r="G1458" s="4" t="str">
        <f t="shared" si="58"/>
        <v>女</v>
      </c>
      <c r="H1458" s="4" t="str">
        <f>"1992-10-15"</f>
        <v>1992-10-15</v>
      </c>
      <c r="I1458" s="4">
        <v>62.1</v>
      </c>
      <c r="J1458" s="5"/>
    </row>
    <row r="1459" spans="1:10">
      <c r="A1459" s="4">
        <v>1455</v>
      </c>
      <c r="B1459" s="4" t="str">
        <f>"20207024925"</f>
        <v>20207024925</v>
      </c>
      <c r="C1459" s="4">
        <v>49</v>
      </c>
      <c r="D1459" s="4">
        <v>25</v>
      </c>
      <c r="E1459" s="4" t="s">
        <v>46</v>
      </c>
      <c r="F1459" s="4" t="str">
        <f>"赵雨心"</f>
        <v>赵雨心</v>
      </c>
      <c r="G1459" s="4" t="str">
        <f t="shared" si="58"/>
        <v>女</v>
      </c>
      <c r="H1459" s="4" t="str">
        <f>"1998-05-26"</f>
        <v>1998-05-26</v>
      </c>
      <c r="I1459" s="4">
        <v>62</v>
      </c>
      <c r="J1459" s="5"/>
    </row>
    <row r="1460" spans="1:10">
      <c r="A1460" s="4">
        <v>1456</v>
      </c>
      <c r="B1460" s="4" t="str">
        <f>"20207024926"</f>
        <v>20207024926</v>
      </c>
      <c r="C1460" s="4">
        <v>49</v>
      </c>
      <c r="D1460" s="4">
        <v>26</v>
      </c>
      <c r="E1460" s="4" t="s">
        <v>46</v>
      </c>
      <c r="F1460" s="4" t="str">
        <f>"杨柳"</f>
        <v>杨柳</v>
      </c>
      <c r="G1460" s="4" t="str">
        <f t="shared" si="58"/>
        <v>女</v>
      </c>
      <c r="H1460" s="4" t="str">
        <f>"1994-10-02"</f>
        <v>1994-10-02</v>
      </c>
      <c r="I1460" s="4" t="s">
        <v>12</v>
      </c>
      <c r="J1460" s="5"/>
    </row>
    <row r="1461" spans="1:10">
      <c r="A1461" s="4">
        <v>1457</v>
      </c>
      <c r="B1461" s="4" t="str">
        <f>"20207024927"</f>
        <v>20207024927</v>
      </c>
      <c r="C1461" s="4">
        <v>49</v>
      </c>
      <c r="D1461" s="4">
        <v>27</v>
      </c>
      <c r="E1461" s="4" t="s">
        <v>46</v>
      </c>
      <c r="F1461" s="4" t="str">
        <f>"李俊兰"</f>
        <v>李俊兰</v>
      </c>
      <c r="G1461" s="4" t="str">
        <f t="shared" si="58"/>
        <v>女</v>
      </c>
      <c r="H1461" s="4" t="str">
        <f>"1990-03-01"</f>
        <v>1990-03-01</v>
      </c>
      <c r="I1461" s="4">
        <v>63.8</v>
      </c>
      <c r="J1461" s="5"/>
    </row>
    <row r="1462" spans="1:10">
      <c r="A1462" s="4">
        <v>1458</v>
      </c>
      <c r="B1462" s="4" t="str">
        <f>"20207024928"</f>
        <v>20207024928</v>
      </c>
      <c r="C1462" s="4">
        <v>49</v>
      </c>
      <c r="D1462" s="4">
        <v>28</v>
      </c>
      <c r="E1462" s="4" t="s">
        <v>46</v>
      </c>
      <c r="F1462" s="4" t="str">
        <f>"杜江娜"</f>
        <v>杜江娜</v>
      </c>
      <c r="G1462" s="4" t="str">
        <f t="shared" si="58"/>
        <v>女</v>
      </c>
      <c r="H1462" s="4" t="str">
        <f>"1991-11-23"</f>
        <v>1991-11-23</v>
      </c>
      <c r="I1462" s="4">
        <v>58.9</v>
      </c>
      <c r="J1462" s="5"/>
    </row>
    <row r="1463" spans="1:10">
      <c r="A1463" s="4">
        <v>1459</v>
      </c>
      <c r="B1463" s="4" t="str">
        <f>"20207024929"</f>
        <v>20207024929</v>
      </c>
      <c r="C1463" s="4">
        <v>49</v>
      </c>
      <c r="D1463" s="4">
        <v>29</v>
      </c>
      <c r="E1463" s="4" t="s">
        <v>46</v>
      </c>
      <c r="F1463" s="4" t="str">
        <f>"杨雪"</f>
        <v>杨雪</v>
      </c>
      <c r="G1463" s="4" t="str">
        <f t="shared" si="58"/>
        <v>女</v>
      </c>
      <c r="H1463" s="4" t="str">
        <f>"1995-05-03"</f>
        <v>1995-05-03</v>
      </c>
      <c r="I1463" s="4">
        <v>74.5</v>
      </c>
      <c r="J1463" s="5"/>
    </row>
    <row r="1464" spans="1:10">
      <c r="A1464" s="4">
        <v>1460</v>
      </c>
      <c r="B1464" s="4" t="str">
        <f>"20207024930"</f>
        <v>20207024930</v>
      </c>
      <c r="C1464" s="4">
        <v>49</v>
      </c>
      <c r="D1464" s="4">
        <v>30</v>
      </c>
      <c r="E1464" s="4" t="s">
        <v>46</v>
      </c>
      <c r="F1464" s="4" t="str">
        <f>"任玉培"</f>
        <v>任玉培</v>
      </c>
      <c r="G1464" s="4" t="str">
        <f t="shared" si="58"/>
        <v>女</v>
      </c>
      <c r="H1464" s="4" t="str">
        <f>"1999-06-17"</f>
        <v>1999-06-17</v>
      </c>
      <c r="I1464" s="4">
        <v>72.5</v>
      </c>
      <c r="J1464" s="5"/>
    </row>
    <row r="1465" spans="1:10">
      <c r="A1465" s="4">
        <v>1461</v>
      </c>
      <c r="B1465" s="4" t="str">
        <f>"20207025001"</f>
        <v>20207025001</v>
      </c>
      <c r="C1465" s="4">
        <v>50</v>
      </c>
      <c r="D1465" s="4">
        <v>1</v>
      </c>
      <c r="E1465" s="4" t="s">
        <v>46</v>
      </c>
      <c r="F1465" s="4" t="str">
        <f>"李英灏"</f>
        <v>李英灏</v>
      </c>
      <c r="G1465" s="4" t="str">
        <f t="shared" si="58"/>
        <v>女</v>
      </c>
      <c r="H1465" s="4" t="str">
        <f>"1991-12-15"</f>
        <v>1991-12-15</v>
      </c>
      <c r="I1465" s="4">
        <v>83.6</v>
      </c>
      <c r="J1465" s="5"/>
    </row>
    <row r="1466" spans="1:10">
      <c r="A1466" s="4">
        <v>1462</v>
      </c>
      <c r="B1466" s="4" t="str">
        <f>"20207025002"</f>
        <v>20207025002</v>
      </c>
      <c r="C1466" s="4">
        <v>50</v>
      </c>
      <c r="D1466" s="4">
        <v>2</v>
      </c>
      <c r="E1466" s="4" t="s">
        <v>46</v>
      </c>
      <c r="F1466" s="4" t="str">
        <f>"贾振慧"</f>
        <v>贾振慧</v>
      </c>
      <c r="G1466" s="4" t="str">
        <f t="shared" si="58"/>
        <v>女</v>
      </c>
      <c r="H1466" s="4" t="str">
        <f>"1993-09-05"</f>
        <v>1993-09-05</v>
      </c>
      <c r="I1466" s="4">
        <v>75.2</v>
      </c>
      <c r="J1466" s="5"/>
    </row>
    <row r="1467" spans="1:10">
      <c r="A1467" s="4">
        <v>1463</v>
      </c>
      <c r="B1467" s="4" t="str">
        <f>"20207025003"</f>
        <v>20207025003</v>
      </c>
      <c r="C1467" s="4">
        <v>50</v>
      </c>
      <c r="D1467" s="4">
        <v>3</v>
      </c>
      <c r="E1467" s="4" t="s">
        <v>46</v>
      </c>
      <c r="F1467" s="4" t="str">
        <f>"王佳佳"</f>
        <v>王佳佳</v>
      </c>
      <c r="G1467" s="4" t="str">
        <f t="shared" si="58"/>
        <v>女</v>
      </c>
      <c r="H1467" s="4" t="str">
        <f>"2000-04-12"</f>
        <v>2000-04-12</v>
      </c>
      <c r="I1467" s="4">
        <v>53.4</v>
      </c>
      <c r="J1467" s="5"/>
    </row>
    <row r="1468" spans="1:10">
      <c r="A1468" s="4">
        <v>1464</v>
      </c>
      <c r="B1468" s="4" t="str">
        <f>"20207025004"</f>
        <v>20207025004</v>
      </c>
      <c r="C1468" s="4">
        <v>50</v>
      </c>
      <c r="D1468" s="4">
        <v>4</v>
      </c>
      <c r="E1468" s="4" t="s">
        <v>46</v>
      </c>
      <c r="F1468" s="4" t="str">
        <f>"张秋阳"</f>
        <v>张秋阳</v>
      </c>
      <c r="G1468" s="4" t="str">
        <f t="shared" si="58"/>
        <v>女</v>
      </c>
      <c r="H1468" s="4" t="str">
        <f>"1994-09-16"</f>
        <v>1994-09-16</v>
      </c>
      <c r="I1468" s="4">
        <v>78.2</v>
      </c>
      <c r="J1468" s="5"/>
    </row>
    <row r="1469" spans="1:10">
      <c r="A1469" s="4">
        <v>1465</v>
      </c>
      <c r="B1469" s="4" t="str">
        <f>"20207025005"</f>
        <v>20207025005</v>
      </c>
      <c r="C1469" s="4">
        <v>50</v>
      </c>
      <c r="D1469" s="4">
        <v>5</v>
      </c>
      <c r="E1469" s="4" t="s">
        <v>46</v>
      </c>
      <c r="F1469" s="4" t="str">
        <f>"何玉蕾"</f>
        <v>何玉蕾</v>
      </c>
      <c r="G1469" s="4" t="str">
        <f t="shared" si="58"/>
        <v>女</v>
      </c>
      <c r="H1469" s="4" t="str">
        <f>"1997-07-01"</f>
        <v>1997-07-01</v>
      </c>
      <c r="I1469" s="4">
        <v>80.6</v>
      </c>
      <c r="J1469" s="5"/>
    </row>
    <row r="1470" spans="1:10">
      <c r="A1470" s="4">
        <v>1466</v>
      </c>
      <c r="B1470" s="4" t="str">
        <f>"20207025006"</f>
        <v>20207025006</v>
      </c>
      <c r="C1470" s="4">
        <v>50</v>
      </c>
      <c r="D1470" s="4">
        <v>6</v>
      </c>
      <c r="E1470" s="4" t="s">
        <v>46</v>
      </c>
      <c r="F1470" s="4" t="str">
        <f>"刘志文"</f>
        <v>刘志文</v>
      </c>
      <c r="G1470" s="4" t="str">
        <f t="shared" si="58"/>
        <v>女</v>
      </c>
      <c r="H1470" s="4" t="str">
        <f>"1997-04-10"</f>
        <v>1997-04-10</v>
      </c>
      <c r="I1470" s="4">
        <v>76.5</v>
      </c>
      <c r="J1470" s="5"/>
    </row>
    <row r="1471" spans="1:10">
      <c r="A1471" s="4">
        <v>1467</v>
      </c>
      <c r="B1471" s="4" t="str">
        <f>"20207025007"</f>
        <v>20207025007</v>
      </c>
      <c r="C1471" s="4">
        <v>50</v>
      </c>
      <c r="D1471" s="4">
        <v>7</v>
      </c>
      <c r="E1471" s="4" t="s">
        <v>46</v>
      </c>
      <c r="F1471" s="4" t="str">
        <f>"张华艺"</f>
        <v>张华艺</v>
      </c>
      <c r="G1471" s="4" t="str">
        <f t="shared" ref="G1471:G1534" si="59">"女"</f>
        <v>女</v>
      </c>
      <c r="H1471" s="4" t="str">
        <f>"1997-05-26"</f>
        <v>1997-05-26</v>
      </c>
      <c r="I1471" s="4">
        <v>64.8</v>
      </c>
      <c r="J1471" s="5"/>
    </row>
    <row r="1472" spans="1:10">
      <c r="A1472" s="4">
        <v>1468</v>
      </c>
      <c r="B1472" s="4" t="str">
        <f>"20207025008"</f>
        <v>20207025008</v>
      </c>
      <c r="C1472" s="4">
        <v>50</v>
      </c>
      <c r="D1472" s="4">
        <v>8</v>
      </c>
      <c r="E1472" s="4" t="s">
        <v>46</v>
      </c>
      <c r="F1472" s="4" t="str">
        <f>"马蒙"</f>
        <v>马蒙</v>
      </c>
      <c r="G1472" s="4" t="str">
        <f t="shared" si="59"/>
        <v>女</v>
      </c>
      <c r="H1472" s="4" t="str">
        <f>"1996-06-06"</f>
        <v>1996-06-06</v>
      </c>
      <c r="I1472" s="4">
        <v>68.8</v>
      </c>
      <c r="J1472" s="5"/>
    </row>
    <row r="1473" spans="1:10">
      <c r="A1473" s="4">
        <v>1469</v>
      </c>
      <c r="B1473" s="4" t="str">
        <f>"20207025009"</f>
        <v>20207025009</v>
      </c>
      <c r="C1473" s="4">
        <v>50</v>
      </c>
      <c r="D1473" s="4">
        <v>9</v>
      </c>
      <c r="E1473" s="4" t="s">
        <v>46</v>
      </c>
      <c r="F1473" s="4" t="str">
        <f>"邢婷"</f>
        <v>邢婷</v>
      </c>
      <c r="G1473" s="4" t="str">
        <f t="shared" si="59"/>
        <v>女</v>
      </c>
      <c r="H1473" s="4" t="str">
        <f>"1996-09-20"</f>
        <v>1996-09-20</v>
      </c>
      <c r="I1473" s="4">
        <v>70.1</v>
      </c>
      <c r="J1473" s="5"/>
    </row>
    <row r="1474" spans="1:10">
      <c r="A1474" s="4">
        <v>1470</v>
      </c>
      <c r="B1474" s="4" t="str">
        <f>"20207025010"</f>
        <v>20207025010</v>
      </c>
      <c r="C1474" s="4">
        <v>50</v>
      </c>
      <c r="D1474" s="4">
        <v>10</v>
      </c>
      <c r="E1474" s="4" t="s">
        <v>46</v>
      </c>
      <c r="F1474" s="4" t="str">
        <f>"陆梦苑"</f>
        <v>陆梦苑</v>
      </c>
      <c r="G1474" s="4" t="str">
        <f t="shared" si="59"/>
        <v>女</v>
      </c>
      <c r="H1474" s="4" t="str">
        <f>"1998-01-20"</f>
        <v>1998-01-20</v>
      </c>
      <c r="I1474" s="4">
        <v>55.6</v>
      </c>
      <c r="J1474" s="5"/>
    </row>
    <row r="1475" spans="1:10">
      <c r="A1475" s="4">
        <v>1471</v>
      </c>
      <c r="B1475" s="4" t="str">
        <f>"20207025011"</f>
        <v>20207025011</v>
      </c>
      <c r="C1475" s="4">
        <v>50</v>
      </c>
      <c r="D1475" s="4">
        <v>11</v>
      </c>
      <c r="E1475" s="4" t="s">
        <v>46</v>
      </c>
      <c r="F1475" s="4" t="str">
        <f>"付元喆"</f>
        <v>付元喆</v>
      </c>
      <c r="G1475" s="4" t="str">
        <f t="shared" si="59"/>
        <v>女</v>
      </c>
      <c r="H1475" s="4" t="str">
        <f>"1995-12-28"</f>
        <v>1995-12-28</v>
      </c>
      <c r="I1475" s="4">
        <v>65.6</v>
      </c>
      <c r="J1475" s="5"/>
    </row>
    <row r="1476" spans="1:10">
      <c r="A1476" s="4">
        <v>1472</v>
      </c>
      <c r="B1476" s="4" t="str">
        <f>"20207025012"</f>
        <v>20207025012</v>
      </c>
      <c r="C1476" s="4">
        <v>50</v>
      </c>
      <c r="D1476" s="4">
        <v>12</v>
      </c>
      <c r="E1476" s="4" t="s">
        <v>46</v>
      </c>
      <c r="F1476" s="4" t="str">
        <f>"刘佳琳"</f>
        <v>刘佳琳</v>
      </c>
      <c r="G1476" s="4" t="str">
        <f t="shared" si="59"/>
        <v>女</v>
      </c>
      <c r="H1476" s="4" t="str">
        <f>"1992-12-15"</f>
        <v>1992-12-15</v>
      </c>
      <c r="I1476" s="4" t="s">
        <v>12</v>
      </c>
      <c r="J1476" s="5"/>
    </row>
    <row r="1477" spans="1:10">
      <c r="A1477" s="4">
        <v>1473</v>
      </c>
      <c r="B1477" s="4" t="str">
        <f>"20207025013"</f>
        <v>20207025013</v>
      </c>
      <c r="C1477" s="4">
        <v>50</v>
      </c>
      <c r="D1477" s="4">
        <v>13</v>
      </c>
      <c r="E1477" s="4" t="s">
        <v>46</v>
      </c>
      <c r="F1477" s="4" t="str">
        <f>"赵亚男"</f>
        <v>赵亚男</v>
      </c>
      <c r="G1477" s="4" t="str">
        <f t="shared" si="59"/>
        <v>女</v>
      </c>
      <c r="H1477" s="4" t="str">
        <f>"1991-07-01"</f>
        <v>1991-07-01</v>
      </c>
      <c r="I1477" s="4">
        <v>77.3</v>
      </c>
      <c r="J1477" s="5"/>
    </row>
    <row r="1478" spans="1:10">
      <c r="A1478" s="4">
        <v>1474</v>
      </c>
      <c r="B1478" s="4" t="str">
        <f>"20207025014"</f>
        <v>20207025014</v>
      </c>
      <c r="C1478" s="4">
        <v>50</v>
      </c>
      <c r="D1478" s="4">
        <v>14</v>
      </c>
      <c r="E1478" s="4" t="s">
        <v>46</v>
      </c>
      <c r="F1478" s="4" t="str">
        <f>"胡静静"</f>
        <v>胡静静</v>
      </c>
      <c r="G1478" s="4" t="str">
        <f t="shared" si="59"/>
        <v>女</v>
      </c>
      <c r="H1478" s="4" t="str">
        <f>"1996-03-26"</f>
        <v>1996-03-26</v>
      </c>
      <c r="I1478" s="4">
        <v>53.1</v>
      </c>
      <c r="J1478" s="5"/>
    </row>
    <row r="1479" spans="1:10">
      <c r="A1479" s="4">
        <v>1475</v>
      </c>
      <c r="B1479" s="4" t="str">
        <f>"20207025015"</f>
        <v>20207025015</v>
      </c>
      <c r="C1479" s="4">
        <v>50</v>
      </c>
      <c r="D1479" s="4">
        <v>15</v>
      </c>
      <c r="E1479" s="4" t="s">
        <v>46</v>
      </c>
      <c r="F1479" s="4" t="str">
        <f>"李柯"</f>
        <v>李柯</v>
      </c>
      <c r="G1479" s="4" t="str">
        <f t="shared" si="59"/>
        <v>女</v>
      </c>
      <c r="H1479" s="4" t="str">
        <f>"1997-09-20"</f>
        <v>1997-09-20</v>
      </c>
      <c r="I1479" s="4">
        <v>64.2</v>
      </c>
      <c r="J1479" s="5"/>
    </row>
    <row r="1480" spans="1:10">
      <c r="A1480" s="4">
        <v>1476</v>
      </c>
      <c r="B1480" s="4" t="str">
        <f>"20207025016"</f>
        <v>20207025016</v>
      </c>
      <c r="C1480" s="4">
        <v>50</v>
      </c>
      <c r="D1480" s="4">
        <v>16</v>
      </c>
      <c r="E1480" s="4" t="s">
        <v>46</v>
      </c>
      <c r="F1480" s="4" t="str">
        <f>"王丹丹"</f>
        <v>王丹丹</v>
      </c>
      <c r="G1480" s="4" t="str">
        <f t="shared" si="59"/>
        <v>女</v>
      </c>
      <c r="H1480" s="4" t="str">
        <f>"1999-03-16"</f>
        <v>1999-03-16</v>
      </c>
      <c r="I1480" s="4">
        <v>75.2</v>
      </c>
      <c r="J1480" s="5"/>
    </row>
    <row r="1481" spans="1:10">
      <c r="A1481" s="4">
        <v>1477</v>
      </c>
      <c r="B1481" s="4" t="str">
        <f>"20207025017"</f>
        <v>20207025017</v>
      </c>
      <c r="C1481" s="4">
        <v>50</v>
      </c>
      <c r="D1481" s="4">
        <v>17</v>
      </c>
      <c r="E1481" s="4" t="s">
        <v>46</v>
      </c>
      <c r="F1481" s="4" t="str">
        <f>"李佳"</f>
        <v>李佳</v>
      </c>
      <c r="G1481" s="4" t="str">
        <f t="shared" si="59"/>
        <v>女</v>
      </c>
      <c r="H1481" s="4" t="str">
        <f>"1998-11-26"</f>
        <v>1998-11-26</v>
      </c>
      <c r="I1481" s="4">
        <v>60.8</v>
      </c>
      <c r="J1481" s="5"/>
    </row>
    <row r="1482" spans="1:10">
      <c r="A1482" s="4">
        <v>1478</v>
      </c>
      <c r="B1482" s="4" t="str">
        <f>"20207025018"</f>
        <v>20207025018</v>
      </c>
      <c r="C1482" s="4">
        <v>50</v>
      </c>
      <c r="D1482" s="4">
        <v>18</v>
      </c>
      <c r="E1482" s="4" t="s">
        <v>46</v>
      </c>
      <c r="F1482" s="4" t="str">
        <f>"康培娟"</f>
        <v>康培娟</v>
      </c>
      <c r="G1482" s="4" t="str">
        <f t="shared" si="59"/>
        <v>女</v>
      </c>
      <c r="H1482" s="4" t="str">
        <f>"1997-10-12"</f>
        <v>1997-10-12</v>
      </c>
      <c r="I1482" s="4" t="s">
        <v>12</v>
      </c>
      <c r="J1482" s="5"/>
    </row>
    <row r="1483" spans="1:10">
      <c r="A1483" s="4">
        <v>1479</v>
      </c>
      <c r="B1483" s="4" t="str">
        <f>"20207025019"</f>
        <v>20207025019</v>
      </c>
      <c r="C1483" s="4">
        <v>50</v>
      </c>
      <c r="D1483" s="4">
        <v>19</v>
      </c>
      <c r="E1483" s="4" t="s">
        <v>46</v>
      </c>
      <c r="F1483" s="4" t="str">
        <f>"尤艺"</f>
        <v>尤艺</v>
      </c>
      <c r="G1483" s="4" t="str">
        <f t="shared" si="59"/>
        <v>女</v>
      </c>
      <c r="H1483" s="4" t="str">
        <f>"1993-04-21"</f>
        <v>1993-04-21</v>
      </c>
      <c r="I1483" s="4">
        <v>73.9</v>
      </c>
      <c r="J1483" s="5"/>
    </row>
    <row r="1484" spans="1:10">
      <c r="A1484" s="4">
        <v>1480</v>
      </c>
      <c r="B1484" s="4" t="str">
        <f>"20207025020"</f>
        <v>20207025020</v>
      </c>
      <c r="C1484" s="4">
        <v>50</v>
      </c>
      <c r="D1484" s="4">
        <v>20</v>
      </c>
      <c r="E1484" s="4" t="s">
        <v>46</v>
      </c>
      <c r="F1484" s="4" t="str">
        <f>"胡杨柳"</f>
        <v>胡杨柳</v>
      </c>
      <c r="G1484" s="4" t="str">
        <f t="shared" si="59"/>
        <v>女</v>
      </c>
      <c r="H1484" s="4" t="str">
        <f>"1996-05-04"</f>
        <v>1996-05-04</v>
      </c>
      <c r="I1484" s="4">
        <v>67.8</v>
      </c>
      <c r="J1484" s="5"/>
    </row>
    <row r="1485" spans="1:10">
      <c r="A1485" s="4">
        <v>1481</v>
      </c>
      <c r="B1485" s="4" t="str">
        <f>"20207025021"</f>
        <v>20207025021</v>
      </c>
      <c r="C1485" s="4">
        <v>50</v>
      </c>
      <c r="D1485" s="4">
        <v>21</v>
      </c>
      <c r="E1485" s="4" t="s">
        <v>46</v>
      </c>
      <c r="F1485" s="4" t="str">
        <f>"张硕"</f>
        <v>张硕</v>
      </c>
      <c r="G1485" s="4" t="str">
        <f t="shared" si="59"/>
        <v>女</v>
      </c>
      <c r="H1485" s="4" t="str">
        <f>"1995-01-15"</f>
        <v>1995-01-15</v>
      </c>
      <c r="I1485" s="4">
        <v>81.2</v>
      </c>
      <c r="J1485" s="5"/>
    </row>
    <row r="1486" spans="1:10">
      <c r="A1486" s="4">
        <v>1482</v>
      </c>
      <c r="B1486" s="4" t="str">
        <f>"20207025022"</f>
        <v>20207025022</v>
      </c>
      <c r="C1486" s="4">
        <v>50</v>
      </c>
      <c r="D1486" s="4">
        <v>22</v>
      </c>
      <c r="E1486" s="4" t="s">
        <v>46</v>
      </c>
      <c r="F1486" s="4" t="str">
        <f>"杨闪"</f>
        <v>杨闪</v>
      </c>
      <c r="G1486" s="4" t="str">
        <f t="shared" si="59"/>
        <v>女</v>
      </c>
      <c r="H1486" s="4" t="str">
        <f>"1999-04-28"</f>
        <v>1999-04-28</v>
      </c>
      <c r="I1486" s="4" t="s">
        <v>12</v>
      </c>
      <c r="J1486" s="5"/>
    </row>
    <row r="1487" spans="1:10">
      <c r="A1487" s="4">
        <v>1483</v>
      </c>
      <c r="B1487" s="4" t="str">
        <f>"20207025023"</f>
        <v>20207025023</v>
      </c>
      <c r="C1487" s="4">
        <v>50</v>
      </c>
      <c r="D1487" s="4">
        <v>23</v>
      </c>
      <c r="E1487" s="4" t="s">
        <v>46</v>
      </c>
      <c r="F1487" s="4" t="str">
        <f>"刘庆苗"</f>
        <v>刘庆苗</v>
      </c>
      <c r="G1487" s="4" t="str">
        <f t="shared" si="59"/>
        <v>女</v>
      </c>
      <c r="H1487" s="4" t="str">
        <f>"1996-05-18"</f>
        <v>1996-05-18</v>
      </c>
      <c r="I1487" s="4">
        <v>54.7</v>
      </c>
      <c r="J1487" s="5"/>
    </row>
    <row r="1488" spans="1:10">
      <c r="A1488" s="4">
        <v>1484</v>
      </c>
      <c r="B1488" s="4" t="str">
        <f>"20207025024"</f>
        <v>20207025024</v>
      </c>
      <c r="C1488" s="4">
        <v>50</v>
      </c>
      <c r="D1488" s="4">
        <v>24</v>
      </c>
      <c r="E1488" s="4" t="s">
        <v>46</v>
      </c>
      <c r="F1488" s="4" t="str">
        <f>"张瑶"</f>
        <v>张瑶</v>
      </c>
      <c r="G1488" s="4" t="str">
        <f t="shared" si="59"/>
        <v>女</v>
      </c>
      <c r="H1488" s="4" t="str">
        <f>"1993-10-10"</f>
        <v>1993-10-10</v>
      </c>
      <c r="I1488" s="4">
        <v>68.2</v>
      </c>
      <c r="J1488" s="5"/>
    </row>
    <row r="1489" spans="1:10">
      <c r="A1489" s="4">
        <v>1485</v>
      </c>
      <c r="B1489" s="4" t="str">
        <f>"20207025025"</f>
        <v>20207025025</v>
      </c>
      <c r="C1489" s="4">
        <v>50</v>
      </c>
      <c r="D1489" s="4">
        <v>25</v>
      </c>
      <c r="E1489" s="4" t="s">
        <v>46</v>
      </c>
      <c r="F1489" s="4" t="str">
        <f>"王亚星"</f>
        <v>王亚星</v>
      </c>
      <c r="G1489" s="4" t="str">
        <f t="shared" si="59"/>
        <v>女</v>
      </c>
      <c r="H1489" s="4" t="str">
        <f>"1995-11-11"</f>
        <v>1995-11-11</v>
      </c>
      <c r="I1489" s="4">
        <v>61</v>
      </c>
      <c r="J1489" s="5"/>
    </row>
    <row r="1490" spans="1:10">
      <c r="A1490" s="4">
        <v>1486</v>
      </c>
      <c r="B1490" s="4" t="str">
        <f>"20207025026"</f>
        <v>20207025026</v>
      </c>
      <c r="C1490" s="4">
        <v>50</v>
      </c>
      <c r="D1490" s="4">
        <v>26</v>
      </c>
      <c r="E1490" s="4" t="s">
        <v>46</v>
      </c>
      <c r="F1490" s="4" t="str">
        <f>"黄帅"</f>
        <v>黄帅</v>
      </c>
      <c r="G1490" s="4" t="str">
        <f t="shared" si="59"/>
        <v>女</v>
      </c>
      <c r="H1490" s="4" t="str">
        <f>"1992-09-23"</f>
        <v>1992-09-23</v>
      </c>
      <c r="I1490" s="4">
        <v>69.8</v>
      </c>
      <c r="J1490" s="5"/>
    </row>
    <row r="1491" spans="1:10">
      <c r="A1491" s="4">
        <v>1487</v>
      </c>
      <c r="B1491" s="4" t="str">
        <f>"20207025027"</f>
        <v>20207025027</v>
      </c>
      <c r="C1491" s="4">
        <v>50</v>
      </c>
      <c r="D1491" s="4">
        <v>27</v>
      </c>
      <c r="E1491" s="4" t="s">
        <v>46</v>
      </c>
      <c r="F1491" s="4" t="str">
        <f>"罗婵"</f>
        <v>罗婵</v>
      </c>
      <c r="G1491" s="4" t="str">
        <f t="shared" si="59"/>
        <v>女</v>
      </c>
      <c r="H1491" s="4" t="str">
        <f>"1994-07-20"</f>
        <v>1994-07-20</v>
      </c>
      <c r="I1491" s="4">
        <v>37</v>
      </c>
      <c r="J1491" s="5"/>
    </row>
    <row r="1492" spans="1:10">
      <c r="A1492" s="4">
        <v>1488</v>
      </c>
      <c r="B1492" s="4" t="str">
        <f>"20207025028"</f>
        <v>20207025028</v>
      </c>
      <c r="C1492" s="4">
        <v>50</v>
      </c>
      <c r="D1492" s="4">
        <v>28</v>
      </c>
      <c r="E1492" s="4" t="s">
        <v>46</v>
      </c>
      <c r="F1492" s="4" t="str">
        <f>"王永佳"</f>
        <v>王永佳</v>
      </c>
      <c r="G1492" s="4" t="str">
        <f t="shared" si="59"/>
        <v>女</v>
      </c>
      <c r="H1492" s="4" t="str">
        <f>"1999-03-02"</f>
        <v>1999-03-02</v>
      </c>
      <c r="I1492" s="4">
        <v>60.1</v>
      </c>
      <c r="J1492" s="5"/>
    </row>
    <row r="1493" spans="1:10">
      <c r="A1493" s="4">
        <v>1489</v>
      </c>
      <c r="B1493" s="4" t="str">
        <f>"20207025029"</f>
        <v>20207025029</v>
      </c>
      <c r="C1493" s="4">
        <v>50</v>
      </c>
      <c r="D1493" s="4">
        <v>29</v>
      </c>
      <c r="E1493" s="4" t="s">
        <v>46</v>
      </c>
      <c r="F1493" s="4" t="str">
        <f>"齐明晶"</f>
        <v>齐明晶</v>
      </c>
      <c r="G1493" s="4" t="str">
        <f t="shared" si="59"/>
        <v>女</v>
      </c>
      <c r="H1493" s="4" t="str">
        <f>"1996-09-28"</f>
        <v>1996-09-28</v>
      </c>
      <c r="I1493" s="4" t="s">
        <v>12</v>
      </c>
      <c r="J1493" s="5"/>
    </row>
    <row r="1494" spans="1:10">
      <c r="A1494" s="4">
        <v>1490</v>
      </c>
      <c r="B1494" s="4" t="str">
        <f>"20207025030"</f>
        <v>20207025030</v>
      </c>
      <c r="C1494" s="4">
        <v>50</v>
      </c>
      <c r="D1494" s="4">
        <v>30</v>
      </c>
      <c r="E1494" s="4" t="s">
        <v>46</v>
      </c>
      <c r="F1494" s="4" t="str">
        <f>"范仁晓"</f>
        <v>范仁晓</v>
      </c>
      <c r="G1494" s="4" t="str">
        <f t="shared" si="59"/>
        <v>女</v>
      </c>
      <c r="H1494" s="4" t="str">
        <f>"1996-08-16"</f>
        <v>1996-08-16</v>
      </c>
      <c r="I1494" s="4">
        <v>73.9</v>
      </c>
      <c r="J1494" s="5"/>
    </row>
    <row r="1495" spans="1:10">
      <c r="A1495" s="4">
        <v>1491</v>
      </c>
      <c r="B1495" s="4" t="str">
        <f>"20207025101"</f>
        <v>20207025101</v>
      </c>
      <c r="C1495" s="4">
        <v>51</v>
      </c>
      <c r="D1495" s="4">
        <v>1</v>
      </c>
      <c r="E1495" s="4" t="s">
        <v>46</v>
      </c>
      <c r="F1495" s="4" t="str">
        <f>"段蓬"</f>
        <v>段蓬</v>
      </c>
      <c r="G1495" s="4" t="str">
        <f t="shared" si="59"/>
        <v>女</v>
      </c>
      <c r="H1495" s="4" t="str">
        <f>"1998-04-25"</f>
        <v>1998-04-25</v>
      </c>
      <c r="I1495" s="4">
        <v>71.6</v>
      </c>
      <c r="J1495" s="5"/>
    </row>
    <row r="1496" spans="1:10">
      <c r="A1496" s="4">
        <v>1492</v>
      </c>
      <c r="B1496" s="4" t="str">
        <f>"20207025102"</f>
        <v>20207025102</v>
      </c>
      <c r="C1496" s="4">
        <v>51</v>
      </c>
      <c r="D1496" s="4">
        <v>2</v>
      </c>
      <c r="E1496" s="4" t="s">
        <v>46</v>
      </c>
      <c r="F1496" s="4" t="str">
        <f>"龚苗苗"</f>
        <v>龚苗苗</v>
      </c>
      <c r="G1496" s="4" t="str">
        <f t="shared" si="59"/>
        <v>女</v>
      </c>
      <c r="H1496" s="4" t="str">
        <f>"1995-08-21"</f>
        <v>1995-08-21</v>
      </c>
      <c r="I1496" s="4" t="s">
        <v>12</v>
      </c>
      <c r="J1496" s="5"/>
    </row>
    <row r="1497" spans="1:10">
      <c r="A1497" s="4">
        <v>1493</v>
      </c>
      <c r="B1497" s="4" t="str">
        <f>"20207025103"</f>
        <v>20207025103</v>
      </c>
      <c r="C1497" s="4">
        <v>51</v>
      </c>
      <c r="D1497" s="4">
        <v>3</v>
      </c>
      <c r="E1497" s="4" t="s">
        <v>46</v>
      </c>
      <c r="F1497" s="4" t="str">
        <f>"李琳"</f>
        <v>李琳</v>
      </c>
      <c r="G1497" s="4" t="str">
        <f t="shared" si="59"/>
        <v>女</v>
      </c>
      <c r="H1497" s="4" t="str">
        <f>"1996-07-05"</f>
        <v>1996-07-05</v>
      </c>
      <c r="I1497" s="4">
        <v>64.8</v>
      </c>
      <c r="J1497" s="5"/>
    </row>
    <row r="1498" spans="1:10">
      <c r="A1498" s="4">
        <v>1494</v>
      </c>
      <c r="B1498" s="4" t="str">
        <f>"20207025104"</f>
        <v>20207025104</v>
      </c>
      <c r="C1498" s="4">
        <v>51</v>
      </c>
      <c r="D1498" s="4">
        <v>4</v>
      </c>
      <c r="E1498" s="4" t="s">
        <v>46</v>
      </c>
      <c r="F1498" s="4" t="str">
        <f>"李琳"</f>
        <v>李琳</v>
      </c>
      <c r="G1498" s="4" t="str">
        <f t="shared" si="59"/>
        <v>女</v>
      </c>
      <c r="H1498" s="4" t="str">
        <f>"1996-04-12"</f>
        <v>1996-04-12</v>
      </c>
      <c r="I1498" s="4">
        <v>51.7</v>
      </c>
      <c r="J1498" s="5"/>
    </row>
    <row r="1499" spans="1:10">
      <c r="A1499" s="4">
        <v>1495</v>
      </c>
      <c r="B1499" s="4" t="str">
        <f>"20207025105"</f>
        <v>20207025105</v>
      </c>
      <c r="C1499" s="4">
        <v>51</v>
      </c>
      <c r="D1499" s="4">
        <v>5</v>
      </c>
      <c r="E1499" s="4" t="s">
        <v>46</v>
      </c>
      <c r="F1499" s="4" t="str">
        <f>"王玉爽"</f>
        <v>王玉爽</v>
      </c>
      <c r="G1499" s="4" t="str">
        <f t="shared" si="59"/>
        <v>女</v>
      </c>
      <c r="H1499" s="4" t="str">
        <f>"1994-03-11"</f>
        <v>1994-03-11</v>
      </c>
      <c r="I1499" s="4">
        <v>89</v>
      </c>
      <c r="J1499" s="5"/>
    </row>
    <row r="1500" spans="1:10">
      <c r="A1500" s="4">
        <v>1496</v>
      </c>
      <c r="B1500" s="4" t="str">
        <f>"20207025106"</f>
        <v>20207025106</v>
      </c>
      <c r="C1500" s="4">
        <v>51</v>
      </c>
      <c r="D1500" s="4">
        <v>6</v>
      </c>
      <c r="E1500" s="4" t="s">
        <v>46</v>
      </c>
      <c r="F1500" s="4" t="str">
        <f>"金文静"</f>
        <v>金文静</v>
      </c>
      <c r="G1500" s="4" t="str">
        <f t="shared" si="59"/>
        <v>女</v>
      </c>
      <c r="H1500" s="4" t="str">
        <f>"1995-02-06"</f>
        <v>1995-02-06</v>
      </c>
      <c r="I1500" s="4" t="s">
        <v>12</v>
      </c>
      <c r="J1500" s="5"/>
    </row>
    <row r="1501" spans="1:10">
      <c r="A1501" s="4">
        <v>1497</v>
      </c>
      <c r="B1501" s="4" t="str">
        <f>"20207025107"</f>
        <v>20207025107</v>
      </c>
      <c r="C1501" s="4">
        <v>51</v>
      </c>
      <c r="D1501" s="4">
        <v>7</v>
      </c>
      <c r="E1501" s="4" t="s">
        <v>46</v>
      </c>
      <c r="F1501" s="4" t="str">
        <f>"汪喜玉"</f>
        <v>汪喜玉</v>
      </c>
      <c r="G1501" s="4" t="str">
        <f t="shared" si="59"/>
        <v>女</v>
      </c>
      <c r="H1501" s="4" t="str">
        <f>"1996-06-28"</f>
        <v>1996-06-28</v>
      </c>
      <c r="I1501" s="4" t="s">
        <v>12</v>
      </c>
      <c r="J1501" s="5"/>
    </row>
    <row r="1502" spans="1:10">
      <c r="A1502" s="4">
        <v>1498</v>
      </c>
      <c r="B1502" s="4" t="str">
        <f>"20207025108"</f>
        <v>20207025108</v>
      </c>
      <c r="C1502" s="4">
        <v>51</v>
      </c>
      <c r="D1502" s="4">
        <v>8</v>
      </c>
      <c r="E1502" s="4" t="s">
        <v>46</v>
      </c>
      <c r="F1502" s="4" t="str">
        <f>"张雪"</f>
        <v>张雪</v>
      </c>
      <c r="G1502" s="4" t="str">
        <f t="shared" si="59"/>
        <v>女</v>
      </c>
      <c r="H1502" s="4" t="str">
        <f>"1994-01-01"</f>
        <v>1994-01-01</v>
      </c>
      <c r="I1502" s="4">
        <v>65.9</v>
      </c>
      <c r="J1502" s="5"/>
    </row>
    <row r="1503" spans="1:10">
      <c r="A1503" s="4">
        <v>1499</v>
      </c>
      <c r="B1503" s="4" t="str">
        <f>"20207025109"</f>
        <v>20207025109</v>
      </c>
      <c r="C1503" s="4">
        <v>51</v>
      </c>
      <c r="D1503" s="4">
        <v>9</v>
      </c>
      <c r="E1503" s="4" t="s">
        <v>46</v>
      </c>
      <c r="F1503" s="4" t="str">
        <f>"王林"</f>
        <v>王林</v>
      </c>
      <c r="G1503" s="4" t="str">
        <f t="shared" si="59"/>
        <v>女</v>
      </c>
      <c r="H1503" s="4" t="str">
        <f>"1997-09-07"</f>
        <v>1997-09-07</v>
      </c>
      <c r="I1503" s="4">
        <v>65.2</v>
      </c>
      <c r="J1503" s="5"/>
    </row>
    <row r="1504" spans="1:10">
      <c r="A1504" s="4">
        <v>1500</v>
      </c>
      <c r="B1504" s="4" t="str">
        <f>"20207025110"</f>
        <v>20207025110</v>
      </c>
      <c r="C1504" s="4">
        <v>51</v>
      </c>
      <c r="D1504" s="4">
        <v>10</v>
      </c>
      <c r="E1504" s="4" t="s">
        <v>46</v>
      </c>
      <c r="F1504" s="4" t="str">
        <f>"司顺亭"</f>
        <v>司顺亭</v>
      </c>
      <c r="G1504" s="4" t="str">
        <f t="shared" si="59"/>
        <v>女</v>
      </c>
      <c r="H1504" s="4" t="str">
        <f>"1996-04-09"</f>
        <v>1996-04-09</v>
      </c>
      <c r="I1504" s="4">
        <v>63.2</v>
      </c>
      <c r="J1504" s="5"/>
    </row>
    <row r="1505" spans="1:10">
      <c r="A1505" s="4">
        <v>1501</v>
      </c>
      <c r="B1505" s="4" t="str">
        <f>"20207025111"</f>
        <v>20207025111</v>
      </c>
      <c r="C1505" s="4">
        <v>51</v>
      </c>
      <c r="D1505" s="4">
        <v>11</v>
      </c>
      <c r="E1505" s="4" t="s">
        <v>46</v>
      </c>
      <c r="F1505" s="4" t="str">
        <f>"刘普"</f>
        <v>刘普</v>
      </c>
      <c r="G1505" s="4" t="str">
        <f t="shared" si="59"/>
        <v>女</v>
      </c>
      <c r="H1505" s="4" t="str">
        <f>"1998-01-08"</f>
        <v>1998-01-08</v>
      </c>
      <c r="I1505" s="4" t="s">
        <v>12</v>
      </c>
      <c r="J1505" s="5"/>
    </row>
    <row r="1506" spans="1:10">
      <c r="A1506" s="4">
        <v>1502</v>
      </c>
      <c r="B1506" s="4" t="str">
        <f>"20207025112"</f>
        <v>20207025112</v>
      </c>
      <c r="C1506" s="4">
        <v>51</v>
      </c>
      <c r="D1506" s="4">
        <v>12</v>
      </c>
      <c r="E1506" s="4" t="s">
        <v>46</v>
      </c>
      <c r="F1506" s="4" t="str">
        <f>"孙蒙珍"</f>
        <v>孙蒙珍</v>
      </c>
      <c r="G1506" s="4" t="str">
        <f t="shared" si="59"/>
        <v>女</v>
      </c>
      <c r="H1506" s="4" t="str">
        <f>"1997-01-24"</f>
        <v>1997-01-24</v>
      </c>
      <c r="I1506" s="4">
        <v>66.8</v>
      </c>
      <c r="J1506" s="5"/>
    </row>
    <row r="1507" spans="1:10">
      <c r="A1507" s="4">
        <v>1503</v>
      </c>
      <c r="B1507" s="4" t="str">
        <f>"20207025113"</f>
        <v>20207025113</v>
      </c>
      <c r="C1507" s="4">
        <v>51</v>
      </c>
      <c r="D1507" s="4">
        <v>13</v>
      </c>
      <c r="E1507" s="4" t="s">
        <v>46</v>
      </c>
      <c r="F1507" s="4" t="str">
        <f>"张梦璐"</f>
        <v>张梦璐</v>
      </c>
      <c r="G1507" s="4" t="str">
        <f t="shared" si="59"/>
        <v>女</v>
      </c>
      <c r="H1507" s="4" t="str">
        <f>"1999-05-26"</f>
        <v>1999-05-26</v>
      </c>
      <c r="I1507" s="4">
        <v>64.8</v>
      </c>
      <c r="J1507" s="5"/>
    </row>
    <row r="1508" spans="1:10">
      <c r="A1508" s="4">
        <v>1504</v>
      </c>
      <c r="B1508" s="4" t="str">
        <f>"20207025114"</f>
        <v>20207025114</v>
      </c>
      <c r="C1508" s="4">
        <v>51</v>
      </c>
      <c r="D1508" s="4">
        <v>14</v>
      </c>
      <c r="E1508" s="4" t="s">
        <v>46</v>
      </c>
      <c r="F1508" s="4" t="str">
        <f>"毛函"</f>
        <v>毛函</v>
      </c>
      <c r="G1508" s="4" t="str">
        <f t="shared" si="59"/>
        <v>女</v>
      </c>
      <c r="H1508" s="4" t="str">
        <f>"1998-08-20"</f>
        <v>1998-08-20</v>
      </c>
      <c r="I1508" s="4" t="s">
        <v>12</v>
      </c>
      <c r="J1508" s="5"/>
    </row>
    <row r="1509" spans="1:10">
      <c r="A1509" s="4">
        <v>1505</v>
      </c>
      <c r="B1509" s="4" t="str">
        <f>"20207025115"</f>
        <v>20207025115</v>
      </c>
      <c r="C1509" s="4">
        <v>51</v>
      </c>
      <c r="D1509" s="4">
        <v>15</v>
      </c>
      <c r="E1509" s="4" t="s">
        <v>46</v>
      </c>
      <c r="F1509" s="4" t="str">
        <f>"王嘉一"</f>
        <v>王嘉一</v>
      </c>
      <c r="G1509" s="4" t="str">
        <f t="shared" si="59"/>
        <v>女</v>
      </c>
      <c r="H1509" s="4" t="str">
        <f>"1999-05-25"</f>
        <v>1999-05-25</v>
      </c>
      <c r="I1509" s="4">
        <v>65.5</v>
      </c>
      <c r="J1509" s="5"/>
    </row>
    <row r="1510" spans="1:10">
      <c r="A1510" s="4">
        <v>1506</v>
      </c>
      <c r="B1510" s="4" t="str">
        <f>"20207025116"</f>
        <v>20207025116</v>
      </c>
      <c r="C1510" s="4">
        <v>51</v>
      </c>
      <c r="D1510" s="4">
        <v>16</v>
      </c>
      <c r="E1510" s="4" t="s">
        <v>46</v>
      </c>
      <c r="F1510" s="4" t="str">
        <f>"乔静"</f>
        <v>乔静</v>
      </c>
      <c r="G1510" s="4" t="str">
        <f t="shared" si="59"/>
        <v>女</v>
      </c>
      <c r="H1510" s="4" t="str">
        <f>"1995-08-28"</f>
        <v>1995-08-28</v>
      </c>
      <c r="I1510" s="4" t="s">
        <v>12</v>
      </c>
      <c r="J1510" s="5"/>
    </row>
    <row r="1511" spans="1:10">
      <c r="A1511" s="4">
        <v>1507</v>
      </c>
      <c r="B1511" s="4" t="str">
        <f>"20207025117"</f>
        <v>20207025117</v>
      </c>
      <c r="C1511" s="4">
        <v>51</v>
      </c>
      <c r="D1511" s="4">
        <v>17</v>
      </c>
      <c r="E1511" s="4" t="s">
        <v>46</v>
      </c>
      <c r="F1511" s="4" t="str">
        <f>"赵建淼"</f>
        <v>赵建淼</v>
      </c>
      <c r="G1511" s="4" t="str">
        <f t="shared" si="59"/>
        <v>女</v>
      </c>
      <c r="H1511" s="4" t="str">
        <f>"1997-09-02"</f>
        <v>1997-09-02</v>
      </c>
      <c r="I1511" s="4">
        <v>52.7</v>
      </c>
      <c r="J1511" s="5"/>
    </row>
    <row r="1512" spans="1:10">
      <c r="A1512" s="4">
        <v>1508</v>
      </c>
      <c r="B1512" s="4" t="str">
        <f>"20207025118"</f>
        <v>20207025118</v>
      </c>
      <c r="C1512" s="4">
        <v>51</v>
      </c>
      <c r="D1512" s="4">
        <v>18</v>
      </c>
      <c r="E1512" s="4" t="s">
        <v>46</v>
      </c>
      <c r="F1512" s="4" t="str">
        <f>"李媛媛"</f>
        <v>李媛媛</v>
      </c>
      <c r="G1512" s="4" t="str">
        <f t="shared" si="59"/>
        <v>女</v>
      </c>
      <c r="H1512" s="4" t="str">
        <f>"1998-06-05"</f>
        <v>1998-06-05</v>
      </c>
      <c r="I1512" s="4">
        <v>65.1</v>
      </c>
      <c r="J1512" s="5"/>
    </row>
    <row r="1513" spans="1:10">
      <c r="A1513" s="4">
        <v>1509</v>
      </c>
      <c r="B1513" s="4" t="str">
        <f>"20207025119"</f>
        <v>20207025119</v>
      </c>
      <c r="C1513" s="4">
        <v>51</v>
      </c>
      <c r="D1513" s="4">
        <v>19</v>
      </c>
      <c r="E1513" s="4" t="s">
        <v>46</v>
      </c>
      <c r="F1513" s="4" t="str">
        <f>"王甜"</f>
        <v>王甜</v>
      </c>
      <c r="G1513" s="4" t="str">
        <f t="shared" si="59"/>
        <v>女</v>
      </c>
      <c r="H1513" s="4" t="str">
        <f>"1992-10-18"</f>
        <v>1992-10-18</v>
      </c>
      <c r="I1513" s="4">
        <v>41.2</v>
      </c>
      <c r="J1513" s="5"/>
    </row>
    <row r="1514" spans="1:10">
      <c r="A1514" s="4">
        <v>1510</v>
      </c>
      <c r="B1514" s="4" t="str">
        <f>"20207025120"</f>
        <v>20207025120</v>
      </c>
      <c r="C1514" s="4">
        <v>51</v>
      </c>
      <c r="D1514" s="4">
        <v>20</v>
      </c>
      <c r="E1514" s="4" t="s">
        <v>46</v>
      </c>
      <c r="F1514" s="4" t="str">
        <f>"郭鑫"</f>
        <v>郭鑫</v>
      </c>
      <c r="G1514" s="4" t="str">
        <f t="shared" si="59"/>
        <v>女</v>
      </c>
      <c r="H1514" s="4" t="str">
        <f>"1997-11-09"</f>
        <v>1997-11-09</v>
      </c>
      <c r="I1514" s="4">
        <v>52.3</v>
      </c>
      <c r="J1514" s="5"/>
    </row>
    <row r="1515" spans="1:10">
      <c r="A1515" s="4">
        <v>1511</v>
      </c>
      <c r="B1515" s="4" t="str">
        <f>"20207025121"</f>
        <v>20207025121</v>
      </c>
      <c r="C1515" s="4">
        <v>51</v>
      </c>
      <c r="D1515" s="4">
        <v>21</v>
      </c>
      <c r="E1515" s="4" t="s">
        <v>46</v>
      </c>
      <c r="F1515" s="4" t="str">
        <f>"赵倩茹"</f>
        <v>赵倩茹</v>
      </c>
      <c r="G1515" s="4" t="str">
        <f t="shared" si="59"/>
        <v>女</v>
      </c>
      <c r="H1515" s="4" t="str">
        <f>"1997-10-15"</f>
        <v>1997-10-15</v>
      </c>
      <c r="I1515" s="4">
        <v>63.4</v>
      </c>
      <c r="J1515" s="5"/>
    </row>
    <row r="1516" spans="1:10">
      <c r="A1516" s="4">
        <v>1512</v>
      </c>
      <c r="B1516" s="4" t="str">
        <f>"20207025122"</f>
        <v>20207025122</v>
      </c>
      <c r="C1516" s="4">
        <v>51</v>
      </c>
      <c r="D1516" s="4">
        <v>22</v>
      </c>
      <c r="E1516" s="4" t="s">
        <v>46</v>
      </c>
      <c r="F1516" s="4" t="str">
        <f>"刘瑶"</f>
        <v>刘瑶</v>
      </c>
      <c r="G1516" s="4" t="str">
        <f t="shared" si="59"/>
        <v>女</v>
      </c>
      <c r="H1516" s="4" t="str">
        <f>"1997-12-14"</f>
        <v>1997-12-14</v>
      </c>
      <c r="I1516" s="4" t="s">
        <v>12</v>
      </c>
      <c r="J1516" s="5"/>
    </row>
    <row r="1517" spans="1:10">
      <c r="A1517" s="4">
        <v>1513</v>
      </c>
      <c r="B1517" s="4" t="str">
        <f>"20207025123"</f>
        <v>20207025123</v>
      </c>
      <c r="C1517" s="4">
        <v>51</v>
      </c>
      <c r="D1517" s="4">
        <v>23</v>
      </c>
      <c r="E1517" s="4" t="s">
        <v>46</v>
      </c>
      <c r="F1517" s="4" t="str">
        <f>"魏小展"</f>
        <v>魏小展</v>
      </c>
      <c r="G1517" s="4" t="str">
        <f t="shared" si="59"/>
        <v>女</v>
      </c>
      <c r="H1517" s="4" t="str">
        <f>"1993-09-14"</f>
        <v>1993-09-14</v>
      </c>
      <c r="I1517" s="4">
        <v>75.6</v>
      </c>
      <c r="J1517" s="5"/>
    </row>
    <row r="1518" spans="1:10">
      <c r="A1518" s="4">
        <v>1514</v>
      </c>
      <c r="B1518" s="4" t="str">
        <f>"20207025124"</f>
        <v>20207025124</v>
      </c>
      <c r="C1518" s="4">
        <v>51</v>
      </c>
      <c r="D1518" s="4">
        <v>24</v>
      </c>
      <c r="E1518" s="4" t="s">
        <v>46</v>
      </c>
      <c r="F1518" s="4" t="str">
        <f>"丁雪"</f>
        <v>丁雪</v>
      </c>
      <c r="G1518" s="4" t="str">
        <f t="shared" si="59"/>
        <v>女</v>
      </c>
      <c r="H1518" s="4" t="str">
        <f>"1998-02-20"</f>
        <v>1998-02-20</v>
      </c>
      <c r="I1518" s="4">
        <v>77.2</v>
      </c>
      <c r="J1518" s="5"/>
    </row>
    <row r="1519" spans="1:10">
      <c r="A1519" s="4">
        <v>1515</v>
      </c>
      <c r="B1519" s="4" t="str">
        <f>"20207025125"</f>
        <v>20207025125</v>
      </c>
      <c r="C1519" s="4">
        <v>51</v>
      </c>
      <c r="D1519" s="4">
        <v>25</v>
      </c>
      <c r="E1519" s="4" t="s">
        <v>46</v>
      </c>
      <c r="F1519" s="4" t="str">
        <f>"李方圆"</f>
        <v>李方圆</v>
      </c>
      <c r="G1519" s="4" t="str">
        <f t="shared" si="59"/>
        <v>女</v>
      </c>
      <c r="H1519" s="4" t="str">
        <f>"1997-12-10"</f>
        <v>1997-12-10</v>
      </c>
      <c r="I1519" s="4">
        <v>69.5</v>
      </c>
      <c r="J1519" s="5"/>
    </row>
    <row r="1520" spans="1:10">
      <c r="A1520" s="4">
        <v>1516</v>
      </c>
      <c r="B1520" s="4" t="str">
        <f>"20207025126"</f>
        <v>20207025126</v>
      </c>
      <c r="C1520" s="4">
        <v>51</v>
      </c>
      <c r="D1520" s="4">
        <v>26</v>
      </c>
      <c r="E1520" s="4" t="s">
        <v>46</v>
      </c>
      <c r="F1520" s="4" t="str">
        <f>"宋建雯"</f>
        <v>宋建雯</v>
      </c>
      <c r="G1520" s="4" t="str">
        <f t="shared" si="59"/>
        <v>女</v>
      </c>
      <c r="H1520" s="4" t="str">
        <f>"1998-12-01"</f>
        <v>1998-12-01</v>
      </c>
      <c r="I1520" s="4">
        <v>84.6</v>
      </c>
      <c r="J1520" s="5"/>
    </row>
    <row r="1521" spans="1:10">
      <c r="A1521" s="4">
        <v>1517</v>
      </c>
      <c r="B1521" s="4" t="str">
        <f>"20207025127"</f>
        <v>20207025127</v>
      </c>
      <c r="C1521" s="4">
        <v>51</v>
      </c>
      <c r="D1521" s="4">
        <v>27</v>
      </c>
      <c r="E1521" s="4" t="s">
        <v>46</v>
      </c>
      <c r="F1521" s="4" t="str">
        <f>"刘航冉"</f>
        <v>刘航冉</v>
      </c>
      <c r="G1521" s="4" t="str">
        <f t="shared" si="59"/>
        <v>女</v>
      </c>
      <c r="H1521" s="4" t="str">
        <f>"1990-03-11"</f>
        <v>1990-03-11</v>
      </c>
      <c r="I1521" s="4">
        <v>64.1</v>
      </c>
      <c r="J1521" s="5"/>
    </row>
    <row r="1522" spans="1:10">
      <c r="A1522" s="4">
        <v>1518</v>
      </c>
      <c r="B1522" s="4" t="str">
        <f>"20207025128"</f>
        <v>20207025128</v>
      </c>
      <c r="C1522" s="4">
        <v>51</v>
      </c>
      <c r="D1522" s="4">
        <v>28</v>
      </c>
      <c r="E1522" s="4" t="s">
        <v>46</v>
      </c>
      <c r="F1522" s="4" t="str">
        <f>"王景"</f>
        <v>王景</v>
      </c>
      <c r="G1522" s="4" t="str">
        <f t="shared" si="59"/>
        <v>女</v>
      </c>
      <c r="H1522" s="4" t="str">
        <f>"1999-05-23"</f>
        <v>1999-05-23</v>
      </c>
      <c r="I1522" s="4">
        <v>61.5</v>
      </c>
      <c r="J1522" s="5"/>
    </row>
    <row r="1523" spans="1:10">
      <c r="A1523" s="4">
        <v>1519</v>
      </c>
      <c r="B1523" s="4" t="str">
        <f>"20207025129"</f>
        <v>20207025129</v>
      </c>
      <c r="C1523" s="4">
        <v>51</v>
      </c>
      <c r="D1523" s="4">
        <v>29</v>
      </c>
      <c r="E1523" s="4" t="s">
        <v>46</v>
      </c>
      <c r="F1523" s="4" t="str">
        <f>"侯金平"</f>
        <v>侯金平</v>
      </c>
      <c r="G1523" s="4" t="str">
        <f t="shared" si="59"/>
        <v>女</v>
      </c>
      <c r="H1523" s="4" t="str">
        <f>"1995-07-29"</f>
        <v>1995-07-29</v>
      </c>
      <c r="I1523" s="4">
        <v>77.2</v>
      </c>
      <c r="J1523" s="5"/>
    </row>
    <row r="1524" spans="1:10">
      <c r="A1524" s="4">
        <v>1520</v>
      </c>
      <c r="B1524" s="4" t="str">
        <f>"20207025130"</f>
        <v>20207025130</v>
      </c>
      <c r="C1524" s="4">
        <v>51</v>
      </c>
      <c r="D1524" s="4">
        <v>30</v>
      </c>
      <c r="E1524" s="4" t="s">
        <v>46</v>
      </c>
      <c r="F1524" s="4" t="str">
        <f>"王雪"</f>
        <v>王雪</v>
      </c>
      <c r="G1524" s="4" t="str">
        <f t="shared" si="59"/>
        <v>女</v>
      </c>
      <c r="H1524" s="4" t="str">
        <f>"1995-01-06"</f>
        <v>1995-01-06</v>
      </c>
      <c r="I1524" s="4">
        <v>48.8</v>
      </c>
      <c r="J1524" s="5"/>
    </row>
    <row r="1525" spans="1:10">
      <c r="A1525" s="4">
        <v>1521</v>
      </c>
      <c r="B1525" s="4" t="str">
        <f>"20207025201"</f>
        <v>20207025201</v>
      </c>
      <c r="C1525" s="4">
        <v>52</v>
      </c>
      <c r="D1525" s="4">
        <v>1</v>
      </c>
      <c r="E1525" s="4" t="s">
        <v>46</v>
      </c>
      <c r="F1525" s="4" t="str">
        <f>"张梦霞"</f>
        <v>张梦霞</v>
      </c>
      <c r="G1525" s="4" t="str">
        <f t="shared" si="59"/>
        <v>女</v>
      </c>
      <c r="H1525" s="4" t="str">
        <f>"1997-09-26"</f>
        <v>1997-09-26</v>
      </c>
      <c r="I1525" s="4">
        <v>72.2</v>
      </c>
      <c r="J1525" s="5"/>
    </row>
    <row r="1526" spans="1:10">
      <c r="A1526" s="4">
        <v>1522</v>
      </c>
      <c r="B1526" s="4" t="str">
        <f>"20207025202"</f>
        <v>20207025202</v>
      </c>
      <c r="C1526" s="4">
        <v>52</v>
      </c>
      <c r="D1526" s="4">
        <v>2</v>
      </c>
      <c r="E1526" s="4" t="s">
        <v>46</v>
      </c>
      <c r="F1526" s="4" t="str">
        <f>"赵明蕊"</f>
        <v>赵明蕊</v>
      </c>
      <c r="G1526" s="4" t="str">
        <f t="shared" si="59"/>
        <v>女</v>
      </c>
      <c r="H1526" s="4" t="str">
        <f>"1993-07-15"</f>
        <v>1993-07-15</v>
      </c>
      <c r="I1526" s="4">
        <v>59.2</v>
      </c>
      <c r="J1526" s="5"/>
    </row>
    <row r="1527" spans="1:10">
      <c r="A1527" s="4">
        <v>1523</v>
      </c>
      <c r="B1527" s="4" t="str">
        <f>"20207025203"</f>
        <v>20207025203</v>
      </c>
      <c r="C1527" s="4">
        <v>52</v>
      </c>
      <c r="D1527" s="4">
        <v>3</v>
      </c>
      <c r="E1527" s="4" t="s">
        <v>46</v>
      </c>
      <c r="F1527" s="4" t="str">
        <f>"徐皓"</f>
        <v>徐皓</v>
      </c>
      <c r="G1527" s="4" t="str">
        <f t="shared" si="59"/>
        <v>女</v>
      </c>
      <c r="H1527" s="4" t="str">
        <f>"1994-05-01"</f>
        <v>1994-05-01</v>
      </c>
      <c r="I1527" s="4">
        <v>79.9</v>
      </c>
      <c r="J1527" s="5"/>
    </row>
    <row r="1528" spans="1:10">
      <c r="A1528" s="4">
        <v>1524</v>
      </c>
      <c r="B1528" s="4" t="str">
        <f>"20207025204"</f>
        <v>20207025204</v>
      </c>
      <c r="C1528" s="4">
        <v>52</v>
      </c>
      <c r="D1528" s="4">
        <v>4</v>
      </c>
      <c r="E1528" s="4" t="s">
        <v>46</v>
      </c>
      <c r="F1528" s="4" t="str">
        <f>"周爽"</f>
        <v>周爽</v>
      </c>
      <c r="G1528" s="4" t="str">
        <f t="shared" si="59"/>
        <v>女</v>
      </c>
      <c r="H1528" s="4" t="str">
        <f>"1995-06-08"</f>
        <v>1995-06-08</v>
      </c>
      <c r="I1528" s="4">
        <v>66.8</v>
      </c>
      <c r="J1528" s="5"/>
    </row>
    <row r="1529" spans="1:10">
      <c r="A1529" s="4">
        <v>1525</v>
      </c>
      <c r="B1529" s="4" t="str">
        <f>"20207025205"</f>
        <v>20207025205</v>
      </c>
      <c r="C1529" s="4">
        <v>52</v>
      </c>
      <c r="D1529" s="4">
        <v>5</v>
      </c>
      <c r="E1529" s="4" t="s">
        <v>46</v>
      </c>
      <c r="F1529" s="4" t="str">
        <f>"杜颖慧"</f>
        <v>杜颖慧</v>
      </c>
      <c r="G1529" s="4" t="str">
        <f t="shared" si="59"/>
        <v>女</v>
      </c>
      <c r="H1529" s="4" t="str">
        <f>"1995-07-02"</f>
        <v>1995-07-02</v>
      </c>
      <c r="I1529" s="4">
        <v>64.7</v>
      </c>
      <c r="J1529" s="5"/>
    </row>
    <row r="1530" spans="1:10">
      <c r="A1530" s="4">
        <v>1526</v>
      </c>
      <c r="B1530" s="4" t="str">
        <f>"20207025206"</f>
        <v>20207025206</v>
      </c>
      <c r="C1530" s="4">
        <v>52</v>
      </c>
      <c r="D1530" s="4">
        <v>6</v>
      </c>
      <c r="E1530" s="4" t="s">
        <v>46</v>
      </c>
      <c r="F1530" s="4" t="str">
        <f>"王艳艳"</f>
        <v>王艳艳</v>
      </c>
      <c r="G1530" s="4" t="str">
        <f t="shared" si="59"/>
        <v>女</v>
      </c>
      <c r="H1530" s="4" t="str">
        <f>"1996-09-29"</f>
        <v>1996-09-29</v>
      </c>
      <c r="I1530" s="4">
        <v>67.2</v>
      </c>
      <c r="J1530" s="5"/>
    </row>
    <row r="1531" spans="1:10">
      <c r="A1531" s="4">
        <v>1527</v>
      </c>
      <c r="B1531" s="4" t="str">
        <f>"20207025207"</f>
        <v>20207025207</v>
      </c>
      <c r="C1531" s="4">
        <v>52</v>
      </c>
      <c r="D1531" s="4">
        <v>7</v>
      </c>
      <c r="E1531" s="4" t="s">
        <v>46</v>
      </c>
      <c r="F1531" s="4" t="str">
        <f>"孙晓燕"</f>
        <v>孙晓燕</v>
      </c>
      <c r="G1531" s="4" t="str">
        <f t="shared" si="59"/>
        <v>女</v>
      </c>
      <c r="H1531" s="4" t="str">
        <f>"1999-03-16"</f>
        <v>1999-03-16</v>
      </c>
      <c r="I1531" s="4">
        <v>66.8</v>
      </c>
      <c r="J1531" s="5"/>
    </row>
    <row r="1532" spans="1:10">
      <c r="A1532" s="4">
        <v>1528</v>
      </c>
      <c r="B1532" s="4" t="str">
        <f>"20207025208"</f>
        <v>20207025208</v>
      </c>
      <c r="C1532" s="4">
        <v>52</v>
      </c>
      <c r="D1532" s="4">
        <v>8</v>
      </c>
      <c r="E1532" s="4" t="s">
        <v>46</v>
      </c>
      <c r="F1532" s="4" t="str">
        <f>"吕健利"</f>
        <v>吕健利</v>
      </c>
      <c r="G1532" s="4" t="str">
        <f t="shared" si="59"/>
        <v>女</v>
      </c>
      <c r="H1532" s="4" t="str">
        <f>"1995-08-03"</f>
        <v>1995-08-03</v>
      </c>
      <c r="I1532" s="4">
        <v>71.3</v>
      </c>
      <c r="J1532" s="5"/>
    </row>
    <row r="1533" spans="1:10">
      <c r="A1533" s="4">
        <v>1529</v>
      </c>
      <c r="B1533" s="4" t="str">
        <f>"20207025209"</f>
        <v>20207025209</v>
      </c>
      <c r="C1533" s="4">
        <v>52</v>
      </c>
      <c r="D1533" s="4">
        <v>9</v>
      </c>
      <c r="E1533" s="4" t="s">
        <v>46</v>
      </c>
      <c r="F1533" s="4" t="str">
        <f>"田亚会"</f>
        <v>田亚会</v>
      </c>
      <c r="G1533" s="4" t="str">
        <f t="shared" si="59"/>
        <v>女</v>
      </c>
      <c r="H1533" s="4" t="str">
        <f>"1999-04-24"</f>
        <v>1999-04-24</v>
      </c>
      <c r="I1533" s="4">
        <v>68.5</v>
      </c>
      <c r="J1533" s="5"/>
    </row>
    <row r="1534" spans="1:10">
      <c r="A1534" s="4">
        <v>1530</v>
      </c>
      <c r="B1534" s="4" t="str">
        <f>"20207025210"</f>
        <v>20207025210</v>
      </c>
      <c r="C1534" s="4">
        <v>52</v>
      </c>
      <c r="D1534" s="4">
        <v>10</v>
      </c>
      <c r="E1534" s="4" t="s">
        <v>46</v>
      </c>
      <c r="F1534" s="4" t="str">
        <f>"乔雅"</f>
        <v>乔雅</v>
      </c>
      <c r="G1534" s="4" t="str">
        <f t="shared" si="59"/>
        <v>女</v>
      </c>
      <c r="H1534" s="4" t="str">
        <f>"1995-09-07"</f>
        <v>1995-09-07</v>
      </c>
      <c r="I1534" s="4">
        <v>75.5</v>
      </c>
      <c r="J1534" s="5"/>
    </row>
    <row r="1535" spans="1:10">
      <c r="A1535" s="4">
        <v>1531</v>
      </c>
      <c r="B1535" s="4" t="str">
        <f>"20207025211"</f>
        <v>20207025211</v>
      </c>
      <c r="C1535" s="4">
        <v>52</v>
      </c>
      <c r="D1535" s="4">
        <v>11</v>
      </c>
      <c r="E1535" s="4" t="s">
        <v>46</v>
      </c>
      <c r="F1535" s="4" t="str">
        <f>"刘欢"</f>
        <v>刘欢</v>
      </c>
      <c r="G1535" s="4" t="str">
        <f t="shared" ref="G1535:G1549" si="60">"女"</f>
        <v>女</v>
      </c>
      <c r="H1535" s="4" t="str">
        <f>"1997-05-10"</f>
        <v>1997-05-10</v>
      </c>
      <c r="I1535" s="4" t="s">
        <v>12</v>
      </c>
      <c r="J1535" s="5"/>
    </row>
    <row r="1536" spans="1:10">
      <c r="A1536" s="4">
        <v>1532</v>
      </c>
      <c r="B1536" s="4" t="str">
        <f>"20207025212"</f>
        <v>20207025212</v>
      </c>
      <c r="C1536" s="4">
        <v>52</v>
      </c>
      <c r="D1536" s="4">
        <v>12</v>
      </c>
      <c r="E1536" s="4" t="s">
        <v>46</v>
      </c>
      <c r="F1536" s="4" t="str">
        <f>"李丹丹"</f>
        <v>李丹丹</v>
      </c>
      <c r="G1536" s="4" t="str">
        <f t="shared" si="60"/>
        <v>女</v>
      </c>
      <c r="H1536" s="4" t="str">
        <f>"1999-11-29"</f>
        <v>1999-11-29</v>
      </c>
      <c r="I1536" s="4">
        <v>71.9</v>
      </c>
      <c r="J1536" s="5"/>
    </row>
    <row r="1537" spans="1:10">
      <c r="A1537" s="4">
        <v>1533</v>
      </c>
      <c r="B1537" s="4" t="str">
        <f>"20207025213"</f>
        <v>20207025213</v>
      </c>
      <c r="C1537" s="4">
        <v>52</v>
      </c>
      <c r="D1537" s="4">
        <v>13</v>
      </c>
      <c r="E1537" s="4" t="s">
        <v>46</v>
      </c>
      <c r="F1537" s="4" t="str">
        <f>"李宏宇"</f>
        <v>李宏宇</v>
      </c>
      <c r="G1537" s="4" t="str">
        <f t="shared" si="60"/>
        <v>女</v>
      </c>
      <c r="H1537" s="4" t="str">
        <f>"1997-07-18"</f>
        <v>1997-07-18</v>
      </c>
      <c r="I1537" s="4">
        <v>75.5</v>
      </c>
      <c r="J1537" s="5"/>
    </row>
    <row r="1538" spans="1:10">
      <c r="A1538" s="4">
        <v>1534</v>
      </c>
      <c r="B1538" s="4" t="str">
        <f>"20207025214"</f>
        <v>20207025214</v>
      </c>
      <c r="C1538" s="4">
        <v>52</v>
      </c>
      <c r="D1538" s="4">
        <v>14</v>
      </c>
      <c r="E1538" s="4" t="s">
        <v>46</v>
      </c>
      <c r="F1538" s="4" t="str">
        <f>"陈士峰"</f>
        <v>陈士峰</v>
      </c>
      <c r="G1538" s="4" t="str">
        <f t="shared" si="60"/>
        <v>女</v>
      </c>
      <c r="H1538" s="4" t="str">
        <f>"1998-06-19"</f>
        <v>1998-06-19</v>
      </c>
      <c r="I1538" s="4">
        <v>59.2</v>
      </c>
      <c r="J1538" s="5"/>
    </row>
    <row r="1539" spans="1:10">
      <c r="A1539" s="4">
        <v>1535</v>
      </c>
      <c r="B1539" s="4" t="str">
        <f>"20207025215"</f>
        <v>20207025215</v>
      </c>
      <c r="C1539" s="4">
        <v>52</v>
      </c>
      <c r="D1539" s="4">
        <v>15</v>
      </c>
      <c r="E1539" s="4" t="s">
        <v>46</v>
      </c>
      <c r="F1539" s="4" t="str">
        <f>"张凤仙"</f>
        <v>张凤仙</v>
      </c>
      <c r="G1539" s="4" t="str">
        <f t="shared" si="60"/>
        <v>女</v>
      </c>
      <c r="H1539" s="4" t="str">
        <f>"1995-12-10"</f>
        <v>1995-12-10</v>
      </c>
      <c r="I1539" s="4">
        <v>68.2</v>
      </c>
      <c r="J1539" s="5"/>
    </row>
    <row r="1540" spans="1:10">
      <c r="A1540" s="4">
        <v>1536</v>
      </c>
      <c r="B1540" s="4" t="str">
        <f>"20207025216"</f>
        <v>20207025216</v>
      </c>
      <c r="C1540" s="4">
        <v>52</v>
      </c>
      <c r="D1540" s="4">
        <v>16</v>
      </c>
      <c r="E1540" s="4" t="s">
        <v>46</v>
      </c>
      <c r="F1540" s="4" t="str">
        <f>"周琳"</f>
        <v>周琳</v>
      </c>
      <c r="G1540" s="4" t="str">
        <f t="shared" si="60"/>
        <v>女</v>
      </c>
      <c r="H1540" s="4" t="str">
        <f>"1997-07-01"</f>
        <v>1997-07-01</v>
      </c>
      <c r="I1540" s="4" t="s">
        <v>12</v>
      </c>
      <c r="J1540" s="5"/>
    </row>
    <row r="1541" spans="1:10">
      <c r="A1541" s="4">
        <v>1537</v>
      </c>
      <c r="B1541" s="4" t="str">
        <f>"20207025217"</f>
        <v>20207025217</v>
      </c>
      <c r="C1541" s="4">
        <v>52</v>
      </c>
      <c r="D1541" s="4">
        <v>17</v>
      </c>
      <c r="E1541" s="4" t="s">
        <v>46</v>
      </c>
      <c r="F1541" s="4" t="str">
        <f>"惠斌"</f>
        <v>惠斌</v>
      </c>
      <c r="G1541" s="4" t="str">
        <f t="shared" si="60"/>
        <v>女</v>
      </c>
      <c r="H1541" s="4" t="str">
        <f>"1994-03-03"</f>
        <v>1994-03-03</v>
      </c>
      <c r="I1541" s="4">
        <v>69.9</v>
      </c>
      <c r="J1541" s="5"/>
    </row>
    <row r="1542" spans="1:10">
      <c r="A1542" s="4">
        <v>1538</v>
      </c>
      <c r="B1542" s="4" t="str">
        <f>"20207025218"</f>
        <v>20207025218</v>
      </c>
      <c r="C1542" s="4">
        <v>52</v>
      </c>
      <c r="D1542" s="4">
        <v>18</v>
      </c>
      <c r="E1542" s="4" t="s">
        <v>46</v>
      </c>
      <c r="F1542" s="4" t="str">
        <f>"张丹"</f>
        <v>张丹</v>
      </c>
      <c r="G1542" s="4" t="str">
        <f t="shared" si="60"/>
        <v>女</v>
      </c>
      <c r="H1542" s="4" t="str">
        <f>"1992-07-07"</f>
        <v>1992-07-07</v>
      </c>
      <c r="I1542" s="4" t="s">
        <v>12</v>
      </c>
      <c r="J1542" s="5"/>
    </row>
    <row r="1543" spans="1:10">
      <c r="A1543" s="4">
        <v>1539</v>
      </c>
      <c r="B1543" s="4" t="str">
        <f>"20207025219"</f>
        <v>20207025219</v>
      </c>
      <c r="C1543" s="4">
        <v>52</v>
      </c>
      <c r="D1543" s="4">
        <v>19</v>
      </c>
      <c r="E1543" s="4" t="s">
        <v>46</v>
      </c>
      <c r="F1543" s="4" t="str">
        <f>"张梦瑶"</f>
        <v>张梦瑶</v>
      </c>
      <c r="G1543" s="4" t="str">
        <f t="shared" si="60"/>
        <v>女</v>
      </c>
      <c r="H1543" s="4" t="str">
        <f>"1998-04-24"</f>
        <v>1998-04-24</v>
      </c>
      <c r="I1543" s="4">
        <v>69.6</v>
      </c>
      <c r="J1543" s="5"/>
    </row>
    <row r="1544" spans="1:10">
      <c r="A1544" s="4">
        <v>1540</v>
      </c>
      <c r="B1544" s="4" t="str">
        <f>"20207025220"</f>
        <v>20207025220</v>
      </c>
      <c r="C1544" s="4">
        <v>52</v>
      </c>
      <c r="D1544" s="4">
        <v>20</v>
      </c>
      <c r="E1544" s="4" t="s">
        <v>46</v>
      </c>
      <c r="F1544" s="4" t="str">
        <f>"赵红宇"</f>
        <v>赵红宇</v>
      </c>
      <c r="G1544" s="4" t="str">
        <f t="shared" si="60"/>
        <v>女</v>
      </c>
      <c r="H1544" s="4" t="str">
        <f>"1997-12-22"</f>
        <v>1997-12-22</v>
      </c>
      <c r="I1544" s="4" t="s">
        <v>12</v>
      </c>
      <c r="J1544" s="5"/>
    </row>
    <row r="1545" spans="1:10">
      <c r="A1545" s="4">
        <v>1541</v>
      </c>
      <c r="B1545" s="4" t="str">
        <f>"20207025221"</f>
        <v>20207025221</v>
      </c>
      <c r="C1545" s="4">
        <v>52</v>
      </c>
      <c r="D1545" s="4">
        <v>21</v>
      </c>
      <c r="E1545" s="4" t="s">
        <v>46</v>
      </c>
      <c r="F1545" s="4" t="str">
        <f>"金千贺"</f>
        <v>金千贺</v>
      </c>
      <c r="G1545" s="4" t="str">
        <f t="shared" si="60"/>
        <v>女</v>
      </c>
      <c r="H1545" s="4" t="str">
        <f>"1997-09-03"</f>
        <v>1997-09-03</v>
      </c>
      <c r="I1545" s="4">
        <v>65.9</v>
      </c>
      <c r="J1545" s="5"/>
    </row>
    <row r="1546" spans="1:10">
      <c r="A1546" s="4">
        <v>1542</v>
      </c>
      <c r="B1546" s="4" t="str">
        <f>"20207025222"</f>
        <v>20207025222</v>
      </c>
      <c r="C1546" s="4">
        <v>52</v>
      </c>
      <c r="D1546" s="4">
        <v>22</v>
      </c>
      <c r="E1546" s="4" t="s">
        <v>46</v>
      </c>
      <c r="F1546" s="4" t="str">
        <f>"周贺"</f>
        <v>周贺</v>
      </c>
      <c r="G1546" s="4" t="str">
        <f t="shared" si="60"/>
        <v>女</v>
      </c>
      <c r="H1546" s="4" t="str">
        <f>"1995-01-10"</f>
        <v>1995-01-10</v>
      </c>
      <c r="I1546" s="4">
        <v>76.9</v>
      </c>
      <c r="J1546" s="5"/>
    </row>
    <row r="1547" spans="1:10">
      <c r="A1547" s="4">
        <v>1543</v>
      </c>
      <c r="B1547" s="4" t="str">
        <f>"20207025223"</f>
        <v>20207025223</v>
      </c>
      <c r="C1547" s="4">
        <v>52</v>
      </c>
      <c r="D1547" s="4">
        <v>23</v>
      </c>
      <c r="E1547" s="4" t="s">
        <v>46</v>
      </c>
      <c r="F1547" s="4" t="str">
        <f>"刘蓓"</f>
        <v>刘蓓</v>
      </c>
      <c r="G1547" s="4" t="str">
        <f t="shared" si="60"/>
        <v>女</v>
      </c>
      <c r="H1547" s="4" t="str">
        <f>"1994-01-30"</f>
        <v>1994-01-30</v>
      </c>
      <c r="I1547" s="4">
        <v>72.9</v>
      </c>
      <c r="J1547" s="5"/>
    </row>
    <row r="1548" spans="1:10">
      <c r="A1548" s="4">
        <v>1544</v>
      </c>
      <c r="B1548" s="4" t="str">
        <f>"20207025224"</f>
        <v>20207025224</v>
      </c>
      <c r="C1548" s="4">
        <v>52</v>
      </c>
      <c r="D1548" s="4">
        <v>24</v>
      </c>
      <c r="E1548" s="4" t="s">
        <v>46</v>
      </c>
      <c r="F1548" s="4" t="str">
        <f>"张彬彬"</f>
        <v>张彬彬</v>
      </c>
      <c r="G1548" s="4" t="str">
        <f t="shared" si="60"/>
        <v>女</v>
      </c>
      <c r="H1548" s="4" t="str">
        <f>"1995-03-25"</f>
        <v>1995-03-25</v>
      </c>
      <c r="I1548" s="4">
        <v>64.1</v>
      </c>
      <c r="J1548" s="5"/>
    </row>
    <row r="1549" spans="1:10">
      <c r="A1549" s="4">
        <v>1545</v>
      </c>
      <c r="B1549" s="4" t="str">
        <f>"20207025225"</f>
        <v>20207025225</v>
      </c>
      <c r="C1549" s="4">
        <v>52</v>
      </c>
      <c r="D1549" s="4">
        <v>25</v>
      </c>
      <c r="E1549" s="4" t="s">
        <v>46</v>
      </c>
      <c r="F1549" s="4" t="str">
        <f>"岳妍"</f>
        <v>岳妍</v>
      </c>
      <c r="G1549" s="4" t="str">
        <f t="shared" si="60"/>
        <v>女</v>
      </c>
      <c r="H1549" s="4" t="str">
        <f>"1996-12-18"</f>
        <v>1996-12-18</v>
      </c>
      <c r="I1549" s="4">
        <v>83.2</v>
      </c>
      <c r="J1549" s="5"/>
    </row>
    <row r="1550" spans="1:10">
      <c r="A1550" s="4">
        <v>1546</v>
      </c>
      <c r="B1550" s="4" t="str">
        <f>"20207025226"</f>
        <v>20207025226</v>
      </c>
      <c r="C1550" s="4">
        <v>52</v>
      </c>
      <c r="D1550" s="4">
        <v>26</v>
      </c>
      <c r="E1550" s="4" t="s">
        <v>46</v>
      </c>
      <c r="F1550" s="4" t="str">
        <f>"丁艺琛"</f>
        <v>丁艺琛</v>
      </c>
      <c r="G1550" s="4" t="str">
        <f>"男"</f>
        <v>男</v>
      </c>
      <c r="H1550" s="4" t="str">
        <f>"1999-01-18"</f>
        <v>1999-01-18</v>
      </c>
      <c r="I1550" s="4">
        <v>50.6</v>
      </c>
      <c r="J1550" s="5"/>
    </row>
    <row r="1551" spans="1:10">
      <c r="A1551" s="4">
        <v>1547</v>
      </c>
      <c r="B1551" s="4" t="str">
        <f>"20207025227"</f>
        <v>20207025227</v>
      </c>
      <c r="C1551" s="4">
        <v>52</v>
      </c>
      <c r="D1551" s="4">
        <v>27</v>
      </c>
      <c r="E1551" s="4" t="s">
        <v>46</v>
      </c>
      <c r="F1551" s="4" t="str">
        <f>"王芳"</f>
        <v>王芳</v>
      </c>
      <c r="G1551" s="4" t="str">
        <f t="shared" ref="G1551:G1586" si="61">"女"</f>
        <v>女</v>
      </c>
      <c r="H1551" s="4" t="str">
        <f>"1995-03-20"</f>
        <v>1995-03-20</v>
      </c>
      <c r="I1551" s="4">
        <v>68.9</v>
      </c>
      <c r="J1551" s="5"/>
    </row>
    <row r="1552" spans="1:10">
      <c r="A1552" s="4">
        <v>1548</v>
      </c>
      <c r="B1552" s="4" t="str">
        <f>"20207025228"</f>
        <v>20207025228</v>
      </c>
      <c r="C1552" s="4">
        <v>52</v>
      </c>
      <c r="D1552" s="4">
        <v>28</v>
      </c>
      <c r="E1552" s="4" t="s">
        <v>46</v>
      </c>
      <c r="F1552" s="4" t="str">
        <f>"李恩玲"</f>
        <v>李恩玲</v>
      </c>
      <c r="G1552" s="4" t="str">
        <f t="shared" si="61"/>
        <v>女</v>
      </c>
      <c r="H1552" s="4" t="str">
        <f>"1992-04-13"</f>
        <v>1992-04-13</v>
      </c>
      <c r="I1552" s="4">
        <v>77.5</v>
      </c>
      <c r="J1552" s="5"/>
    </row>
    <row r="1553" spans="1:10">
      <c r="A1553" s="4">
        <v>1549</v>
      </c>
      <c r="B1553" s="4" t="str">
        <f>"20207025229"</f>
        <v>20207025229</v>
      </c>
      <c r="C1553" s="4">
        <v>52</v>
      </c>
      <c r="D1553" s="4">
        <v>29</v>
      </c>
      <c r="E1553" s="4" t="s">
        <v>46</v>
      </c>
      <c r="F1553" s="4" t="str">
        <f>"汪祖贤"</f>
        <v>汪祖贤</v>
      </c>
      <c r="G1553" s="4" t="str">
        <f t="shared" si="61"/>
        <v>女</v>
      </c>
      <c r="H1553" s="4" t="str">
        <f>"1998-02-05"</f>
        <v>1998-02-05</v>
      </c>
      <c r="I1553" s="4">
        <v>71.2</v>
      </c>
      <c r="J1553" s="5"/>
    </row>
    <row r="1554" spans="1:10">
      <c r="A1554" s="4">
        <v>1550</v>
      </c>
      <c r="B1554" s="4" t="str">
        <f>"20207025230"</f>
        <v>20207025230</v>
      </c>
      <c r="C1554" s="4">
        <v>52</v>
      </c>
      <c r="D1554" s="4">
        <v>30</v>
      </c>
      <c r="E1554" s="4" t="s">
        <v>46</v>
      </c>
      <c r="F1554" s="4" t="str">
        <f>"马慧"</f>
        <v>马慧</v>
      </c>
      <c r="G1554" s="4" t="str">
        <f t="shared" si="61"/>
        <v>女</v>
      </c>
      <c r="H1554" s="4" t="str">
        <f>"1998-09-24"</f>
        <v>1998-09-24</v>
      </c>
      <c r="I1554" s="4" t="s">
        <v>12</v>
      </c>
      <c r="J1554" s="5"/>
    </row>
    <row r="1555" spans="1:10">
      <c r="A1555" s="4">
        <v>1551</v>
      </c>
      <c r="B1555" s="4" t="str">
        <f>"20207025301"</f>
        <v>20207025301</v>
      </c>
      <c r="C1555" s="4">
        <v>53</v>
      </c>
      <c r="D1555" s="4">
        <v>1</v>
      </c>
      <c r="E1555" s="4" t="s">
        <v>46</v>
      </c>
      <c r="F1555" s="4" t="str">
        <f>"叶争"</f>
        <v>叶争</v>
      </c>
      <c r="G1555" s="4" t="str">
        <f t="shared" si="61"/>
        <v>女</v>
      </c>
      <c r="H1555" s="4" t="str">
        <f>"1998-06-01"</f>
        <v>1998-06-01</v>
      </c>
      <c r="I1555" s="4">
        <v>56.1</v>
      </c>
      <c r="J1555" s="5"/>
    </row>
    <row r="1556" spans="1:10">
      <c r="A1556" s="4">
        <v>1552</v>
      </c>
      <c r="B1556" s="4" t="str">
        <f>"20207025302"</f>
        <v>20207025302</v>
      </c>
      <c r="C1556" s="4">
        <v>53</v>
      </c>
      <c r="D1556" s="4">
        <v>2</v>
      </c>
      <c r="E1556" s="4" t="s">
        <v>46</v>
      </c>
      <c r="F1556" s="4" t="str">
        <f>"曲颖"</f>
        <v>曲颖</v>
      </c>
      <c r="G1556" s="4" t="str">
        <f t="shared" si="61"/>
        <v>女</v>
      </c>
      <c r="H1556" s="4" t="str">
        <f>"2000-02-19"</f>
        <v>2000-02-19</v>
      </c>
      <c r="I1556" s="4">
        <v>70.2</v>
      </c>
      <c r="J1556" s="5"/>
    </row>
    <row r="1557" spans="1:10">
      <c r="A1557" s="4">
        <v>1553</v>
      </c>
      <c r="B1557" s="4" t="str">
        <f>"20207025303"</f>
        <v>20207025303</v>
      </c>
      <c r="C1557" s="4">
        <v>53</v>
      </c>
      <c r="D1557" s="4">
        <v>3</v>
      </c>
      <c r="E1557" s="4" t="s">
        <v>46</v>
      </c>
      <c r="F1557" s="4" t="str">
        <f>"张莹"</f>
        <v>张莹</v>
      </c>
      <c r="G1557" s="4" t="str">
        <f t="shared" si="61"/>
        <v>女</v>
      </c>
      <c r="H1557" s="4" t="str">
        <f>"1990-02-24"</f>
        <v>1990-02-24</v>
      </c>
      <c r="I1557" s="4">
        <v>68.4</v>
      </c>
      <c r="J1557" s="5"/>
    </row>
    <row r="1558" spans="1:10">
      <c r="A1558" s="4">
        <v>1554</v>
      </c>
      <c r="B1558" s="4" t="str">
        <f>"20207025304"</f>
        <v>20207025304</v>
      </c>
      <c r="C1558" s="4">
        <v>53</v>
      </c>
      <c r="D1558" s="4">
        <v>4</v>
      </c>
      <c r="E1558" s="4" t="s">
        <v>46</v>
      </c>
      <c r="F1558" s="4" t="str">
        <f>"徐五一"</f>
        <v>徐五一</v>
      </c>
      <c r="G1558" s="4" t="str">
        <f t="shared" si="61"/>
        <v>女</v>
      </c>
      <c r="H1558" s="4" t="str">
        <f>"1999-05-01"</f>
        <v>1999-05-01</v>
      </c>
      <c r="I1558" s="4">
        <v>58.5</v>
      </c>
      <c r="J1558" s="5"/>
    </row>
    <row r="1559" spans="1:10">
      <c r="A1559" s="4">
        <v>1555</v>
      </c>
      <c r="B1559" s="4" t="str">
        <f>"20207025305"</f>
        <v>20207025305</v>
      </c>
      <c r="C1559" s="4">
        <v>53</v>
      </c>
      <c r="D1559" s="4">
        <v>5</v>
      </c>
      <c r="E1559" s="4" t="s">
        <v>46</v>
      </c>
      <c r="F1559" s="4" t="str">
        <f>"侯海燕"</f>
        <v>侯海燕</v>
      </c>
      <c r="G1559" s="4" t="str">
        <f t="shared" si="61"/>
        <v>女</v>
      </c>
      <c r="H1559" s="4" t="str">
        <f>"2001-06-03"</f>
        <v>2001-06-03</v>
      </c>
      <c r="I1559" s="4">
        <v>68.6</v>
      </c>
      <c r="J1559" s="5"/>
    </row>
    <row r="1560" spans="1:10">
      <c r="A1560" s="4">
        <v>1556</v>
      </c>
      <c r="B1560" s="4" t="str">
        <f>"20207025306"</f>
        <v>20207025306</v>
      </c>
      <c r="C1560" s="4">
        <v>53</v>
      </c>
      <c r="D1560" s="4">
        <v>6</v>
      </c>
      <c r="E1560" s="4" t="s">
        <v>46</v>
      </c>
      <c r="F1560" s="4" t="str">
        <f>"刘师苹"</f>
        <v>刘师苹</v>
      </c>
      <c r="G1560" s="4" t="str">
        <f t="shared" si="61"/>
        <v>女</v>
      </c>
      <c r="H1560" s="4" t="str">
        <f>"1997-12-15"</f>
        <v>1997-12-15</v>
      </c>
      <c r="I1560" s="4">
        <v>65.9</v>
      </c>
      <c r="J1560" s="5"/>
    </row>
    <row r="1561" spans="1:10">
      <c r="A1561" s="4">
        <v>1557</v>
      </c>
      <c r="B1561" s="4" t="str">
        <f>"20207025307"</f>
        <v>20207025307</v>
      </c>
      <c r="C1561" s="4">
        <v>53</v>
      </c>
      <c r="D1561" s="4">
        <v>7</v>
      </c>
      <c r="E1561" s="4" t="s">
        <v>46</v>
      </c>
      <c r="F1561" s="4" t="str">
        <f>"朱东莉"</f>
        <v>朱东莉</v>
      </c>
      <c r="G1561" s="4" t="str">
        <f t="shared" si="61"/>
        <v>女</v>
      </c>
      <c r="H1561" s="4" t="str">
        <f>"1998-05-23"</f>
        <v>1998-05-23</v>
      </c>
      <c r="I1561" s="4">
        <v>66.8</v>
      </c>
      <c r="J1561" s="5"/>
    </row>
    <row r="1562" spans="1:10">
      <c r="A1562" s="4">
        <v>1558</v>
      </c>
      <c r="B1562" s="4" t="str">
        <f>"20207025308"</f>
        <v>20207025308</v>
      </c>
      <c r="C1562" s="4">
        <v>53</v>
      </c>
      <c r="D1562" s="4">
        <v>8</v>
      </c>
      <c r="E1562" s="4" t="s">
        <v>46</v>
      </c>
      <c r="F1562" s="4" t="str">
        <f>"徐乐"</f>
        <v>徐乐</v>
      </c>
      <c r="G1562" s="4" t="str">
        <f t="shared" si="61"/>
        <v>女</v>
      </c>
      <c r="H1562" s="4" t="str">
        <f>"1993-07-12"</f>
        <v>1993-07-12</v>
      </c>
      <c r="I1562" s="4">
        <v>70.5</v>
      </c>
      <c r="J1562" s="5"/>
    </row>
    <row r="1563" spans="1:10">
      <c r="A1563" s="4">
        <v>1559</v>
      </c>
      <c r="B1563" s="4" t="str">
        <f>"20207025309"</f>
        <v>20207025309</v>
      </c>
      <c r="C1563" s="4">
        <v>53</v>
      </c>
      <c r="D1563" s="4">
        <v>9</v>
      </c>
      <c r="E1563" s="4" t="s">
        <v>46</v>
      </c>
      <c r="F1563" s="4" t="str">
        <f>"李爽"</f>
        <v>李爽</v>
      </c>
      <c r="G1563" s="4" t="str">
        <f t="shared" si="61"/>
        <v>女</v>
      </c>
      <c r="H1563" s="4" t="str">
        <f>"1996-02-21"</f>
        <v>1996-02-21</v>
      </c>
      <c r="I1563" s="4">
        <v>62.1</v>
      </c>
      <c r="J1563" s="5"/>
    </row>
    <row r="1564" spans="1:10">
      <c r="A1564" s="4">
        <v>1560</v>
      </c>
      <c r="B1564" s="4" t="str">
        <f>"20207025310"</f>
        <v>20207025310</v>
      </c>
      <c r="C1564" s="4">
        <v>53</v>
      </c>
      <c r="D1564" s="4">
        <v>10</v>
      </c>
      <c r="E1564" s="4" t="s">
        <v>46</v>
      </c>
      <c r="F1564" s="4" t="str">
        <f>"庄梦丽"</f>
        <v>庄梦丽</v>
      </c>
      <c r="G1564" s="4" t="str">
        <f t="shared" si="61"/>
        <v>女</v>
      </c>
      <c r="H1564" s="4" t="str">
        <f>"1998-05-11"</f>
        <v>1998-05-11</v>
      </c>
      <c r="I1564" s="4" t="s">
        <v>12</v>
      </c>
      <c r="J1564" s="5"/>
    </row>
    <row r="1565" spans="1:10">
      <c r="A1565" s="4">
        <v>1561</v>
      </c>
      <c r="B1565" s="4" t="str">
        <f>"20207025311"</f>
        <v>20207025311</v>
      </c>
      <c r="C1565" s="4">
        <v>53</v>
      </c>
      <c r="D1565" s="4">
        <v>11</v>
      </c>
      <c r="E1565" s="4" t="s">
        <v>46</v>
      </c>
      <c r="F1565" s="4" t="str">
        <f>"夏婉"</f>
        <v>夏婉</v>
      </c>
      <c r="G1565" s="4" t="str">
        <f t="shared" si="61"/>
        <v>女</v>
      </c>
      <c r="H1565" s="4" t="str">
        <f>"1994-11-06"</f>
        <v>1994-11-06</v>
      </c>
      <c r="I1565" s="4">
        <v>75.2</v>
      </c>
      <c r="J1565" s="5"/>
    </row>
    <row r="1566" spans="1:10">
      <c r="A1566" s="4">
        <v>1562</v>
      </c>
      <c r="B1566" s="4" t="str">
        <f>"20207025312"</f>
        <v>20207025312</v>
      </c>
      <c r="C1566" s="4">
        <v>53</v>
      </c>
      <c r="D1566" s="4">
        <v>12</v>
      </c>
      <c r="E1566" s="4" t="s">
        <v>46</v>
      </c>
      <c r="F1566" s="4" t="str">
        <f>"史沛欣"</f>
        <v>史沛欣</v>
      </c>
      <c r="G1566" s="4" t="str">
        <f t="shared" si="61"/>
        <v>女</v>
      </c>
      <c r="H1566" s="4" t="str">
        <f>"1997-10-20"</f>
        <v>1997-10-20</v>
      </c>
      <c r="I1566" s="4">
        <v>57.8</v>
      </c>
      <c r="J1566" s="5"/>
    </row>
    <row r="1567" spans="1:10">
      <c r="A1567" s="4">
        <v>1563</v>
      </c>
      <c r="B1567" s="4" t="str">
        <f>"20207025313"</f>
        <v>20207025313</v>
      </c>
      <c r="C1567" s="4">
        <v>53</v>
      </c>
      <c r="D1567" s="4">
        <v>13</v>
      </c>
      <c r="E1567" s="4" t="s">
        <v>46</v>
      </c>
      <c r="F1567" s="4" t="str">
        <f>"余乐"</f>
        <v>余乐</v>
      </c>
      <c r="G1567" s="4" t="str">
        <f t="shared" si="61"/>
        <v>女</v>
      </c>
      <c r="H1567" s="4" t="str">
        <f>"1999-11-16"</f>
        <v>1999-11-16</v>
      </c>
      <c r="I1567" s="4">
        <v>69.1</v>
      </c>
      <c r="J1567" s="5"/>
    </row>
    <row r="1568" spans="1:10">
      <c r="A1568" s="4">
        <v>1564</v>
      </c>
      <c r="B1568" s="4" t="str">
        <f>"20207025314"</f>
        <v>20207025314</v>
      </c>
      <c r="C1568" s="4">
        <v>53</v>
      </c>
      <c r="D1568" s="4">
        <v>14</v>
      </c>
      <c r="E1568" s="4" t="s">
        <v>46</v>
      </c>
      <c r="F1568" s="4" t="str">
        <f>"秦华君"</f>
        <v>秦华君</v>
      </c>
      <c r="G1568" s="4" t="str">
        <f t="shared" si="61"/>
        <v>女</v>
      </c>
      <c r="H1568" s="4" t="str">
        <f>"1996-10-27"</f>
        <v>1996-10-27</v>
      </c>
      <c r="I1568" s="4">
        <v>57.8</v>
      </c>
      <c r="J1568" s="5"/>
    </row>
    <row r="1569" spans="1:10">
      <c r="A1569" s="4">
        <v>1565</v>
      </c>
      <c r="B1569" s="4" t="str">
        <f>"20207025315"</f>
        <v>20207025315</v>
      </c>
      <c r="C1569" s="4">
        <v>53</v>
      </c>
      <c r="D1569" s="4">
        <v>15</v>
      </c>
      <c r="E1569" s="4" t="s">
        <v>46</v>
      </c>
      <c r="F1569" s="4" t="str">
        <f>"邢小燕"</f>
        <v>邢小燕</v>
      </c>
      <c r="G1569" s="4" t="str">
        <f t="shared" si="61"/>
        <v>女</v>
      </c>
      <c r="H1569" s="4" t="str">
        <f>"1996-10-07"</f>
        <v>1996-10-07</v>
      </c>
      <c r="I1569" s="4">
        <v>58</v>
      </c>
      <c r="J1569" s="5"/>
    </row>
    <row r="1570" spans="1:10">
      <c r="A1570" s="4">
        <v>1566</v>
      </c>
      <c r="B1570" s="4" t="str">
        <f>"20207025316"</f>
        <v>20207025316</v>
      </c>
      <c r="C1570" s="4">
        <v>53</v>
      </c>
      <c r="D1570" s="4">
        <v>16</v>
      </c>
      <c r="E1570" s="4" t="s">
        <v>46</v>
      </c>
      <c r="F1570" s="4" t="str">
        <f>"董新惠"</f>
        <v>董新惠</v>
      </c>
      <c r="G1570" s="4" t="str">
        <f t="shared" si="61"/>
        <v>女</v>
      </c>
      <c r="H1570" s="4" t="str">
        <f>"1997-02-27"</f>
        <v>1997-02-27</v>
      </c>
      <c r="I1570" s="4" t="s">
        <v>12</v>
      </c>
      <c r="J1570" s="5"/>
    </row>
    <row r="1571" spans="1:10">
      <c r="A1571" s="4">
        <v>1567</v>
      </c>
      <c r="B1571" s="4" t="str">
        <f>"20207025317"</f>
        <v>20207025317</v>
      </c>
      <c r="C1571" s="4">
        <v>53</v>
      </c>
      <c r="D1571" s="4">
        <v>17</v>
      </c>
      <c r="E1571" s="4" t="s">
        <v>46</v>
      </c>
      <c r="F1571" s="4" t="str">
        <f>"朱媛媛"</f>
        <v>朱媛媛</v>
      </c>
      <c r="G1571" s="4" t="str">
        <f t="shared" si="61"/>
        <v>女</v>
      </c>
      <c r="H1571" s="4" t="str">
        <f>"1991-01-31"</f>
        <v>1991-01-31</v>
      </c>
      <c r="I1571" s="4">
        <v>76.5</v>
      </c>
      <c r="J1571" s="5"/>
    </row>
    <row r="1572" spans="1:10">
      <c r="A1572" s="4">
        <v>1568</v>
      </c>
      <c r="B1572" s="4" t="str">
        <f>"20207025318"</f>
        <v>20207025318</v>
      </c>
      <c r="C1572" s="4">
        <v>53</v>
      </c>
      <c r="D1572" s="4">
        <v>18</v>
      </c>
      <c r="E1572" s="4" t="s">
        <v>46</v>
      </c>
      <c r="F1572" s="4" t="str">
        <f>"张雷"</f>
        <v>张雷</v>
      </c>
      <c r="G1572" s="4" t="str">
        <f t="shared" si="61"/>
        <v>女</v>
      </c>
      <c r="H1572" s="4" t="str">
        <f>"1993-03-20"</f>
        <v>1993-03-20</v>
      </c>
      <c r="I1572" s="4">
        <v>68.7</v>
      </c>
      <c r="J1572" s="5"/>
    </row>
    <row r="1573" spans="1:10">
      <c r="A1573" s="4">
        <v>1569</v>
      </c>
      <c r="B1573" s="4" t="str">
        <f>"20207025319"</f>
        <v>20207025319</v>
      </c>
      <c r="C1573" s="4">
        <v>53</v>
      </c>
      <c r="D1573" s="4">
        <v>19</v>
      </c>
      <c r="E1573" s="4" t="s">
        <v>46</v>
      </c>
      <c r="F1573" s="4" t="str">
        <f>"蔚冰"</f>
        <v>蔚冰</v>
      </c>
      <c r="G1573" s="4" t="str">
        <f t="shared" si="61"/>
        <v>女</v>
      </c>
      <c r="H1573" s="4" t="str">
        <f>"1998-10-18"</f>
        <v>1998-10-18</v>
      </c>
      <c r="I1573" s="4">
        <v>74.5</v>
      </c>
      <c r="J1573" s="5"/>
    </row>
    <row r="1574" spans="1:10">
      <c r="A1574" s="4">
        <v>1570</v>
      </c>
      <c r="B1574" s="4" t="str">
        <f>"20207025320"</f>
        <v>20207025320</v>
      </c>
      <c r="C1574" s="4">
        <v>53</v>
      </c>
      <c r="D1574" s="4">
        <v>20</v>
      </c>
      <c r="E1574" s="4" t="s">
        <v>46</v>
      </c>
      <c r="F1574" s="4" t="str">
        <f>"刘阳"</f>
        <v>刘阳</v>
      </c>
      <c r="G1574" s="4" t="str">
        <f t="shared" si="61"/>
        <v>女</v>
      </c>
      <c r="H1574" s="4" t="str">
        <f>"1992-11-16"</f>
        <v>1992-11-16</v>
      </c>
      <c r="I1574" s="4">
        <v>75.5</v>
      </c>
      <c r="J1574" s="5"/>
    </row>
    <row r="1575" spans="1:10">
      <c r="A1575" s="4">
        <v>1571</v>
      </c>
      <c r="B1575" s="4" t="str">
        <f>"20207025321"</f>
        <v>20207025321</v>
      </c>
      <c r="C1575" s="4">
        <v>53</v>
      </c>
      <c r="D1575" s="4">
        <v>21</v>
      </c>
      <c r="E1575" s="4" t="s">
        <v>46</v>
      </c>
      <c r="F1575" s="4" t="str">
        <f>"李欣欣"</f>
        <v>李欣欣</v>
      </c>
      <c r="G1575" s="4" t="str">
        <f t="shared" si="61"/>
        <v>女</v>
      </c>
      <c r="H1575" s="4" t="str">
        <f>"1999-10-04"</f>
        <v>1999-10-04</v>
      </c>
      <c r="I1575" s="4">
        <v>76.2</v>
      </c>
      <c r="J1575" s="5"/>
    </row>
    <row r="1576" spans="1:10">
      <c r="A1576" s="4">
        <v>1572</v>
      </c>
      <c r="B1576" s="4" t="str">
        <f>"20207025322"</f>
        <v>20207025322</v>
      </c>
      <c r="C1576" s="4">
        <v>53</v>
      </c>
      <c r="D1576" s="4">
        <v>22</v>
      </c>
      <c r="E1576" s="4" t="s">
        <v>46</v>
      </c>
      <c r="F1576" s="4" t="str">
        <f>"左世明"</f>
        <v>左世明</v>
      </c>
      <c r="G1576" s="4" t="str">
        <f t="shared" si="61"/>
        <v>女</v>
      </c>
      <c r="H1576" s="4" t="str">
        <f>"1994-03-19"</f>
        <v>1994-03-19</v>
      </c>
      <c r="I1576" s="4">
        <v>72.8</v>
      </c>
      <c r="J1576" s="5"/>
    </row>
    <row r="1577" spans="1:10">
      <c r="A1577" s="4">
        <v>1573</v>
      </c>
      <c r="B1577" s="4" t="str">
        <f>"20207025323"</f>
        <v>20207025323</v>
      </c>
      <c r="C1577" s="4">
        <v>53</v>
      </c>
      <c r="D1577" s="4">
        <v>23</v>
      </c>
      <c r="E1577" s="4" t="s">
        <v>46</v>
      </c>
      <c r="F1577" s="4" t="str">
        <f>"杨冰"</f>
        <v>杨冰</v>
      </c>
      <c r="G1577" s="4" t="str">
        <f t="shared" si="61"/>
        <v>女</v>
      </c>
      <c r="H1577" s="4" t="str">
        <f>"1998-03-12"</f>
        <v>1998-03-12</v>
      </c>
      <c r="I1577" s="4">
        <v>60.4</v>
      </c>
      <c r="J1577" s="5"/>
    </row>
    <row r="1578" spans="1:10">
      <c r="A1578" s="4">
        <v>1574</v>
      </c>
      <c r="B1578" s="4" t="str">
        <f>"20207025324"</f>
        <v>20207025324</v>
      </c>
      <c r="C1578" s="4">
        <v>53</v>
      </c>
      <c r="D1578" s="4">
        <v>24</v>
      </c>
      <c r="E1578" s="4" t="s">
        <v>46</v>
      </c>
      <c r="F1578" s="4" t="str">
        <f>"王静"</f>
        <v>王静</v>
      </c>
      <c r="G1578" s="4" t="str">
        <f t="shared" si="61"/>
        <v>女</v>
      </c>
      <c r="H1578" s="4" t="str">
        <f>"1996-05-20"</f>
        <v>1996-05-20</v>
      </c>
      <c r="I1578" s="4" t="s">
        <v>12</v>
      </c>
      <c r="J1578" s="5"/>
    </row>
    <row r="1579" spans="1:10">
      <c r="A1579" s="4">
        <v>1575</v>
      </c>
      <c r="B1579" s="4" t="str">
        <f>"20207025325"</f>
        <v>20207025325</v>
      </c>
      <c r="C1579" s="4">
        <v>53</v>
      </c>
      <c r="D1579" s="4">
        <v>25</v>
      </c>
      <c r="E1579" s="4" t="s">
        <v>46</v>
      </c>
      <c r="F1579" s="4" t="str">
        <f>"卢晶晶"</f>
        <v>卢晶晶</v>
      </c>
      <c r="G1579" s="4" t="str">
        <f t="shared" si="61"/>
        <v>女</v>
      </c>
      <c r="H1579" s="4" t="str">
        <f>"1998-07-29"</f>
        <v>1998-07-29</v>
      </c>
      <c r="I1579" s="4" t="s">
        <v>12</v>
      </c>
      <c r="J1579" s="5"/>
    </row>
    <row r="1580" spans="1:10">
      <c r="A1580" s="4">
        <v>1576</v>
      </c>
      <c r="B1580" s="4" t="str">
        <f>"20207025326"</f>
        <v>20207025326</v>
      </c>
      <c r="C1580" s="4">
        <v>53</v>
      </c>
      <c r="D1580" s="4">
        <v>26</v>
      </c>
      <c r="E1580" s="4" t="s">
        <v>46</v>
      </c>
      <c r="F1580" s="4" t="str">
        <f>"李爽"</f>
        <v>李爽</v>
      </c>
      <c r="G1580" s="4" t="str">
        <f t="shared" si="61"/>
        <v>女</v>
      </c>
      <c r="H1580" s="4" t="str">
        <f>"1998-08-11"</f>
        <v>1998-08-11</v>
      </c>
      <c r="I1580" s="4" t="s">
        <v>12</v>
      </c>
      <c r="J1580" s="5"/>
    </row>
    <row r="1581" spans="1:10">
      <c r="A1581" s="4">
        <v>1577</v>
      </c>
      <c r="B1581" s="4" t="str">
        <f>"20207025327"</f>
        <v>20207025327</v>
      </c>
      <c r="C1581" s="4">
        <v>53</v>
      </c>
      <c r="D1581" s="4">
        <v>27</v>
      </c>
      <c r="E1581" s="4" t="s">
        <v>46</v>
      </c>
      <c r="F1581" s="4" t="str">
        <f>"石圆圆"</f>
        <v>石圆圆</v>
      </c>
      <c r="G1581" s="4" t="str">
        <f t="shared" si="61"/>
        <v>女</v>
      </c>
      <c r="H1581" s="4" t="str">
        <f>"1997-01-06"</f>
        <v>1997-01-06</v>
      </c>
      <c r="I1581" s="4">
        <v>63.2</v>
      </c>
      <c r="J1581" s="5"/>
    </row>
    <row r="1582" spans="1:10">
      <c r="A1582" s="4">
        <v>1578</v>
      </c>
      <c r="B1582" s="4" t="str">
        <f>"20207025328"</f>
        <v>20207025328</v>
      </c>
      <c r="C1582" s="4">
        <v>53</v>
      </c>
      <c r="D1582" s="4">
        <v>28</v>
      </c>
      <c r="E1582" s="4" t="s">
        <v>46</v>
      </c>
      <c r="F1582" s="4" t="str">
        <f>"杨洋"</f>
        <v>杨洋</v>
      </c>
      <c r="G1582" s="4" t="str">
        <f t="shared" si="61"/>
        <v>女</v>
      </c>
      <c r="H1582" s="4" t="str">
        <f>"1992-05-20"</f>
        <v>1992-05-20</v>
      </c>
      <c r="I1582" s="4" t="s">
        <v>12</v>
      </c>
      <c r="J1582" s="5"/>
    </row>
    <row r="1583" spans="1:10">
      <c r="A1583" s="4">
        <v>1579</v>
      </c>
      <c r="B1583" s="4" t="str">
        <f>"20207025329"</f>
        <v>20207025329</v>
      </c>
      <c r="C1583" s="4">
        <v>53</v>
      </c>
      <c r="D1583" s="4">
        <v>29</v>
      </c>
      <c r="E1583" s="4" t="s">
        <v>46</v>
      </c>
      <c r="F1583" s="4" t="str">
        <f>"王雅欣"</f>
        <v>王雅欣</v>
      </c>
      <c r="G1583" s="4" t="str">
        <f t="shared" si="61"/>
        <v>女</v>
      </c>
      <c r="H1583" s="4" t="str">
        <f>"1998-05-30"</f>
        <v>1998-05-30</v>
      </c>
      <c r="I1583" s="4" t="s">
        <v>12</v>
      </c>
      <c r="J1583" s="5"/>
    </row>
    <row r="1584" spans="1:10">
      <c r="A1584" s="4">
        <v>1580</v>
      </c>
      <c r="B1584" s="4" t="str">
        <f>"20207025330"</f>
        <v>20207025330</v>
      </c>
      <c r="C1584" s="4">
        <v>53</v>
      </c>
      <c r="D1584" s="4">
        <v>30</v>
      </c>
      <c r="E1584" s="4" t="s">
        <v>46</v>
      </c>
      <c r="F1584" s="4" t="str">
        <f>"李让丹"</f>
        <v>李让丹</v>
      </c>
      <c r="G1584" s="4" t="str">
        <f t="shared" si="61"/>
        <v>女</v>
      </c>
      <c r="H1584" s="4" t="str">
        <f>"1995-11-17"</f>
        <v>1995-11-17</v>
      </c>
      <c r="I1584" s="4">
        <v>66.4</v>
      </c>
      <c r="J1584" s="5"/>
    </row>
    <row r="1585" spans="1:10">
      <c r="A1585" s="4">
        <v>1581</v>
      </c>
      <c r="B1585" s="4" t="str">
        <f>"20207025401"</f>
        <v>20207025401</v>
      </c>
      <c r="C1585" s="4">
        <v>54</v>
      </c>
      <c r="D1585" s="4">
        <v>1</v>
      </c>
      <c r="E1585" s="4" t="s">
        <v>46</v>
      </c>
      <c r="F1585" s="4" t="str">
        <f>"张淼"</f>
        <v>张淼</v>
      </c>
      <c r="G1585" s="4" t="str">
        <f t="shared" si="61"/>
        <v>女</v>
      </c>
      <c r="H1585" s="4" t="str">
        <f>"1990-03-15"</f>
        <v>1990-03-15</v>
      </c>
      <c r="I1585" s="4">
        <v>67.1</v>
      </c>
      <c r="J1585" s="5"/>
    </row>
    <row r="1586" spans="1:10">
      <c r="A1586" s="4">
        <v>1582</v>
      </c>
      <c r="B1586" s="4" t="str">
        <f>"20207025402"</f>
        <v>20207025402</v>
      </c>
      <c r="C1586" s="4">
        <v>54</v>
      </c>
      <c r="D1586" s="4">
        <v>2</v>
      </c>
      <c r="E1586" s="4" t="s">
        <v>46</v>
      </c>
      <c r="F1586" s="4" t="str">
        <f>"高芬"</f>
        <v>高芬</v>
      </c>
      <c r="G1586" s="4" t="str">
        <f t="shared" si="61"/>
        <v>女</v>
      </c>
      <c r="H1586" s="4" t="str">
        <f>"1990-05-29"</f>
        <v>1990-05-29</v>
      </c>
      <c r="I1586" s="4">
        <v>76.2</v>
      </c>
      <c r="J1586" s="5"/>
    </row>
    <row r="1587" spans="1:10">
      <c r="A1587" s="4">
        <v>1583</v>
      </c>
      <c r="B1587" s="4" t="str">
        <f>"20207025403"</f>
        <v>20207025403</v>
      </c>
      <c r="C1587" s="4">
        <v>54</v>
      </c>
      <c r="D1587" s="4">
        <v>3</v>
      </c>
      <c r="E1587" s="4" t="s">
        <v>46</v>
      </c>
      <c r="F1587" s="4" t="str">
        <f>"杨耀森"</f>
        <v>杨耀森</v>
      </c>
      <c r="G1587" s="4" t="str">
        <f>"男"</f>
        <v>男</v>
      </c>
      <c r="H1587" s="4" t="str">
        <f>"1995-11-25"</f>
        <v>1995-11-25</v>
      </c>
      <c r="I1587" s="4">
        <v>63.2</v>
      </c>
      <c r="J1587" s="5"/>
    </row>
    <row r="1588" spans="1:10">
      <c r="A1588" s="4">
        <v>1584</v>
      </c>
      <c r="B1588" s="4" t="str">
        <f>"20207025404"</f>
        <v>20207025404</v>
      </c>
      <c r="C1588" s="4">
        <v>54</v>
      </c>
      <c r="D1588" s="4">
        <v>4</v>
      </c>
      <c r="E1588" s="4" t="s">
        <v>46</v>
      </c>
      <c r="F1588" s="4" t="str">
        <f>"杜新莹"</f>
        <v>杜新莹</v>
      </c>
      <c r="G1588" s="4" t="str">
        <f t="shared" ref="G1588:G1651" si="62">"女"</f>
        <v>女</v>
      </c>
      <c r="H1588" s="4" t="str">
        <f>"1997-09-24"</f>
        <v>1997-09-24</v>
      </c>
      <c r="I1588" s="4">
        <v>81.5</v>
      </c>
      <c r="J1588" s="5"/>
    </row>
    <row r="1589" spans="1:10">
      <c r="A1589" s="4">
        <v>1585</v>
      </c>
      <c r="B1589" s="4" t="str">
        <f>"20207025405"</f>
        <v>20207025405</v>
      </c>
      <c r="C1589" s="4">
        <v>54</v>
      </c>
      <c r="D1589" s="4">
        <v>5</v>
      </c>
      <c r="E1589" s="4" t="s">
        <v>46</v>
      </c>
      <c r="F1589" s="4" t="str">
        <f>"黄小虹"</f>
        <v>黄小虹</v>
      </c>
      <c r="G1589" s="4" t="str">
        <f t="shared" si="62"/>
        <v>女</v>
      </c>
      <c r="H1589" s="4" t="str">
        <f>"1995-05-02"</f>
        <v>1995-05-02</v>
      </c>
      <c r="I1589" s="4">
        <v>74.2</v>
      </c>
      <c r="J1589" s="5"/>
    </row>
    <row r="1590" spans="1:10">
      <c r="A1590" s="4">
        <v>1586</v>
      </c>
      <c r="B1590" s="4" t="str">
        <f>"20207025406"</f>
        <v>20207025406</v>
      </c>
      <c r="C1590" s="4">
        <v>54</v>
      </c>
      <c r="D1590" s="4">
        <v>6</v>
      </c>
      <c r="E1590" s="4" t="s">
        <v>46</v>
      </c>
      <c r="F1590" s="4" t="str">
        <f>"窦巧"</f>
        <v>窦巧</v>
      </c>
      <c r="G1590" s="4" t="str">
        <f t="shared" si="62"/>
        <v>女</v>
      </c>
      <c r="H1590" s="4" t="str">
        <f>"1998-04-09"</f>
        <v>1998-04-09</v>
      </c>
      <c r="I1590" s="4" t="s">
        <v>12</v>
      </c>
      <c r="J1590" s="5"/>
    </row>
    <row r="1591" spans="1:10">
      <c r="A1591" s="4">
        <v>1587</v>
      </c>
      <c r="B1591" s="4" t="str">
        <f>"20207025407"</f>
        <v>20207025407</v>
      </c>
      <c r="C1591" s="4">
        <v>54</v>
      </c>
      <c r="D1591" s="4">
        <v>7</v>
      </c>
      <c r="E1591" s="4" t="s">
        <v>46</v>
      </c>
      <c r="F1591" s="4" t="str">
        <f>"刘丹"</f>
        <v>刘丹</v>
      </c>
      <c r="G1591" s="4" t="str">
        <f t="shared" si="62"/>
        <v>女</v>
      </c>
      <c r="H1591" s="4" t="str">
        <f>"1995-06-15"</f>
        <v>1995-06-15</v>
      </c>
      <c r="I1591" s="4">
        <v>64.8</v>
      </c>
      <c r="J1591" s="5"/>
    </row>
    <row r="1592" spans="1:10">
      <c r="A1592" s="4">
        <v>1588</v>
      </c>
      <c r="B1592" s="4" t="str">
        <f>"20207025408"</f>
        <v>20207025408</v>
      </c>
      <c r="C1592" s="4">
        <v>54</v>
      </c>
      <c r="D1592" s="4">
        <v>8</v>
      </c>
      <c r="E1592" s="4" t="s">
        <v>46</v>
      </c>
      <c r="F1592" s="4" t="str">
        <f>"胡洋"</f>
        <v>胡洋</v>
      </c>
      <c r="G1592" s="4" t="str">
        <f t="shared" si="62"/>
        <v>女</v>
      </c>
      <c r="H1592" s="4" t="str">
        <f>"2001-07-05"</f>
        <v>2001-07-05</v>
      </c>
      <c r="I1592" s="4">
        <v>51.1</v>
      </c>
      <c r="J1592" s="5"/>
    </row>
    <row r="1593" spans="1:10">
      <c r="A1593" s="4">
        <v>1589</v>
      </c>
      <c r="B1593" s="4" t="str">
        <f>"20207025409"</f>
        <v>20207025409</v>
      </c>
      <c r="C1593" s="4">
        <v>54</v>
      </c>
      <c r="D1593" s="4">
        <v>9</v>
      </c>
      <c r="E1593" s="4" t="s">
        <v>46</v>
      </c>
      <c r="F1593" s="4" t="str">
        <f>"王蕾"</f>
        <v>王蕾</v>
      </c>
      <c r="G1593" s="4" t="str">
        <f t="shared" si="62"/>
        <v>女</v>
      </c>
      <c r="H1593" s="4" t="str">
        <f>"1998-06-10"</f>
        <v>1998-06-10</v>
      </c>
      <c r="I1593" s="4">
        <v>62.5</v>
      </c>
      <c r="J1593" s="5"/>
    </row>
    <row r="1594" spans="1:10">
      <c r="A1594" s="4">
        <v>1590</v>
      </c>
      <c r="B1594" s="4" t="str">
        <f>"20207025410"</f>
        <v>20207025410</v>
      </c>
      <c r="C1594" s="4">
        <v>54</v>
      </c>
      <c r="D1594" s="4">
        <v>10</v>
      </c>
      <c r="E1594" s="4" t="s">
        <v>46</v>
      </c>
      <c r="F1594" s="4" t="str">
        <f>"唐春秋"</f>
        <v>唐春秋</v>
      </c>
      <c r="G1594" s="4" t="str">
        <f t="shared" si="62"/>
        <v>女</v>
      </c>
      <c r="H1594" s="4" t="str">
        <f>"1991-09-25"</f>
        <v>1991-09-25</v>
      </c>
      <c r="I1594" s="4">
        <v>62.4</v>
      </c>
      <c r="J1594" s="5"/>
    </row>
    <row r="1595" spans="1:10">
      <c r="A1595" s="4">
        <v>1591</v>
      </c>
      <c r="B1595" s="4" t="str">
        <f>"20207025411"</f>
        <v>20207025411</v>
      </c>
      <c r="C1595" s="4">
        <v>54</v>
      </c>
      <c r="D1595" s="4">
        <v>11</v>
      </c>
      <c r="E1595" s="4" t="s">
        <v>46</v>
      </c>
      <c r="F1595" s="4" t="str">
        <f>"李飞洋"</f>
        <v>李飞洋</v>
      </c>
      <c r="G1595" s="4" t="str">
        <f t="shared" si="62"/>
        <v>女</v>
      </c>
      <c r="H1595" s="4" t="str">
        <f>"2000-03-16"</f>
        <v>2000-03-16</v>
      </c>
      <c r="I1595" s="4">
        <v>59.7</v>
      </c>
      <c r="J1595" s="5"/>
    </row>
    <row r="1596" spans="1:10">
      <c r="A1596" s="4">
        <v>1592</v>
      </c>
      <c r="B1596" s="4" t="str">
        <f>"20207025412"</f>
        <v>20207025412</v>
      </c>
      <c r="C1596" s="4">
        <v>54</v>
      </c>
      <c r="D1596" s="4">
        <v>12</v>
      </c>
      <c r="E1596" s="4" t="s">
        <v>46</v>
      </c>
      <c r="F1596" s="4" t="str">
        <f>"文杰"</f>
        <v>文杰</v>
      </c>
      <c r="G1596" s="4" t="str">
        <f t="shared" si="62"/>
        <v>女</v>
      </c>
      <c r="H1596" s="4" t="str">
        <f>"1998-08-28"</f>
        <v>1998-08-28</v>
      </c>
      <c r="I1596" s="4">
        <v>84.9</v>
      </c>
      <c r="J1596" s="5"/>
    </row>
    <row r="1597" spans="1:10">
      <c r="A1597" s="4">
        <v>1593</v>
      </c>
      <c r="B1597" s="4" t="str">
        <f>"20207025413"</f>
        <v>20207025413</v>
      </c>
      <c r="C1597" s="4">
        <v>54</v>
      </c>
      <c r="D1597" s="4">
        <v>13</v>
      </c>
      <c r="E1597" s="4" t="s">
        <v>46</v>
      </c>
      <c r="F1597" s="4" t="str">
        <f>"商玲月"</f>
        <v>商玲月</v>
      </c>
      <c r="G1597" s="4" t="str">
        <f t="shared" si="62"/>
        <v>女</v>
      </c>
      <c r="H1597" s="4" t="str">
        <f>"1996-12-30"</f>
        <v>1996-12-30</v>
      </c>
      <c r="I1597" s="4">
        <v>66</v>
      </c>
      <c r="J1597" s="5"/>
    </row>
    <row r="1598" spans="1:10">
      <c r="A1598" s="4">
        <v>1594</v>
      </c>
      <c r="B1598" s="4" t="str">
        <f>"20207025414"</f>
        <v>20207025414</v>
      </c>
      <c r="C1598" s="4">
        <v>54</v>
      </c>
      <c r="D1598" s="4">
        <v>14</v>
      </c>
      <c r="E1598" s="4" t="s">
        <v>46</v>
      </c>
      <c r="F1598" s="4" t="str">
        <f>"高玲玲"</f>
        <v>高玲玲</v>
      </c>
      <c r="G1598" s="4" t="str">
        <f t="shared" si="62"/>
        <v>女</v>
      </c>
      <c r="H1598" s="4" t="str">
        <f>"1996-08-22"</f>
        <v>1996-08-22</v>
      </c>
      <c r="I1598" s="4">
        <v>38.1</v>
      </c>
      <c r="J1598" s="5"/>
    </row>
    <row r="1599" spans="1:10">
      <c r="A1599" s="4">
        <v>1595</v>
      </c>
      <c r="B1599" s="4" t="str">
        <f>"20207025415"</f>
        <v>20207025415</v>
      </c>
      <c r="C1599" s="4">
        <v>54</v>
      </c>
      <c r="D1599" s="4">
        <v>15</v>
      </c>
      <c r="E1599" s="4" t="s">
        <v>46</v>
      </c>
      <c r="F1599" s="4" t="str">
        <f>"贾文雅"</f>
        <v>贾文雅</v>
      </c>
      <c r="G1599" s="4" t="str">
        <f t="shared" si="62"/>
        <v>女</v>
      </c>
      <c r="H1599" s="4" t="str">
        <f>"1993-07-02"</f>
        <v>1993-07-02</v>
      </c>
      <c r="I1599" s="4" t="s">
        <v>12</v>
      </c>
      <c r="J1599" s="5"/>
    </row>
    <row r="1600" spans="1:10">
      <c r="A1600" s="4">
        <v>1596</v>
      </c>
      <c r="B1600" s="4" t="str">
        <f>"20207025416"</f>
        <v>20207025416</v>
      </c>
      <c r="C1600" s="4">
        <v>54</v>
      </c>
      <c r="D1600" s="4">
        <v>16</v>
      </c>
      <c r="E1600" s="4" t="s">
        <v>46</v>
      </c>
      <c r="F1600" s="4" t="str">
        <f>"邓瑗瑗"</f>
        <v>邓瑗瑗</v>
      </c>
      <c r="G1600" s="4" t="str">
        <f t="shared" si="62"/>
        <v>女</v>
      </c>
      <c r="H1600" s="4" t="str">
        <f>"1991-04-17"</f>
        <v>1991-04-17</v>
      </c>
      <c r="I1600" s="4">
        <v>70.6</v>
      </c>
      <c r="J1600" s="5"/>
    </row>
    <row r="1601" spans="1:10">
      <c r="A1601" s="4">
        <v>1597</v>
      </c>
      <c r="B1601" s="4" t="str">
        <f>"20207025417"</f>
        <v>20207025417</v>
      </c>
      <c r="C1601" s="4">
        <v>54</v>
      </c>
      <c r="D1601" s="4">
        <v>17</v>
      </c>
      <c r="E1601" s="4" t="s">
        <v>46</v>
      </c>
      <c r="F1601" s="4" t="str">
        <f>"田传玉"</f>
        <v>田传玉</v>
      </c>
      <c r="G1601" s="4" t="str">
        <f t="shared" si="62"/>
        <v>女</v>
      </c>
      <c r="H1601" s="4" t="str">
        <f>"1996-11-15"</f>
        <v>1996-11-15</v>
      </c>
      <c r="I1601" s="4">
        <v>77.6</v>
      </c>
      <c r="J1601" s="5"/>
    </row>
    <row r="1602" spans="1:10">
      <c r="A1602" s="4">
        <v>1598</v>
      </c>
      <c r="B1602" s="4" t="str">
        <f>"20207025418"</f>
        <v>20207025418</v>
      </c>
      <c r="C1602" s="4">
        <v>54</v>
      </c>
      <c r="D1602" s="4">
        <v>18</v>
      </c>
      <c r="E1602" s="4" t="s">
        <v>46</v>
      </c>
      <c r="F1602" s="4" t="str">
        <f>"牛斌斌"</f>
        <v>牛斌斌</v>
      </c>
      <c r="G1602" s="4" t="str">
        <f t="shared" si="62"/>
        <v>女</v>
      </c>
      <c r="H1602" s="4" t="str">
        <f>"1999-03-20"</f>
        <v>1999-03-20</v>
      </c>
      <c r="I1602" s="4">
        <v>62.3</v>
      </c>
      <c r="J1602" s="5"/>
    </row>
    <row r="1603" spans="1:10">
      <c r="A1603" s="4">
        <v>1599</v>
      </c>
      <c r="B1603" s="4" t="str">
        <f>"20207025419"</f>
        <v>20207025419</v>
      </c>
      <c r="C1603" s="4">
        <v>54</v>
      </c>
      <c r="D1603" s="4">
        <v>19</v>
      </c>
      <c r="E1603" s="4" t="s">
        <v>46</v>
      </c>
      <c r="F1603" s="4" t="str">
        <f>"张生迪"</f>
        <v>张生迪</v>
      </c>
      <c r="G1603" s="4" t="str">
        <f t="shared" si="62"/>
        <v>女</v>
      </c>
      <c r="H1603" s="4" t="str">
        <f>"1997-04-22"</f>
        <v>1997-04-22</v>
      </c>
      <c r="I1603" s="4">
        <v>67.1</v>
      </c>
      <c r="J1603" s="5"/>
    </row>
    <row r="1604" spans="1:10">
      <c r="A1604" s="4">
        <v>1600</v>
      </c>
      <c r="B1604" s="4" t="str">
        <f>"20207025420"</f>
        <v>20207025420</v>
      </c>
      <c r="C1604" s="4">
        <v>54</v>
      </c>
      <c r="D1604" s="4">
        <v>20</v>
      </c>
      <c r="E1604" s="4" t="s">
        <v>46</v>
      </c>
      <c r="F1604" s="4" t="str">
        <f>"王东磊"</f>
        <v>王东磊</v>
      </c>
      <c r="G1604" s="4" t="str">
        <f t="shared" si="62"/>
        <v>女</v>
      </c>
      <c r="H1604" s="4" t="str">
        <f>"1996-01-13"</f>
        <v>1996-01-13</v>
      </c>
      <c r="I1604" s="4">
        <v>68.8</v>
      </c>
      <c r="J1604" s="5"/>
    </row>
    <row r="1605" spans="1:10">
      <c r="A1605" s="4">
        <v>1601</v>
      </c>
      <c r="B1605" s="4" t="str">
        <f>"20207025421"</f>
        <v>20207025421</v>
      </c>
      <c r="C1605" s="4">
        <v>54</v>
      </c>
      <c r="D1605" s="4">
        <v>21</v>
      </c>
      <c r="E1605" s="4" t="s">
        <v>46</v>
      </c>
      <c r="F1605" s="4" t="str">
        <f>"张梦慧"</f>
        <v>张梦慧</v>
      </c>
      <c r="G1605" s="4" t="str">
        <f t="shared" si="62"/>
        <v>女</v>
      </c>
      <c r="H1605" s="4" t="str">
        <f>"1995-05-25"</f>
        <v>1995-05-25</v>
      </c>
      <c r="I1605" s="4">
        <v>68.2</v>
      </c>
      <c r="J1605" s="5"/>
    </row>
    <row r="1606" spans="1:10">
      <c r="A1606" s="4">
        <v>1602</v>
      </c>
      <c r="B1606" s="4" t="str">
        <f>"20207025422"</f>
        <v>20207025422</v>
      </c>
      <c r="C1606" s="4">
        <v>54</v>
      </c>
      <c r="D1606" s="4">
        <v>22</v>
      </c>
      <c r="E1606" s="4" t="s">
        <v>46</v>
      </c>
      <c r="F1606" s="4" t="str">
        <f>"马佳"</f>
        <v>马佳</v>
      </c>
      <c r="G1606" s="4" t="str">
        <f t="shared" si="62"/>
        <v>女</v>
      </c>
      <c r="H1606" s="4" t="str">
        <f>"1997-09-19"</f>
        <v>1997-09-19</v>
      </c>
      <c r="I1606" s="4">
        <v>51.7</v>
      </c>
      <c r="J1606" s="5"/>
    </row>
    <row r="1607" spans="1:10">
      <c r="A1607" s="4">
        <v>1603</v>
      </c>
      <c r="B1607" s="4" t="str">
        <f>"20207025423"</f>
        <v>20207025423</v>
      </c>
      <c r="C1607" s="4">
        <v>54</v>
      </c>
      <c r="D1607" s="4">
        <v>23</v>
      </c>
      <c r="E1607" s="4" t="s">
        <v>46</v>
      </c>
      <c r="F1607" s="4" t="str">
        <f>"张梦"</f>
        <v>张梦</v>
      </c>
      <c r="G1607" s="4" t="str">
        <f t="shared" si="62"/>
        <v>女</v>
      </c>
      <c r="H1607" s="4" t="str">
        <f>"1996-03-07"</f>
        <v>1996-03-07</v>
      </c>
      <c r="I1607" s="4">
        <v>69.1</v>
      </c>
      <c r="J1607" s="5"/>
    </row>
    <row r="1608" spans="1:10">
      <c r="A1608" s="4">
        <v>1604</v>
      </c>
      <c r="B1608" s="4" t="str">
        <f>"20207025424"</f>
        <v>20207025424</v>
      </c>
      <c r="C1608" s="4">
        <v>54</v>
      </c>
      <c r="D1608" s="4">
        <v>24</v>
      </c>
      <c r="E1608" s="4" t="s">
        <v>46</v>
      </c>
      <c r="F1608" s="4" t="str">
        <f>"徐婷"</f>
        <v>徐婷</v>
      </c>
      <c r="G1608" s="4" t="str">
        <f t="shared" si="62"/>
        <v>女</v>
      </c>
      <c r="H1608" s="4" t="str">
        <f>"1996-02-16"</f>
        <v>1996-02-16</v>
      </c>
      <c r="I1608" s="4">
        <v>61.5</v>
      </c>
      <c r="J1608" s="5"/>
    </row>
    <row r="1609" spans="1:10">
      <c r="A1609" s="4">
        <v>1605</v>
      </c>
      <c r="B1609" s="4" t="str">
        <f>"20207025425"</f>
        <v>20207025425</v>
      </c>
      <c r="C1609" s="4">
        <v>54</v>
      </c>
      <c r="D1609" s="4">
        <v>25</v>
      </c>
      <c r="E1609" s="4" t="s">
        <v>46</v>
      </c>
      <c r="F1609" s="4" t="str">
        <f>"孙培霜"</f>
        <v>孙培霜</v>
      </c>
      <c r="G1609" s="4" t="str">
        <f t="shared" si="62"/>
        <v>女</v>
      </c>
      <c r="H1609" s="4" t="str">
        <f>"1998-10-15"</f>
        <v>1998-10-15</v>
      </c>
      <c r="I1609" s="4">
        <v>65.1</v>
      </c>
      <c r="J1609" s="5"/>
    </row>
    <row r="1610" spans="1:10">
      <c r="A1610" s="4">
        <v>1606</v>
      </c>
      <c r="B1610" s="4" t="str">
        <f>"20207025426"</f>
        <v>20207025426</v>
      </c>
      <c r="C1610" s="4">
        <v>54</v>
      </c>
      <c r="D1610" s="4">
        <v>26</v>
      </c>
      <c r="E1610" s="4" t="s">
        <v>46</v>
      </c>
      <c r="F1610" s="4" t="str">
        <f>"王沛璇"</f>
        <v>王沛璇</v>
      </c>
      <c r="G1610" s="4" t="str">
        <f t="shared" si="62"/>
        <v>女</v>
      </c>
      <c r="H1610" s="4" t="str">
        <f>"1997-11-27"</f>
        <v>1997-11-27</v>
      </c>
      <c r="I1610" s="4">
        <v>59.5</v>
      </c>
      <c r="J1610" s="5"/>
    </row>
    <row r="1611" spans="1:10">
      <c r="A1611" s="4">
        <v>1607</v>
      </c>
      <c r="B1611" s="4" t="str">
        <f>"20207025427"</f>
        <v>20207025427</v>
      </c>
      <c r="C1611" s="4">
        <v>54</v>
      </c>
      <c r="D1611" s="4">
        <v>27</v>
      </c>
      <c r="E1611" s="4" t="s">
        <v>46</v>
      </c>
      <c r="F1611" s="4" t="str">
        <f>"刘婷"</f>
        <v>刘婷</v>
      </c>
      <c r="G1611" s="4" t="str">
        <f t="shared" si="62"/>
        <v>女</v>
      </c>
      <c r="H1611" s="4" t="str">
        <f>"1996-03-16"</f>
        <v>1996-03-16</v>
      </c>
      <c r="I1611" s="4">
        <v>69.8</v>
      </c>
      <c r="J1611" s="5"/>
    </row>
    <row r="1612" spans="1:10">
      <c r="A1612" s="4">
        <v>1608</v>
      </c>
      <c r="B1612" s="4" t="str">
        <f>"20207025428"</f>
        <v>20207025428</v>
      </c>
      <c r="C1612" s="4">
        <v>54</v>
      </c>
      <c r="D1612" s="4">
        <v>28</v>
      </c>
      <c r="E1612" s="4" t="s">
        <v>46</v>
      </c>
      <c r="F1612" s="4" t="str">
        <f>"孙佳琦"</f>
        <v>孙佳琦</v>
      </c>
      <c r="G1612" s="4" t="str">
        <f t="shared" si="62"/>
        <v>女</v>
      </c>
      <c r="H1612" s="4" t="str">
        <f>"1996-01-29"</f>
        <v>1996-01-29</v>
      </c>
      <c r="I1612" s="4" t="s">
        <v>12</v>
      </c>
      <c r="J1612" s="5"/>
    </row>
    <row r="1613" spans="1:10">
      <c r="A1613" s="4">
        <v>1609</v>
      </c>
      <c r="B1613" s="4" t="str">
        <f>"20207025429"</f>
        <v>20207025429</v>
      </c>
      <c r="C1613" s="4">
        <v>54</v>
      </c>
      <c r="D1613" s="4">
        <v>29</v>
      </c>
      <c r="E1613" s="4" t="s">
        <v>46</v>
      </c>
      <c r="F1613" s="4" t="str">
        <f>"杨露露"</f>
        <v>杨露露</v>
      </c>
      <c r="G1613" s="4" t="str">
        <f t="shared" si="62"/>
        <v>女</v>
      </c>
      <c r="H1613" s="4" t="str">
        <f>"1991-10-18"</f>
        <v>1991-10-18</v>
      </c>
      <c r="I1613" s="4">
        <v>58.5</v>
      </c>
      <c r="J1613" s="5"/>
    </row>
    <row r="1614" spans="1:10">
      <c r="A1614" s="4">
        <v>1610</v>
      </c>
      <c r="B1614" s="4" t="str">
        <f>"20207025430"</f>
        <v>20207025430</v>
      </c>
      <c r="C1614" s="4">
        <v>54</v>
      </c>
      <c r="D1614" s="4">
        <v>30</v>
      </c>
      <c r="E1614" s="4" t="s">
        <v>46</v>
      </c>
      <c r="F1614" s="4" t="str">
        <f>"毛源源"</f>
        <v>毛源源</v>
      </c>
      <c r="G1614" s="4" t="str">
        <f t="shared" si="62"/>
        <v>女</v>
      </c>
      <c r="H1614" s="4" t="str">
        <f>"1997-03-10"</f>
        <v>1997-03-10</v>
      </c>
      <c r="I1614" s="4" t="s">
        <v>12</v>
      </c>
      <c r="J1614" s="5"/>
    </row>
    <row r="1615" spans="1:10">
      <c r="A1615" s="4">
        <v>1611</v>
      </c>
      <c r="B1615" s="4" t="str">
        <f>"20207025501"</f>
        <v>20207025501</v>
      </c>
      <c r="C1615" s="4">
        <v>55</v>
      </c>
      <c r="D1615" s="4">
        <v>1</v>
      </c>
      <c r="E1615" s="4" t="s">
        <v>46</v>
      </c>
      <c r="F1615" s="4" t="str">
        <f>"李越"</f>
        <v>李越</v>
      </c>
      <c r="G1615" s="4" t="str">
        <f t="shared" si="62"/>
        <v>女</v>
      </c>
      <c r="H1615" s="4" t="str">
        <f>"1998-06-10"</f>
        <v>1998-06-10</v>
      </c>
      <c r="I1615" s="4">
        <v>77.2</v>
      </c>
      <c r="J1615" s="5"/>
    </row>
    <row r="1616" spans="1:10">
      <c r="A1616" s="4">
        <v>1612</v>
      </c>
      <c r="B1616" s="4" t="str">
        <f>"20207025502"</f>
        <v>20207025502</v>
      </c>
      <c r="C1616" s="4">
        <v>55</v>
      </c>
      <c r="D1616" s="4">
        <v>2</v>
      </c>
      <c r="E1616" s="4" t="s">
        <v>46</v>
      </c>
      <c r="F1616" s="4" t="str">
        <f>"刘鑫鑫"</f>
        <v>刘鑫鑫</v>
      </c>
      <c r="G1616" s="4" t="str">
        <f t="shared" si="62"/>
        <v>女</v>
      </c>
      <c r="H1616" s="4" t="str">
        <f>"1998-06-11"</f>
        <v>1998-06-11</v>
      </c>
      <c r="I1616" s="4">
        <v>67.2</v>
      </c>
      <c r="J1616" s="5"/>
    </row>
    <row r="1617" spans="1:10">
      <c r="A1617" s="4">
        <v>1613</v>
      </c>
      <c r="B1617" s="4" t="str">
        <f>"20207025503"</f>
        <v>20207025503</v>
      </c>
      <c r="C1617" s="4">
        <v>55</v>
      </c>
      <c r="D1617" s="4">
        <v>3</v>
      </c>
      <c r="E1617" s="4" t="s">
        <v>46</v>
      </c>
      <c r="F1617" s="4" t="str">
        <f>"赵璐"</f>
        <v>赵璐</v>
      </c>
      <c r="G1617" s="4" t="str">
        <f t="shared" si="62"/>
        <v>女</v>
      </c>
      <c r="H1617" s="4" t="str">
        <f>"1995-02-20"</f>
        <v>1995-02-20</v>
      </c>
      <c r="I1617" s="4">
        <v>54.5</v>
      </c>
      <c r="J1617" s="5"/>
    </row>
    <row r="1618" spans="1:10">
      <c r="A1618" s="4">
        <v>1614</v>
      </c>
      <c r="B1618" s="4" t="str">
        <f>"20207025504"</f>
        <v>20207025504</v>
      </c>
      <c r="C1618" s="4">
        <v>55</v>
      </c>
      <c r="D1618" s="4">
        <v>4</v>
      </c>
      <c r="E1618" s="4" t="s">
        <v>46</v>
      </c>
      <c r="F1618" s="4" t="str">
        <f>"源慧"</f>
        <v>源慧</v>
      </c>
      <c r="G1618" s="4" t="str">
        <f t="shared" si="62"/>
        <v>女</v>
      </c>
      <c r="H1618" s="4" t="str">
        <f>"1993-12-21"</f>
        <v>1993-12-21</v>
      </c>
      <c r="I1618" s="4">
        <v>74.2</v>
      </c>
      <c r="J1618" s="5"/>
    </row>
    <row r="1619" spans="1:10">
      <c r="A1619" s="4">
        <v>1615</v>
      </c>
      <c r="B1619" s="4" t="str">
        <f>"20207025505"</f>
        <v>20207025505</v>
      </c>
      <c r="C1619" s="4">
        <v>55</v>
      </c>
      <c r="D1619" s="4">
        <v>5</v>
      </c>
      <c r="E1619" s="4" t="s">
        <v>46</v>
      </c>
      <c r="F1619" s="4" t="str">
        <f>"胡朝营"</f>
        <v>胡朝营</v>
      </c>
      <c r="G1619" s="4" t="str">
        <f t="shared" si="62"/>
        <v>女</v>
      </c>
      <c r="H1619" s="4" t="str">
        <f>"1996-10-22"</f>
        <v>1996-10-22</v>
      </c>
      <c r="I1619" s="4">
        <v>57.8</v>
      </c>
      <c r="J1619" s="5"/>
    </row>
    <row r="1620" spans="1:10">
      <c r="A1620" s="4">
        <v>1616</v>
      </c>
      <c r="B1620" s="4" t="str">
        <f>"20207025506"</f>
        <v>20207025506</v>
      </c>
      <c r="C1620" s="4">
        <v>55</v>
      </c>
      <c r="D1620" s="4">
        <v>6</v>
      </c>
      <c r="E1620" s="4" t="s">
        <v>46</v>
      </c>
      <c r="F1620" s="4" t="str">
        <f>"曹梦茹"</f>
        <v>曹梦茹</v>
      </c>
      <c r="G1620" s="4" t="str">
        <f t="shared" si="62"/>
        <v>女</v>
      </c>
      <c r="H1620" s="4" t="str">
        <f>"1998-11-01"</f>
        <v>1998-11-01</v>
      </c>
      <c r="I1620" s="4">
        <v>74.1</v>
      </c>
      <c r="J1620" s="5"/>
    </row>
    <row r="1621" spans="1:10">
      <c r="A1621" s="4">
        <v>1617</v>
      </c>
      <c r="B1621" s="4" t="str">
        <f>"20207025507"</f>
        <v>20207025507</v>
      </c>
      <c r="C1621" s="4">
        <v>55</v>
      </c>
      <c r="D1621" s="4">
        <v>7</v>
      </c>
      <c r="E1621" s="4" t="s">
        <v>46</v>
      </c>
      <c r="F1621" s="4" t="str">
        <f>"卫烨"</f>
        <v>卫烨</v>
      </c>
      <c r="G1621" s="4" t="str">
        <f t="shared" si="62"/>
        <v>女</v>
      </c>
      <c r="H1621" s="4" t="str">
        <f>"2000-10-26"</f>
        <v>2000-10-26</v>
      </c>
      <c r="I1621" s="4">
        <v>64.8</v>
      </c>
      <c r="J1621" s="5"/>
    </row>
    <row r="1622" spans="1:10">
      <c r="A1622" s="4">
        <v>1618</v>
      </c>
      <c r="B1622" s="4" t="str">
        <f>"20207025508"</f>
        <v>20207025508</v>
      </c>
      <c r="C1622" s="4">
        <v>55</v>
      </c>
      <c r="D1622" s="4">
        <v>8</v>
      </c>
      <c r="E1622" s="4" t="s">
        <v>46</v>
      </c>
      <c r="F1622" s="4" t="str">
        <f>"王秋月"</f>
        <v>王秋月</v>
      </c>
      <c r="G1622" s="4" t="str">
        <f t="shared" si="62"/>
        <v>女</v>
      </c>
      <c r="H1622" s="4" t="str">
        <f>"1993-06-30"</f>
        <v>1993-06-30</v>
      </c>
      <c r="I1622" s="4">
        <v>48.8</v>
      </c>
      <c r="J1622" s="5"/>
    </row>
    <row r="1623" spans="1:10">
      <c r="A1623" s="4">
        <v>1619</v>
      </c>
      <c r="B1623" s="4" t="str">
        <f>"20207025509"</f>
        <v>20207025509</v>
      </c>
      <c r="C1623" s="4">
        <v>55</v>
      </c>
      <c r="D1623" s="4">
        <v>9</v>
      </c>
      <c r="E1623" s="4" t="s">
        <v>46</v>
      </c>
      <c r="F1623" s="4" t="str">
        <f>"刘亨利"</f>
        <v>刘亨利</v>
      </c>
      <c r="G1623" s="4" t="str">
        <f t="shared" si="62"/>
        <v>女</v>
      </c>
      <c r="H1623" s="4" t="str">
        <f>"1998-11-09"</f>
        <v>1998-11-09</v>
      </c>
      <c r="I1623" s="4">
        <v>71.5</v>
      </c>
      <c r="J1623" s="5"/>
    </row>
    <row r="1624" spans="1:10">
      <c r="A1624" s="4">
        <v>1620</v>
      </c>
      <c r="B1624" s="4" t="str">
        <f>"20207025510"</f>
        <v>20207025510</v>
      </c>
      <c r="C1624" s="4">
        <v>55</v>
      </c>
      <c r="D1624" s="4">
        <v>10</v>
      </c>
      <c r="E1624" s="4" t="s">
        <v>46</v>
      </c>
      <c r="F1624" s="4" t="str">
        <f>"刘果"</f>
        <v>刘果</v>
      </c>
      <c r="G1624" s="4" t="str">
        <f t="shared" si="62"/>
        <v>女</v>
      </c>
      <c r="H1624" s="4" t="str">
        <f>"1997-09-03"</f>
        <v>1997-09-03</v>
      </c>
      <c r="I1624" s="4">
        <v>53.7</v>
      </c>
      <c r="J1624" s="5"/>
    </row>
    <row r="1625" spans="1:10">
      <c r="A1625" s="4">
        <v>1621</v>
      </c>
      <c r="B1625" s="4" t="str">
        <f>"20207025511"</f>
        <v>20207025511</v>
      </c>
      <c r="C1625" s="4">
        <v>55</v>
      </c>
      <c r="D1625" s="4">
        <v>11</v>
      </c>
      <c r="E1625" s="4" t="s">
        <v>46</v>
      </c>
      <c r="F1625" s="4" t="str">
        <f>"王迎迎"</f>
        <v>王迎迎</v>
      </c>
      <c r="G1625" s="4" t="str">
        <f t="shared" si="62"/>
        <v>女</v>
      </c>
      <c r="H1625" s="4" t="str">
        <f>"1991-07-04"</f>
        <v>1991-07-04</v>
      </c>
      <c r="I1625" s="4">
        <v>68.1</v>
      </c>
      <c r="J1625" s="5"/>
    </row>
    <row r="1626" spans="1:10">
      <c r="A1626" s="4">
        <v>1622</v>
      </c>
      <c r="B1626" s="4" t="str">
        <f>"20207025512"</f>
        <v>20207025512</v>
      </c>
      <c r="C1626" s="4">
        <v>55</v>
      </c>
      <c r="D1626" s="4">
        <v>12</v>
      </c>
      <c r="E1626" s="4" t="s">
        <v>46</v>
      </c>
      <c r="F1626" s="4" t="str">
        <f>"赵珊"</f>
        <v>赵珊</v>
      </c>
      <c r="G1626" s="4" t="str">
        <f t="shared" si="62"/>
        <v>女</v>
      </c>
      <c r="H1626" s="4" t="str">
        <f>"1998-10-23"</f>
        <v>1998-10-23</v>
      </c>
      <c r="I1626" s="4" t="s">
        <v>12</v>
      </c>
      <c r="J1626" s="5"/>
    </row>
    <row r="1627" spans="1:10">
      <c r="A1627" s="4">
        <v>1623</v>
      </c>
      <c r="B1627" s="4" t="str">
        <f>"20207025513"</f>
        <v>20207025513</v>
      </c>
      <c r="C1627" s="4">
        <v>55</v>
      </c>
      <c r="D1627" s="4">
        <v>13</v>
      </c>
      <c r="E1627" s="4" t="s">
        <v>46</v>
      </c>
      <c r="F1627" s="4" t="str">
        <f>"渠莹莹"</f>
        <v>渠莹莹</v>
      </c>
      <c r="G1627" s="4" t="str">
        <f t="shared" si="62"/>
        <v>女</v>
      </c>
      <c r="H1627" s="4" t="str">
        <f>"1997-06-28"</f>
        <v>1997-06-28</v>
      </c>
      <c r="I1627" s="4" t="s">
        <v>12</v>
      </c>
      <c r="J1627" s="5"/>
    </row>
    <row r="1628" spans="1:10">
      <c r="A1628" s="4">
        <v>1624</v>
      </c>
      <c r="B1628" s="4" t="str">
        <f>"20207025514"</f>
        <v>20207025514</v>
      </c>
      <c r="C1628" s="4">
        <v>55</v>
      </c>
      <c r="D1628" s="4">
        <v>14</v>
      </c>
      <c r="E1628" s="4" t="s">
        <v>46</v>
      </c>
      <c r="F1628" s="4" t="str">
        <f>"张心怡"</f>
        <v>张心怡</v>
      </c>
      <c r="G1628" s="4" t="str">
        <f t="shared" si="62"/>
        <v>女</v>
      </c>
      <c r="H1628" s="4" t="str">
        <f>"1998-01-10"</f>
        <v>1998-01-10</v>
      </c>
      <c r="I1628" s="4">
        <v>63.8</v>
      </c>
      <c r="J1628" s="5"/>
    </row>
    <row r="1629" spans="1:10">
      <c r="A1629" s="4">
        <v>1625</v>
      </c>
      <c r="B1629" s="4" t="str">
        <f>"20207025515"</f>
        <v>20207025515</v>
      </c>
      <c r="C1629" s="4">
        <v>55</v>
      </c>
      <c r="D1629" s="4">
        <v>15</v>
      </c>
      <c r="E1629" s="4" t="s">
        <v>46</v>
      </c>
      <c r="F1629" s="4" t="str">
        <f>"孟子娟"</f>
        <v>孟子娟</v>
      </c>
      <c r="G1629" s="4" t="str">
        <f t="shared" si="62"/>
        <v>女</v>
      </c>
      <c r="H1629" s="4" t="str">
        <f>"1996-10-27"</f>
        <v>1996-10-27</v>
      </c>
      <c r="I1629" s="4">
        <v>68.6</v>
      </c>
      <c r="J1629" s="5"/>
    </row>
    <row r="1630" spans="1:10">
      <c r="A1630" s="4">
        <v>1626</v>
      </c>
      <c r="B1630" s="4" t="str">
        <f>"20207025516"</f>
        <v>20207025516</v>
      </c>
      <c r="C1630" s="4">
        <v>55</v>
      </c>
      <c r="D1630" s="4">
        <v>16</v>
      </c>
      <c r="E1630" s="4" t="s">
        <v>46</v>
      </c>
      <c r="F1630" s="4" t="str">
        <f>"魏丹"</f>
        <v>魏丹</v>
      </c>
      <c r="G1630" s="4" t="str">
        <f t="shared" si="62"/>
        <v>女</v>
      </c>
      <c r="H1630" s="4" t="str">
        <f>"1990-06-20"</f>
        <v>1990-06-20</v>
      </c>
      <c r="I1630" s="4">
        <v>63.5</v>
      </c>
      <c r="J1630" s="5"/>
    </row>
    <row r="1631" spans="1:10">
      <c r="A1631" s="4">
        <v>1627</v>
      </c>
      <c r="B1631" s="4" t="str">
        <f>"20207025517"</f>
        <v>20207025517</v>
      </c>
      <c r="C1631" s="4">
        <v>55</v>
      </c>
      <c r="D1631" s="4">
        <v>17</v>
      </c>
      <c r="E1631" s="4" t="s">
        <v>46</v>
      </c>
      <c r="F1631" s="4" t="str">
        <f>"林艳"</f>
        <v>林艳</v>
      </c>
      <c r="G1631" s="4" t="str">
        <f t="shared" si="62"/>
        <v>女</v>
      </c>
      <c r="H1631" s="4" t="str">
        <f>"1991-10-19"</f>
        <v>1991-10-19</v>
      </c>
      <c r="I1631" s="4" t="s">
        <v>12</v>
      </c>
      <c r="J1631" s="5"/>
    </row>
    <row r="1632" spans="1:10">
      <c r="A1632" s="4">
        <v>1628</v>
      </c>
      <c r="B1632" s="4" t="str">
        <f>"20207025518"</f>
        <v>20207025518</v>
      </c>
      <c r="C1632" s="4">
        <v>55</v>
      </c>
      <c r="D1632" s="4">
        <v>18</v>
      </c>
      <c r="E1632" s="4" t="s">
        <v>46</v>
      </c>
      <c r="F1632" s="4" t="str">
        <f>"郭嘉"</f>
        <v>郭嘉</v>
      </c>
      <c r="G1632" s="4" t="str">
        <f t="shared" si="62"/>
        <v>女</v>
      </c>
      <c r="H1632" s="4" t="str">
        <f>"2001-11-26"</f>
        <v>2001-11-26</v>
      </c>
      <c r="I1632" s="4" t="s">
        <v>12</v>
      </c>
      <c r="J1632" s="5"/>
    </row>
    <row r="1633" spans="1:10">
      <c r="A1633" s="4">
        <v>1629</v>
      </c>
      <c r="B1633" s="4" t="str">
        <f>"20207025519"</f>
        <v>20207025519</v>
      </c>
      <c r="C1633" s="4">
        <v>55</v>
      </c>
      <c r="D1633" s="4">
        <v>19</v>
      </c>
      <c r="E1633" s="4" t="s">
        <v>46</v>
      </c>
      <c r="F1633" s="4" t="str">
        <f>"李奇"</f>
        <v>李奇</v>
      </c>
      <c r="G1633" s="4" t="str">
        <f t="shared" si="62"/>
        <v>女</v>
      </c>
      <c r="H1633" s="4" t="str">
        <f>"1997-02-10"</f>
        <v>1997-02-10</v>
      </c>
      <c r="I1633" s="4">
        <v>63.5</v>
      </c>
      <c r="J1633" s="5"/>
    </row>
    <row r="1634" spans="1:10">
      <c r="A1634" s="4">
        <v>1630</v>
      </c>
      <c r="B1634" s="4" t="str">
        <f>"20207025520"</f>
        <v>20207025520</v>
      </c>
      <c r="C1634" s="4">
        <v>55</v>
      </c>
      <c r="D1634" s="4">
        <v>20</v>
      </c>
      <c r="E1634" s="4" t="s">
        <v>46</v>
      </c>
      <c r="F1634" s="4" t="str">
        <f>"孟凡丹"</f>
        <v>孟凡丹</v>
      </c>
      <c r="G1634" s="4" t="str">
        <f t="shared" si="62"/>
        <v>女</v>
      </c>
      <c r="H1634" s="4" t="str">
        <f>"1996-01-10"</f>
        <v>1996-01-10</v>
      </c>
      <c r="I1634" s="4">
        <v>72.2</v>
      </c>
      <c r="J1634" s="5"/>
    </row>
    <row r="1635" spans="1:10">
      <c r="A1635" s="4">
        <v>1631</v>
      </c>
      <c r="B1635" s="4" t="str">
        <f>"20207025521"</f>
        <v>20207025521</v>
      </c>
      <c r="C1635" s="4">
        <v>55</v>
      </c>
      <c r="D1635" s="4">
        <v>21</v>
      </c>
      <c r="E1635" s="4" t="s">
        <v>46</v>
      </c>
      <c r="F1635" s="4" t="str">
        <f>"雷铭"</f>
        <v>雷铭</v>
      </c>
      <c r="G1635" s="4" t="str">
        <f t="shared" si="62"/>
        <v>女</v>
      </c>
      <c r="H1635" s="4" t="str">
        <f>"1998-01-22"</f>
        <v>1998-01-22</v>
      </c>
      <c r="I1635" s="4">
        <v>81.6</v>
      </c>
      <c r="J1635" s="5"/>
    </row>
    <row r="1636" spans="1:10">
      <c r="A1636" s="4">
        <v>1632</v>
      </c>
      <c r="B1636" s="4" t="str">
        <f>"20207025522"</f>
        <v>20207025522</v>
      </c>
      <c r="C1636" s="4">
        <v>55</v>
      </c>
      <c r="D1636" s="4">
        <v>22</v>
      </c>
      <c r="E1636" s="4" t="s">
        <v>46</v>
      </c>
      <c r="F1636" s="4" t="str">
        <f>"冉然"</f>
        <v>冉然</v>
      </c>
      <c r="G1636" s="4" t="str">
        <f t="shared" si="62"/>
        <v>女</v>
      </c>
      <c r="H1636" s="4" t="str">
        <f>"1991-06-05"</f>
        <v>1991-06-05</v>
      </c>
      <c r="I1636" s="4">
        <v>70.2</v>
      </c>
      <c r="J1636" s="5"/>
    </row>
    <row r="1637" spans="1:10">
      <c r="A1637" s="4">
        <v>1633</v>
      </c>
      <c r="B1637" s="4" t="str">
        <f>"20207025523"</f>
        <v>20207025523</v>
      </c>
      <c r="C1637" s="4">
        <v>55</v>
      </c>
      <c r="D1637" s="4">
        <v>23</v>
      </c>
      <c r="E1637" s="4" t="s">
        <v>46</v>
      </c>
      <c r="F1637" s="4" t="str">
        <f>"包丽莎"</f>
        <v>包丽莎</v>
      </c>
      <c r="G1637" s="4" t="str">
        <f t="shared" si="62"/>
        <v>女</v>
      </c>
      <c r="H1637" s="4" t="str">
        <f>"1992-12-24"</f>
        <v>1992-12-24</v>
      </c>
      <c r="I1637" s="4">
        <v>68.2</v>
      </c>
      <c r="J1637" s="5"/>
    </row>
    <row r="1638" spans="1:10">
      <c r="A1638" s="4">
        <v>1634</v>
      </c>
      <c r="B1638" s="4" t="str">
        <f>"20207025524"</f>
        <v>20207025524</v>
      </c>
      <c r="C1638" s="4">
        <v>55</v>
      </c>
      <c r="D1638" s="4">
        <v>24</v>
      </c>
      <c r="E1638" s="4" t="s">
        <v>46</v>
      </c>
      <c r="F1638" s="4" t="str">
        <f>"董超"</f>
        <v>董超</v>
      </c>
      <c r="G1638" s="4" t="str">
        <f t="shared" si="62"/>
        <v>女</v>
      </c>
      <c r="H1638" s="4" t="str">
        <f>"1992-01-08"</f>
        <v>1992-01-08</v>
      </c>
      <c r="I1638" s="4" t="s">
        <v>12</v>
      </c>
      <c r="J1638" s="5"/>
    </row>
    <row r="1639" spans="1:10">
      <c r="A1639" s="4">
        <v>1635</v>
      </c>
      <c r="B1639" s="4" t="str">
        <f>"20207025525"</f>
        <v>20207025525</v>
      </c>
      <c r="C1639" s="4">
        <v>55</v>
      </c>
      <c r="D1639" s="4">
        <v>25</v>
      </c>
      <c r="E1639" s="4" t="s">
        <v>46</v>
      </c>
      <c r="F1639" s="4" t="str">
        <f>"薛世莹"</f>
        <v>薛世莹</v>
      </c>
      <c r="G1639" s="4" t="str">
        <f t="shared" si="62"/>
        <v>女</v>
      </c>
      <c r="H1639" s="4" t="str">
        <f>"1995-06-19"</f>
        <v>1995-06-19</v>
      </c>
      <c r="I1639" s="4" t="s">
        <v>12</v>
      </c>
      <c r="J1639" s="5"/>
    </row>
    <row r="1640" spans="1:10">
      <c r="A1640" s="4">
        <v>1636</v>
      </c>
      <c r="B1640" s="4" t="str">
        <f>"20207025526"</f>
        <v>20207025526</v>
      </c>
      <c r="C1640" s="4">
        <v>55</v>
      </c>
      <c r="D1640" s="4">
        <v>26</v>
      </c>
      <c r="E1640" s="4" t="s">
        <v>46</v>
      </c>
      <c r="F1640" s="4" t="str">
        <f>"宋欣"</f>
        <v>宋欣</v>
      </c>
      <c r="G1640" s="4" t="str">
        <f t="shared" si="62"/>
        <v>女</v>
      </c>
      <c r="H1640" s="4" t="str">
        <f>"1997-04-10"</f>
        <v>1997-04-10</v>
      </c>
      <c r="I1640" s="4">
        <v>66.4</v>
      </c>
      <c r="J1640" s="5"/>
    </row>
    <row r="1641" spans="1:10">
      <c r="A1641" s="4">
        <v>1637</v>
      </c>
      <c r="B1641" s="4" t="str">
        <f>"20207025527"</f>
        <v>20207025527</v>
      </c>
      <c r="C1641" s="4">
        <v>55</v>
      </c>
      <c r="D1641" s="4">
        <v>27</v>
      </c>
      <c r="E1641" s="4" t="s">
        <v>46</v>
      </c>
      <c r="F1641" s="4" t="str">
        <f>"陈红"</f>
        <v>陈红</v>
      </c>
      <c r="G1641" s="4" t="str">
        <f t="shared" si="62"/>
        <v>女</v>
      </c>
      <c r="H1641" s="4" t="str">
        <f>"1992-02-11"</f>
        <v>1992-02-11</v>
      </c>
      <c r="I1641" s="4">
        <v>65.8</v>
      </c>
      <c r="J1641" s="5"/>
    </row>
    <row r="1642" spans="1:10">
      <c r="A1642" s="4">
        <v>1638</v>
      </c>
      <c r="B1642" s="4" t="str">
        <f>"20207025528"</f>
        <v>20207025528</v>
      </c>
      <c r="C1642" s="4">
        <v>55</v>
      </c>
      <c r="D1642" s="4">
        <v>28</v>
      </c>
      <c r="E1642" s="4" t="s">
        <v>46</v>
      </c>
      <c r="F1642" s="4" t="str">
        <f>"杨露"</f>
        <v>杨露</v>
      </c>
      <c r="G1642" s="4" t="str">
        <f t="shared" si="62"/>
        <v>女</v>
      </c>
      <c r="H1642" s="4" t="str">
        <f>"1993-02-22"</f>
        <v>1993-02-22</v>
      </c>
      <c r="I1642" s="4">
        <v>81.6</v>
      </c>
      <c r="J1642" s="5"/>
    </row>
    <row r="1643" spans="1:10">
      <c r="A1643" s="4">
        <v>1639</v>
      </c>
      <c r="B1643" s="4" t="str">
        <f>"20207025529"</f>
        <v>20207025529</v>
      </c>
      <c r="C1643" s="4">
        <v>55</v>
      </c>
      <c r="D1643" s="4">
        <v>29</v>
      </c>
      <c r="E1643" s="4" t="s">
        <v>46</v>
      </c>
      <c r="F1643" s="4" t="str">
        <f>"王沛洁"</f>
        <v>王沛洁</v>
      </c>
      <c r="G1643" s="4" t="str">
        <f t="shared" si="62"/>
        <v>女</v>
      </c>
      <c r="H1643" s="4" t="str">
        <f>"1998-06-21"</f>
        <v>1998-06-21</v>
      </c>
      <c r="I1643" s="4">
        <v>55.9</v>
      </c>
      <c r="J1643" s="5"/>
    </row>
    <row r="1644" spans="1:10">
      <c r="A1644" s="4">
        <v>1640</v>
      </c>
      <c r="B1644" s="4" t="str">
        <f>"20207025530"</f>
        <v>20207025530</v>
      </c>
      <c r="C1644" s="4">
        <v>55</v>
      </c>
      <c r="D1644" s="4">
        <v>30</v>
      </c>
      <c r="E1644" s="4" t="s">
        <v>46</v>
      </c>
      <c r="F1644" s="4" t="str">
        <f>"刘珂丰"</f>
        <v>刘珂丰</v>
      </c>
      <c r="G1644" s="4" t="str">
        <f t="shared" si="62"/>
        <v>女</v>
      </c>
      <c r="H1644" s="4" t="str">
        <f>"1996-11-10"</f>
        <v>1996-11-10</v>
      </c>
      <c r="I1644" s="4">
        <v>70.2</v>
      </c>
      <c r="J1644" s="5"/>
    </row>
    <row r="1645" spans="1:10">
      <c r="A1645" s="4">
        <v>1641</v>
      </c>
      <c r="B1645" s="4" t="str">
        <f>"20207025601"</f>
        <v>20207025601</v>
      </c>
      <c r="C1645" s="4">
        <v>56</v>
      </c>
      <c r="D1645" s="4">
        <v>1</v>
      </c>
      <c r="E1645" s="4" t="s">
        <v>46</v>
      </c>
      <c r="F1645" s="4" t="str">
        <f>"王丹"</f>
        <v>王丹</v>
      </c>
      <c r="G1645" s="4" t="str">
        <f t="shared" si="62"/>
        <v>女</v>
      </c>
      <c r="H1645" s="4" t="str">
        <f>"1995-11-19"</f>
        <v>1995-11-19</v>
      </c>
      <c r="I1645" s="4">
        <v>63</v>
      </c>
      <c r="J1645" s="5"/>
    </row>
    <row r="1646" spans="1:10">
      <c r="A1646" s="4">
        <v>1642</v>
      </c>
      <c r="B1646" s="4" t="str">
        <f>"20207025602"</f>
        <v>20207025602</v>
      </c>
      <c r="C1646" s="4">
        <v>56</v>
      </c>
      <c r="D1646" s="4">
        <v>2</v>
      </c>
      <c r="E1646" s="4" t="s">
        <v>46</v>
      </c>
      <c r="F1646" s="4" t="str">
        <f>"鲁文雪"</f>
        <v>鲁文雪</v>
      </c>
      <c r="G1646" s="4" t="str">
        <f t="shared" si="62"/>
        <v>女</v>
      </c>
      <c r="H1646" s="4" t="str">
        <f>"1998-03-24"</f>
        <v>1998-03-24</v>
      </c>
      <c r="I1646" s="4">
        <v>79.2</v>
      </c>
      <c r="J1646" s="5"/>
    </row>
    <row r="1647" spans="1:10">
      <c r="A1647" s="4">
        <v>1643</v>
      </c>
      <c r="B1647" s="4" t="str">
        <f>"20207025603"</f>
        <v>20207025603</v>
      </c>
      <c r="C1647" s="4">
        <v>56</v>
      </c>
      <c r="D1647" s="4">
        <v>3</v>
      </c>
      <c r="E1647" s="4" t="s">
        <v>46</v>
      </c>
      <c r="F1647" s="4" t="str">
        <f>"苗春燕"</f>
        <v>苗春燕</v>
      </c>
      <c r="G1647" s="4" t="str">
        <f t="shared" si="62"/>
        <v>女</v>
      </c>
      <c r="H1647" s="4" t="str">
        <f>"1995-12-27"</f>
        <v>1995-12-27</v>
      </c>
      <c r="I1647" s="4">
        <v>74.9</v>
      </c>
      <c r="J1647" s="5"/>
    </row>
    <row r="1648" spans="1:10">
      <c r="A1648" s="4">
        <v>1644</v>
      </c>
      <c r="B1648" s="4" t="str">
        <f>"20207025604"</f>
        <v>20207025604</v>
      </c>
      <c r="C1648" s="4">
        <v>56</v>
      </c>
      <c r="D1648" s="4">
        <v>4</v>
      </c>
      <c r="E1648" s="4" t="s">
        <v>46</v>
      </c>
      <c r="F1648" s="4" t="str">
        <f>"边东仪"</f>
        <v>边东仪</v>
      </c>
      <c r="G1648" s="4" t="str">
        <f t="shared" si="62"/>
        <v>女</v>
      </c>
      <c r="H1648" s="4" t="str">
        <f>"2000-08-30"</f>
        <v>2000-08-30</v>
      </c>
      <c r="I1648" s="4">
        <v>68.8</v>
      </c>
      <c r="J1648" s="5"/>
    </row>
    <row r="1649" spans="1:10">
      <c r="A1649" s="4">
        <v>1645</v>
      </c>
      <c r="B1649" s="4" t="str">
        <f>"20207025605"</f>
        <v>20207025605</v>
      </c>
      <c r="C1649" s="4">
        <v>56</v>
      </c>
      <c r="D1649" s="4">
        <v>5</v>
      </c>
      <c r="E1649" s="4" t="s">
        <v>46</v>
      </c>
      <c r="F1649" s="4" t="str">
        <f>"高楚"</f>
        <v>高楚</v>
      </c>
      <c r="G1649" s="4" t="str">
        <f t="shared" si="62"/>
        <v>女</v>
      </c>
      <c r="H1649" s="4" t="str">
        <f>"1994-06-27"</f>
        <v>1994-06-27</v>
      </c>
      <c r="I1649" s="4">
        <v>81.5</v>
      </c>
      <c r="J1649" s="5"/>
    </row>
    <row r="1650" spans="1:10">
      <c r="A1650" s="4">
        <v>1646</v>
      </c>
      <c r="B1650" s="4" t="str">
        <f>"20207025606"</f>
        <v>20207025606</v>
      </c>
      <c r="C1650" s="4">
        <v>56</v>
      </c>
      <c r="D1650" s="4">
        <v>6</v>
      </c>
      <c r="E1650" s="4" t="s">
        <v>46</v>
      </c>
      <c r="F1650" s="4" t="str">
        <f>"王琪"</f>
        <v>王琪</v>
      </c>
      <c r="G1650" s="4" t="str">
        <f t="shared" si="62"/>
        <v>女</v>
      </c>
      <c r="H1650" s="4" t="str">
        <f>"1995-09-16"</f>
        <v>1995-09-16</v>
      </c>
      <c r="I1650" s="4">
        <v>77.5</v>
      </c>
      <c r="J1650" s="5"/>
    </row>
    <row r="1651" spans="1:10">
      <c r="A1651" s="4">
        <v>1647</v>
      </c>
      <c r="B1651" s="4" t="str">
        <f>"20207025607"</f>
        <v>20207025607</v>
      </c>
      <c r="C1651" s="4">
        <v>56</v>
      </c>
      <c r="D1651" s="4">
        <v>7</v>
      </c>
      <c r="E1651" s="4" t="s">
        <v>46</v>
      </c>
      <c r="F1651" s="4" t="str">
        <f>"高钧杰"</f>
        <v>高钧杰</v>
      </c>
      <c r="G1651" s="4" t="str">
        <f t="shared" si="62"/>
        <v>女</v>
      </c>
      <c r="H1651" s="4" t="str">
        <f>"1998-01-26"</f>
        <v>1998-01-26</v>
      </c>
      <c r="I1651" s="4">
        <v>56.4</v>
      </c>
      <c r="J1651" s="5"/>
    </row>
    <row r="1652" spans="1:10">
      <c r="A1652" s="4">
        <v>1648</v>
      </c>
      <c r="B1652" s="4" t="str">
        <f>"20207025608"</f>
        <v>20207025608</v>
      </c>
      <c r="C1652" s="4">
        <v>56</v>
      </c>
      <c r="D1652" s="4">
        <v>8</v>
      </c>
      <c r="E1652" s="4" t="s">
        <v>46</v>
      </c>
      <c r="F1652" s="4" t="str">
        <f>"孙楠楠"</f>
        <v>孙楠楠</v>
      </c>
      <c r="G1652" s="4" t="str">
        <f t="shared" ref="G1652:G1710" si="63">"女"</f>
        <v>女</v>
      </c>
      <c r="H1652" s="4" t="str">
        <f>"1991-07-03"</f>
        <v>1991-07-03</v>
      </c>
      <c r="I1652" s="4">
        <v>69.9</v>
      </c>
      <c r="J1652" s="5"/>
    </row>
    <row r="1653" spans="1:10">
      <c r="A1653" s="4">
        <v>1649</v>
      </c>
      <c r="B1653" s="4" t="str">
        <f>"20207025609"</f>
        <v>20207025609</v>
      </c>
      <c r="C1653" s="4">
        <v>56</v>
      </c>
      <c r="D1653" s="4">
        <v>9</v>
      </c>
      <c r="E1653" s="4" t="s">
        <v>46</v>
      </c>
      <c r="F1653" s="4" t="str">
        <f>"鲁煜虹"</f>
        <v>鲁煜虹</v>
      </c>
      <c r="G1653" s="4" t="str">
        <f t="shared" si="63"/>
        <v>女</v>
      </c>
      <c r="H1653" s="4" t="str">
        <f>"1993-02-28"</f>
        <v>1993-02-28</v>
      </c>
      <c r="I1653" s="4" t="s">
        <v>12</v>
      </c>
      <c r="J1653" s="5"/>
    </row>
    <row r="1654" spans="1:10">
      <c r="A1654" s="4">
        <v>1650</v>
      </c>
      <c r="B1654" s="4" t="str">
        <f>"20207025610"</f>
        <v>20207025610</v>
      </c>
      <c r="C1654" s="4">
        <v>56</v>
      </c>
      <c r="D1654" s="4">
        <v>10</v>
      </c>
      <c r="E1654" s="4" t="s">
        <v>46</v>
      </c>
      <c r="F1654" s="4" t="str">
        <f>"葛倩"</f>
        <v>葛倩</v>
      </c>
      <c r="G1654" s="4" t="str">
        <f t="shared" si="63"/>
        <v>女</v>
      </c>
      <c r="H1654" s="4" t="str">
        <f>"1991-07-12"</f>
        <v>1991-07-12</v>
      </c>
      <c r="I1654" s="4">
        <v>70.4</v>
      </c>
      <c r="J1654" s="5"/>
    </row>
    <row r="1655" spans="1:10">
      <c r="A1655" s="4">
        <v>1651</v>
      </c>
      <c r="B1655" s="4" t="str">
        <f>"20207025611"</f>
        <v>20207025611</v>
      </c>
      <c r="C1655" s="4">
        <v>56</v>
      </c>
      <c r="D1655" s="4">
        <v>11</v>
      </c>
      <c r="E1655" s="4" t="s">
        <v>46</v>
      </c>
      <c r="F1655" s="4" t="str">
        <f>"邵天水"</f>
        <v>邵天水</v>
      </c>
      <c r="G1655" s="4" t="str">
        <f t="shared" si="63"/>
        <v>女</v>
      </c>
      <c r="H1655" s="4" t="str">
        <f>"1995-05-25"</f>
        <v>1995-05-25</v>
      </c>
      <c r="I1655" s="4">
        <v>71.8</v>
      </c>
      <c r="J1655" s="5"/>
    </row>
    <row r="1656" spans="1:10">
      <c r="A1656" s="4">
        <v>1652</v>
      </c>
      <c r="B1656" s="4" t="str">
        <f>"20207025612"</f>
        <v>20207025612</v>
      </c>
      <c r="C1656" s="4">
        <v>56</v>
      </c>
      <c r="D1656" s="4">
        <v>12</v>
      </c>
      <c r="E1656" s="4" t="s">
        <v>46</v>
      </c>
      <c r="F1656" s="4" t="str">
        <f>"何士南"</f>
        <v>何士南</v>
      </c>
      <c r="G1656" s="4" t="str">
        <f t="shared" si="63"/>
        <v>女</v>
      </c>
      <c r="H1656" s="4" t="str">
        <f>"1994-10-15"</f>
        <v>1994-10-15</v>
      </c>
      <c r="I1656" s="4">
        <v>67.1</v>
      </c>
      <c r="J1656" s="5"/>
    </row>
    <row r="1657" spans="1:10">
      <c r="A1657" s="4">
        <v>1653</v>
      </c>
      <c r="B1657" s="4" t="str">
        <f>"20207025613"</f>
        <v>20207025613</v>
      </c>
      <c r="C1657" s="4">
        <v>56</v>
      </c>
      <c r="D1657" s="4">
        <v>13</v>
      </c>
      <c r="E1657" s="4" t="s">
        <v>46</v>
      </c>
      <c r="F1657" s="4" t="str">
        <f>"陈盼"</f>
        <v>陈盼</v>
      </c>
      <c r="G1657" s="4" t="str">
        <f t="shared" si="63"/>
        <v>女</v>
      </c>
      <c r="H1657" s="4" t="str">
        <f>"2000-01-05"</f>
        <v>2000-01-05</v>
      </c>
      <c r="I1657" s="4">
        <v>64.1</v>
      </c>
      <c r="J1657" s="5"/>
    </row>
    <row r="1658" spans="1:10">
      <c r="A1658" s="4">
        <v>1654</v>
      </c>
      <c r="B1658" s="4" t="str">
        <f>"20207025614"</f>
        <v>20207025614</v>
      </c>
      <c r="C1658" s="4">
        <v>56</v>
      </c>
      <c r="D1658" s="4">
        <v>14</v>
      </c>
      <c r="E1658" s="4" t="s">
        <v>46</v>
      </c>
      <c r="F1658" s="4" t="str">
        <f>"郭阿敏"</f>
        <v>郭阿敏</v>
      </c>
      <c r="G1658" s="4" t="str">
        <f t="shared" si="63"/>
        <v>女</v>
      </c>
      <c r="H1658" s="4" t="str">
        <f>"1994-03-09"</f>
        <v>1994-03-09</v>
      </c>
      <c r="I1658" s="4">
        <v>68.1</v>
      </c>
      <c r="J1658" s="5"/>
    </row>
    <row r="1659" spans="1:10">
      <c r="A1659" s="4">
        <v>1655</v>
      </c>
      <c r="B1659" s="4" t="str">
        <f>"20207025615"</f>
        <v>20207025615</v>
      </c>
      <c r="C1659" s="4">
        <v>56</v>
      </c>
      <c r="D1659" s="4">
        <v>15</v>
      </c>
      <c r="E1659" s="4" t="s">
        <v>46</v>
      </c>
      <c r="F1659" s="4" t="str">
        <f>"张梦辰"</f>
        <v>张梦辰</v>
      </c>
      <c r="G1659" s="4" t="str">
        <f t="shared" si="63"/>
        <v>女</v>
      </c>
      <c r="H1659" s="4" t="str">
        <f>"1992-04-16"</f>
        <v>1992-04-16</v>
      </c>
      <c r="I1659" s="4">
        <v>62.5</v>
      </c>
      <c r="J1659" s="5"/>
    </row>
    <row r="1660" spans="1:10">
      <c r="A1660" s="4">
        <v>1656</v>
      </c>
      <c r="B1660" s="4" t="str">
        <f>"20207025616"</f>
        <v>20207025616</v>
      </c>
      <c r="C1660" s="4">
        <v>56</v>
      </c>
      <c r="D1660" s="4">
        <v>16</v>
      </c>
      <c r="E1660" s="4" t="s">
        <v>46</v>
      </c>
      <c r="F1660" s="4" t="str">
        <f>"刘存"</f>
        <v>刘存</v>
      </c>
      <c r="G1660" s="4" t="str">
        <f t="shared" si="63"/>
        <v>女</v>
      </c>
      <c r="H1660" s="4" t="str">
        <f>"1993-10-25"</f>
        <v>1993-10-25</v>
      </c>
      <c r="I1660" s="4">
        <v>73.3</v>
      </c>
      <c r="J1660" s="5"/>
    </row>
    <row r="1661" spans="1:10">
      <c r="A1661" s="4">
        <v>1657</v>
      </c>
      <c r="B1661" s="4" t="str">
        <f>"20207025617"</f>
        <v>20207025617</v>
      </c>
      <c r="C1661" s="4">
        <v>56</v>
      </c>
      <c r="D1661" s="4">
        <v>17</v>
      </c>
      <c r="E1661" s="4" t="s">
        <v>46</v>
      </c>
      <c r="F1661" s="4" t="str">
        <f>"李熳儒"</f>
        <v>李熳儒</v>
      </c>
      <c r="G1661" s="4" t="str">
        <f t="shared" si="63"/>
        <v>女</v>
      </c>
      <c r="H1661" s="4" t="str">
        <f>"1999-01-03"</f>
        <v>1999-01-03</v>
      </c>
      <c r="I1661" s="4">
        <v>49.9</v>
      </c>
      <c r="J1661" s="5"/>
    </row>
    <row r="1662" spans="1:10">
      <c r="A1662" s="4">
        <v>1658</v>
      </c>
      <c r="B1662" s="4" t="str">
        <f>"20207025618"</f>
        <v>20207025618</v>
      </c>
      <c r="C1662" s="4">
        <v>56</v>
      </c>
      <c r="D1662" s="4">
        <v>18</v>
      </c>
      <c r="E1662" s="4" t="s">
        <v>46</v>
      </c>
      <c r="F1662" s="4" t="str">
        <f>"王岳"</f>
        <v>王岳</v>
      </c>
      <c r="G1662" s="4" t="str">
        <f t="shared" si="63"/>
        <v>女</v>
      </c>
      <c r="H1662" s="4" t="str">
        <f>"1997-09-03"</f>
        <v>1997-09-03</v>
      </c>
      <c r="I1662" s="4">
        <v>85.6</v>
      </c>
      <c r="J1662" s="5"/>
    </row>
    <row r="1663" spans="1:10">
      <c r="A1663" s="4">
        <v>1659</v>
      </c>
      <c r="B1663" s="4" t="str">
        <f>"20207025619"</f>
        <v>20207025619</v>
      </c>
      <c r="C1663" s="4">
        <v>56</v>
      </c>
      <c r="D1663" s="4">
        <v>19</v>
      </c>
      <c r="E1663" s="4" t="s">
        <v>46</v>
      </c>
      <c r="F1663" s="4" t="str">
        <f>"王丹"</f>
        <v>王丹</v>
      </c>
      <c r="G1663" s="4" t="str">
        <f t="shared" si="63"/>
        <v>女</v>
      </c>
      <c r="H1663" s="4" t="str">
        <f>"1991-09-23"</f>
        <v>1991-09-23</v>
      </c>
      <c r="I1663" s="4">
        <v>28</v>
      </c>
      <c r="J1663" s="5"/>
    </row>
    <row r="1664" spans="1:10">
      <c r="A1664" s="4">
        <v>1660</v>
      </c>
      <c r="B1664" s="4" t="str">
        <f>"20207025620"</f>
        <v>20207025620</v>
      </c>
      <c r="C1664" s="4">
        <v>56</v>
      </c>
      <c r="D1664" s="4">
        <v>20</v>
      </c>
      <c r="E1664" s="4" t="s">
        <v>46</v>
      </c>
      <c r="F1664" s="4" t="str">
        <f>"张柯"</f>
        <v>张柯</v>
      </c>
      <c r="G1664" s="4" t="str">
        <f t="shared" si="63"/>
        <v>女</v>
      </c>
      <c r="H1664" s="4" t="str">
        <f>"1997-08-28"</f>
        <v>1997-08-28</v>
      </c>
      <c r="I1664" s="4">
        <v>63.5</v>
      </c>
      <c r="J1664" s="5"/>
    </row>
    <row r="1665" spans="1:10">
      <c r="A1665" s="4">
        <v>1661</v>
      </c>
      <c r="B1665" s="4" t="str">
        <f>"20207025621"</f>
        <v>20207025621</v>
      </c>
      <c r="C1665" s="4">
        <v>56</v>
      </c>
      <c r="D1665" s="4">
        <v>21</v>
      </c>
      <c r="E1665" s="4" t="s">
        <v>46</v>
      </c>
      <c r="F1665" s="4" t="str">
        <f>"龚潇钰"</f>
        <v>龚潇钰</v>
      </c>
      <c r="G1665" s="4" t="str">
        <f t="shared" si="63"/>
        <v>女</v>
      </c>
      <c r="H1665" s="4" t="str">
        <f>"1999-09-12"</f>
        <v>1999-09-12</v>
      </c>
      <c r="I1665" s="4">
        <v>68.4</v>
      </c>
      <c r="J1665" s="5"/>
    </row>
    <row r="1666" spans="1:10">
      <c r="A1666" s="4">
        <v>1662</v>
      </c>
      <c r="B1666" s="4" t="str">
        <f>"20207025622"</f>
        <v>20207025622</v>
      </c>
      <c r="C1666" s="4">
        <v>56</v>
      </c>
      <c r="D1666" s="4">
        <v>22</v>
      </c>
      <c r="E1666" s="4" t="s">
        <v>46</v>
      </c>
      <c r="F1666" s="4" t="str">
        <f>"丁晗"</f>
        <v>丁晗</v>
      </c>
      <c r="G1666" s="4" t="str">
        <f t="shared" si="63"/>
        <v>女</v>
      </c>
      <c r="H1666" s="4" t="str">
        <f>"1992-09-05"</f>
        <v>1992-09-05</v>
      </c>
      <c r="I1666" s="4">
        <v>71.4</v>
      </c>
      <c r="J1666" s="5"/>
    </row>
    <row r="1667" spans="1:10">
      <c r="A1667" s="4">
        <v>1663</v>
      </c>
      <c r="B1667" s="4" t="str">
        <f>"20207025623"</f>
        <v>20207025623</v>
      </c>
      <c r="C1667" s="4">
        <v>56</v>
      </c>
      <c r="D1667" s="4">
        <v>23</v>
      </c>
      <c r="E1667" s="4" t="s">
        <v>46</v>
      </c>
      <c r="F1667" s="4" t="str">
        <f>"李琪"</f>
        <v>李琪</v>
      </c>
      <c r="G1667" s="4" t="str">
        <f t="shared" si="63"/>
        <v>女</v>
      </c>
      <c r="H1667" s="4" t="str">
        <f>"1998-01-22"</f>
        <v>1998-01-22</v>
      </c>
      <c r="I1667" s="4">
        <v>68.9</v>
      </c>
      <c r="J1667" s="5"/>
    </row>
    <row r="1668" spans="1:10">
      <c r="A1668" s="4">
        <v>1664</v>
      </c>
      <c r="B1668" s="4" t="str">
        <f>"20207025624"</f>
        <v>20207025624</v>
      </c>
      <c r="C1668" s="4">
        <v>56</v>
      </c>
      <c r="D1668" s="4">
        <v>24</v>
      </c>
      <c r="E1668" s="4" t="s">
        <v>46</v>
      </c>
      <c r="F1668" s="4" t="str">
        <f>"李娟"</f>
        <v>李娟</v>
      </c>
      <c r="G1668" s="4" t="str">
        <f t="shared" si="63"/>
        <v>女</v>
      </c>
      <c r="H1668" s="4" t="str">
        <f>"2001-03-16"</f>
        <v>2001-03-16</v>
      </c>
      <c r="I1668" s="4">
        <v>50.7</v>
      </c>
      <c r="J1668" s="5"/>
    </row>
    <row r="1669" spans="1:10">
      <c r="A1669" s="4">
        <v>1665</v>
      </c>
      <c r="B1669" s="4" t="str">
        <f>"20207025625"</f>
        <v>20207025625</v>
      </c>
      <c r="C1669" s="4">
        <v>56</v>
      </c>
      <c r="D1669" s="4">
        <v>25</v>
      </c>
      <c r="E1669" s="4" t="s">
        <v>46</v>
      </c>
      <c r="F1669" s="4" t="str">
        <f>"刘璐"</f>
        <v>刘璐</v>
      </c>
      <c r="G1669" s="4" t="str">
        <f t="shared" si="63"/>
        <v>女</v>
      </c>
      <c r="H1669" s="4" t="str">
        <f>"1995-10-01"</f>
        <v>1995-10-01</v>
      </c>
      <c r="I1669" s="4">
        <v>72.1</v>
      </c>
      <c r="J1669" s="5"/>
    </row>
    <row r="1670" spans="1:10">
      <c r="A1670" s="4">
        <v>1666</v>
      </c>
      <c r="B1670" s="4" t="str">
        <f>"20207025626"</f>
        <v>20207025626</v>
      </c>
      <c r="C1670" s="4">
        <v>56</v>
      </c>
      <c r="D1670" s="4">
        <v>26</v>
      </c>
      <c r="E1670" s="4" t="s">
        <v>46</v>
      </c>
      <c r="F1670" s="4" t="str">
        <f>"卢卓"</f>
        <v>卢卓</v>
      </c>
      <c r="G1670" s="4" t="str">
        <f t="shared" si="63"/>
        <v>女</v>
      </c>
      <c r="H1670" s="4" t="str">
        <f>"1992-01-20"</f>
        <v>1992-01-20</v>
      </c>
      <c r="I1670" s="4">
        <v>75.2</v>
      </c>
      <c r="J1670" s="5"/>
    </row>
    <row r="1671" spans="1:10">
      <c r="A1671" s="4">
        <v>1667</v>
      </c>
      <c r="B1671" s="4" t="str">
        <f>"20207025627"</f>
        <v>20207025627</v>
      </c>
      <c r="C1671" s="4">
        <v>56</v>
      </c>
      <c r="D1671" s="4">
        <v>27</v>
      </c>
      <c r="E1671" s="4" t="s">
        <v>46</v>
      </c>
      <c r="F1671" s="4" t="str">
        <f>"李淑雅"</f>
        <v>李淑雅</v>
      </c>
      <c r="G1671" s="4" t="str">
        <f t="shared" si="63"/>
        <v>女</v>
      </c>
      <c r="H1671" s="4" t="str">
        <f>"2000-02-19"</f>
        <v>2000-02-19</v>
      </c>
      <c r="I1671" s="4" t="s">
        <v>12</v>
      </c>
      <c r="J1671" s="5"/>
    </row>
    <row r="1672" spans="1:10">
      <c r="A1672" s="4">
        <v>1668</v>
      </c>
      <c r="B1672" s="4" t="str">
        <f>"20207025628"</f>
        <v>20207025628</v>
      </c>
      <c r="C1672" s="4">
        <v>56</v>
      </c>
      <c r="D1672" s="4">
        <v>28</v>
      </c>
      <c r="E1672" s="4" t="s">
        <v>46</v>
      </c>
      <c r="F1672" s="4" t="str">
        <f>"王悦"</f>
        <v>王悦</v>
      </c>
      <c r="G1672" s="4" t="str">
        <f t="shared" si="63"/>
        <v>女</v>
      </c>
      <c r="H1672" s="4" t="str">
        <f>"1998-07-13"</f>
        <v>1998-07-13</v>
      </c>
      <c r="I1672" s="4" t="s">
        <v>12</v>
      </c>
      <c r="J1672" s="5"/>
    </row>
    <row r="1673" spans="1:10">
      <c r="A1673" s="4">
        <v>1669</v>
      </c>
      <c r="B1673" s="4" t="str">
        <f>"20207025629"</f>
        <v>20207025629</v>
      </c>
      <c r="C1673" s="4">
        <v>56</v>
      </c>
      <c r="D1673" s="4">
        <v>29</v>
      </c>
      <c r="E1673" s="4" t="s">
        <v>46</v>
      </c>
      <c r="F1673" s="4" t="str">
        <f>"岳小隽"</f>
        <v>岳小隽</v>
      </c>
      <c r="G1673" s="4" t="str">
        <f t="shared" si="63"/>
        <v>女</v>
      </c>
      <c r="H1673" s="4" t="str">
        <f>"1998-09-19"</f>
        <v>1998-09-19</v>
      </c>
      <c r="I1673" s="4">
        <v>64.1</v>
      </c>
      <c r="J1673" s="5"/>
    </row>
    <row r="1674" spans="1:10">
      <c r="A1674" s="4">
        <v>1670</v>
      </c>
      <c r="B1674" s="4" t="str">
        <f>"20207025630"</f>
        <v>20207025630</v>
      </c>
      <c r="C1674" s="4">
        <v>56</v>
      </c>
      <c r="D1674" s="4">
        <v>30</v>
      </c>
      <c r="E1674" s="4" t="s">
        <v>46</v>
      </c>
      <c r="F1674" s="4" t="str">
        <f>"张欢"</f>
        <v>张欢</v>
      </c>
      <c r="G1674" s="4" t="str">
        <f t="shared" si="63"/>
        <v>女</v>
      </c>
      <c r="H1674" s="4" t="str">
        <f>"1998-11-03"</f>
        <v>1998-11-03</v>
      </c>
      <c r="I1674" s="4">
        <v>48.8</v>
      </c>
      <c r="J1674" s="5"/>
    </row>
    <row r="1675" spans="1:10">
      <c r="A1675" s="4">
        <v>1671</v>
      </c>
      <c r="B1675" s="4" t="str">
        <f>"20207025701"</f>
        <v>20207025701</v>
      </c>
      <c r="C1675" s="4">
        <v>57</v>
      </c>
      <c r="D1675" s="4">
        <v>1</v>
      </c>
      <c r="E1675" s="4" t="s">
        <v>46</v>
      </c>
      <c r="F1675" s="4" t="str">
        <f>"李源源"</f>
        <v>李源源</v>
      </c>
      <c r="G1675" s="4" t="str">
        <f t="shared" si="63"/>
        <v>女</v>
      </c>
      <c r="H1675" s="4" t="str">
        <f>"1998-05-24"</f>
        <v>1998-05-24</v>
      </c>
      <c r="I1675" s="4">
        <v>76.1</v>
      </c>
      <c r="J1675" s="5"/>
    </row>
    <row r="1676" spans="1:10">
      <c r="A1676" s="4">
        <v>1672</v>
      </c>
      <c r="B1676" s="4" t="str">
        <f>"20207025702"</f>
        <v>20207025702</v>
      </c>
      <c r="C1676" s="4">
        <v>57</v>
      </c>
      <c r="D1676" s="4">
        <v>2</v>
      </c>
      <c r="E1676" s="4" t="s">
        <v>46</v>
      </c>
      <c r="F1676" s="4" t="str">
        <f>"郭珊珊"</f>
        <v>郭珊珊</v>
      </c>
      <c r="G1676" s="4" t="str">
        <f t="shared" si="63"/>
        <v>女</v>
      </c>
      <c r="H1676" s="4" t="str">
        <f>"1992-10-27"</f>
        <v>1992-10-27</v>
      </c>
      <c r="I1676" s="4" t="s">
        <v>12</v>
      </c>
      <c r="J1676" s="5"/>
    </row>
    <row r="1677" spans="1:10">
      <c r="A1677" s="4">
        <v>1673</v>
      </c>
      <c r="B1677" s="4" t="str">
        <f>"20207025703"</f>
        <v>20207025703</v>
      </c>
      <c r="C1677" s="4">
        <v>57</v>
      </c>
      <c r="D1677" s="4">
        <v>3</v>
      </c>
      <c r="E1677" s="4" t="s">
        <v>46</v>
      </c>
      <c r="F1677" s="4" t="str">
        <f>"刘贤"</f>
        <v>刘贤</v>
      </c>
      <c r="G1677" s="4" t="str">
        <f t="shared" si="63"/>
        <v>女</v>
      </c>
      <c r="H1677" s="4" t="str">
        <f>"1990-12-22"</f>
        <v>1990-12-22</v>
      </c>
      <c r="I1677" s="4">
        <v>72.4</v>
      </c>
      <c r="J1677" s="5"/>
    </row>
    <row r="1678" spans="1:10">
      <c r="A1678" s="4">
        <v>1674</v>
      </c>
      <c r="B1678" s="4" t="str">
        <f>"20207025704"</f>
        <v>20207025704</v>
      </c>
      <c r="C1678" s="4">
        <v>57</v>
      </c>
      <c r="D1678" s="4">
        <v>4</v>
      </c>
      <c r="E1678" s="4" t="s">
        <v>46</v>
      </c>
      <c r="F1678" s="4" t="str">
        <f>"党旭"</f>
        <v>党旭</v>
      </c>
      <c r="G1678" s="4" t="str">
        <f t="shared" si="63"/>
        <v>女</v>
      </c>
      <c r="H1678" s="4" t="str">
        <f>"1994-07-16"</f>
        <v>1994-07-16</v>
      </c>
      <c r="I1678" s="4">
        <v>78.5</v>
      </c>
      <c r="J1678" s="5"/>
    </row>
    <row r="1679" spans="1:10">
      <c r="A1679" s="4">
        <v>1675</v>
      </c>
      <c r="B1679" s="4" t="str">
        <f>"20207025705"</f>
        <v>20207025705</v>
      </c>
      <c r="C1679" s="4">
        <v>57</v>
      </c>
      <c r="D1679" s="4">
        <v>5</v>
      </c>
      <c r="E1679" s="4" t="s">
        <v>46</v>
      </c>
      <c r="F1679" s="4" t="str">
        <f>"刘咏楠"</f>
        <v>刘咏楠</v>
      </c>
      <c r="G1679" s="4" t="str">
        <f t="shared" si="63"/>
        <v>女</v>
      </c>
      <c r="H1679" s="4" t="str">
        <f>"1998-09-05"</f>
        <v>1998-09-05</v>
      </c>
      <c r="I1679" s="4">
        <v>49.1</v>
      </c>
      <c r="J1679" s="5"/>
    </row>
    <row r="1680" spans="1:10">
      <c r="A1680" s="4">
        <v>1676</v>
      </c>
      <c r="B1680" s="4" t="str">
        <f>"20207025706"</f>
        <v>20207025706</v>
      </c>
      <c r="C1680" s="4">
        <v>57</v>
      </c>
      <c r="D1680" s="4">
        <v>6</v>
      </c>
      <c r="E1680" s="4" t="s">
        <v>46</v>
      </c>
      <c r="F1680" s="4" t="str">
        <f>"李旭静"</f>
        <v>李旭静</v>
      </c>
      <c r="G1680" s="4" t="str">
        <f t="shared" si="63"/>
        <v>女</v>
      </c>
      <c r="H1680" s="4" t="str">
        <f>"1995-01-23"</f>
        <v>1995-01-23</v>
      </c>
      <c r="I1680" s="4" t="s">
        <v>12</v>
      </c>
      <c r="J1680" s="5"/>
    </row>
    <row r="1681" spans="1:10">
      <c r="A1681" s="4">
        <v>1677</v>
      </c>
      <c r="B1681" s="4" t="str">
        <f>"20207025707"</f>
        <v>20207025707</v>
      </c>
      <c r="C1681" s="4">
        <v>57</v>
      </c>
      <c r="D1681" s="4">
        <v>7</v>
      </c>
      <c r="E1681" s="4" t="s">
        <v>46</v>
      </c>
      <c r="F1681" s="4" t="str">
        <f>"孔德天"</f>
        <v>孔德天</v>
      </c>
      <c r="G1681" s="4" t="str">
        <f t="shared" si="63"/>
        <v>女</v>
      </c>
      <c r="H1681" s="4" t="str">
        <f>"1996-02-26"</f>
        <v>1996-02-26</v>
      </c>
      <c r="I1681" s="4">
        <v>77.2</v>
      </c>
      <c r="J1681" s="5"/>
    </row>
    <row r="1682" spans="1:10">
      <c r="A1682" s="4">
        <v>1678</v>
      </c>
      <c r="B1682" s="4" t="str">
        <f>"20207025708"</f>
        <v>20207025708</v>
      </c>
      <c r="C1682" s="4">
        <v>57</v>
      </c>
      <c r="D1682" s="4">
        <v>8</v>
      </c>
      <c r="E1682" s="4" t="s">
        <v>46</v>
      </c>
      <c r="F1682" s="4" t="str">
        <f>"刘源源"</f>
        <v>刘源源</v>
      </c>
      <c r="G1682" s="4" t="str">
        <f t="shared" si="63"/>
        <v>女</v>
      </c>
      <c r="H1682" s="4" t="str">
        <f>"1990-09-15"</f>
        <v>1990-09-15</v>
      </c>
      <c r="I1682" s="4">
        <v>71.2</v>
      </c>
      <c r="J1682" s="5"/>
    </row>
    <row r="1683" spans="1:10">
      <c r="A1683" s="4">
        <v>1679</v>
      </c>
      <c r="B1683" s="4" t="str">
        <f>"20207025709"</f>
        <v>20207025709</v>
      </c>
      <c r="C1683" s="4">
        <v>57</v>
      </c>
      <c r="D1683" s="4">
        <v>9</v>
      </c>
      <c r="E1683" s="4" t="s">
        <v>46</v>
      </c>
      <c r="F1683" s="4" t="str">
        <f>"李欣"</f>
        <v>李欣</v>
      </c>
      <c r="G1683" s="4" t="str">
        <f t="shared" si="63"/>
        <v>女</v>
      </c>
      <c r="H1683" s="4" t="str">
        <f>"1998-03-03"</f>
        <v>1998-03-03</v>
      </c>
      <c r="I1683" s="4" t="s">
        <v>12</v>
      </c>
      <c r="J1683" s="5"/>
    </row>
    <row r="1684" spans="1:10">
      <c r="A1684" s="4">
        <v>1680</v>
      </c>
      <c r="B1684" s="4" t="str">
        <f>"20207025710"</f>
        <v>20207025710</v>
      </c>
      <c r="C1684" s="4">
        <v>57</v>
      </c>
      <c r="D1684" s="4">
        <v>10</v>
      </c>
      <c r="E1684" s="4" t="s">
        <v>46</v>
      </c>
      <c r="F1684" s="4" t="str">
        <f>"牛婉一"</f>
        <v>牛婉一</v>
      </c>
      <c r="G1684" s="4" t="str">
        <f t="shared" si="63"/>
        <v>女</v>
      </c>
      <c r="H1684" s="4" t="str">
        <f>"1992-09-11"</f>
        <v>1992-09-11</v>
      </c>
      <c r="I1684" s="4">
        <v>66.8</v>
      </c>
      <c r="J1684" s="5"/>
    </row>
    <row r="1685" spans="1:10">
      <c r="A1685" s="4">
        <v>1681</v>
      </c>
      <c r="B1685" s="4" t="str">
        <f>"20207025711"</f>
        <v>20207025711</v>
      </c>
      <c r="C1685" s="4">
        <v>57</v>
      </c>
      <c r="D1685" s="4">
        <v>11</v>
      </c>
      <c r="E1685" s="4" t="s">
        <v>46</v>
      </c>
      <c r="F1685" s="4" t="str">
        <f>"周庆梅"</f>
        <v>周庆梅</v>
      </c>
      <c r="G1685" s="4" t="str">
        <f t="shared" si="63"/>
        <v>女</v>
      </c>
      <c r="H1685" s="4" t="str">
        <f>"1990-04-17"</f>
        <v>1990-04-17</v>
      </c>
      <c r="I1685" s="4" t="s">
        <v>12</v>
      </c>
      <c r="J1685" s="5"/>
    </row>
    <row r="1686" spans="1:10">
      <c r="A1686" s="4">
        <v>1682</v>
      </c>
      <c r="B1686" s="4" t="str">
        <f>"20207025712"</f>
        <v>20207025712</v>
      </c>
      <c r="C1686" s="4">
        <v>57</v>
      </c>
      <c r="D1686" s="4">
        <v>12</v>
      </c>
      <c r="E1686" s="4" t="s">
        <v>46</v>
      </c>
      <c r="F1686" s="4" t="str">
        <f>"赵萌"</f>
        <v>赵萌</v>
      </c>
      <c r="G1686" s="4" t="str">
        <f t="shared" si="63"/>
        <v>女</v>
      </c>
      <c r="H1686" s="4" t="str">
        <f>"1996-01-19"</f>
        <v>1996-01-19</v>
      </c>
      <c r="I1686" s="4">
        <v>78.5</v>
      </c>
      <c r="J1686" s="5"/>
    </row>
    <row r="1687" spans="1:10">
      <c r="A1687" s="4">
        <v>1683</v>
      </c>
      <c r="B1687" s="4" t="str">
        <f>"20207025713"</f>
        <v>20207025713</v>
      </c>
      <c r="C1687" s="4">
        <v>57</v>
      </c>
      <c r="D1687" s="4">
        <v>13</v>
      </c>
      <c r="E1687" s="4" t="s">
        <v>46</v>
      </c>
      <c r="F1687" s="4" t="str">
        <f>"高茹云"</f>
        <v>高茹云</v>
      </c>
      <c r="G1687" s="4" t="str">
        <f t="shared" si="63"/>
        <v>女</v>
      </c>
      <c r="H1687" s="4" t="str">
        <f>"1991-02-18"</f>
        <v>1991-02-18</v>
      </c>
      <c r="I1687" s="4">
        <v>79.3</v>
      </c>
      <c r="J1687" s="5"/>
    </row>
    <row r="1688" spans="1:10">
      <c r="A1688" s="4">
        <v>1684</v>
      </c>
      <c r="B1688" s="4" t="str">
        <f>"20207025714"</f>
        <v>20207025714</v>
      </c>
      <c r="C1688" s="4">
        <v>57</v>
      </c>
      <c r="D1688" s="4">
        <v>14</v>
      </c>
      <c r="E1688" s="4" t="s">
        <v>46</v>
      </c>
      <c r="F1688" s="4" t="str">
        <f>"白鹤"</f>
        <v>白鹤</v>
      </c>
      <c r="G1688" s="4" t="str">
        <f t="shared" si="63"/>
        <v>女</v>
      </c>
      <c r="H1688" s="4" t="str">
        <f>"1992-10-14"</f>
        <v>1992-10-14</v>
      </c>
      <c r="I1688" s="4">
        <v>64.8</v>
      </c>
      <c r="J1688" s="5"/>
    </row>
    <row r="1689" spans="1:10">
      <c r="A1689" s="4">
        <v>1685</v>
      </c>
      <c r="B1689" s="4" t="str">
        <f>"20207025715"</f>
        <v>20207025715</v>
      </c>
      <c r="C1689" s="4">
        <v>57</v>
      </c>
      <c r="D1689" s="4">
        <v>15</v>
      </c>
      <c r="E1689" s="4" t="s">
        <v>46</v>
      </c>
      <c r="F1689" s="4" t="str">
        <f>"张倩"</f>
        <v>张倩</v>
      </c>
      <c r="G1689" s="4" t="str">
        <f t="shared" si="63"/>
        <v>女</v>
      </c>
      <c r="H1689" s="4" t="str">
        <f>"1996-12-09"</f>
        <v>1996-12-09</v>
      </c>
      <c r="I1689" s="4">
        <v>74.2</v>
      </c>
      <c r="J1689" s="5"/>
    </row>
    <row r="1690" spans="1:10">
      <c r="A1690" s="4">
        <v>1686</v>
      </c>
      <c r="B1690" s="4" t="str">
        <f>"20207025716"</f>
        <v>20207025716</v>
      </c>
      <c r="C1690" s="4">
        <v>57</v>
      </c>
      <c r="D1690" s="4">
        <v>16</v>
      </c>
      <c r="E1690" s="4" t="s">
        <v>46</v>
      </c>
      <c r="F1690" s="4" t="str">
        <f>"杨怡萌"</f>
        <v>杨怡萌</v>
      </c>
      <c r="G1690" s="4" t="str">
        <f t="shared" si="63"/>
        <v>女</v>
      </c>
      <c r="H1690" s="4" t="str">
        <f>"1999-01-20"</f>
        <v>1999-01-20</v>
      </c>
      <c r="I1690" s="4">
        <v>75.9</v>
      </c>
      <c r="J1690" s="5"/>
    </row>
    <row r="1691" spans="1:10">
      <c r="A1691" s="4">
        <v>1687</v>
      </c>
      <c r="B1691" s="4" t="str">
        <f>"20207025717"</f>
        <v>20207025717</v>
      </c>
      <c r="C1691" s="4">
        <v>57</v>
      </c>
      <c r="D1691" s="4">
        <v>17</v>
      </c>
      <c r="E1691" s="4" t="s">
        <v>46</v>
      </c>
      <c r="F1691" s="4" t="str">
        <f>"柴丽丽"</f>
        <v>柴丽丽</v>
      </c>
      <c r="G1691" s="4" t="str">
        <f t="shared" si="63"/>
        <v>女</v>
      </c>
      <c r="H1691" s="4" t="str">
        <f>"1998-10-15"</f>
        <v>1998-10-15</v>
      </c>
      <c r="I1691" s="4">
        <v>67.8</v>
      </c>
      <c r="J1691" s="5"/>
    </row>
    <row r="1692" spans="1:10">
      <c r="A1692" s="4">
        <v>1688</v>
      </c>
      <c r="B1692" s="4" t="str">
        <f>"20207025718"</f>
        <v>20207025718</v>
      </c>
      <c r="C1692" s="4">
        <v>57</v>
      </c>
      <c r="D1692" s="4">
        <v>18</v>
      </c>
      <c r="E1692" s="4" t="s">
        <v>46</v>
      </c>
      <c r="F1692" s="4" t="str">
        <f>"随晓明"</f>
        <v>随晓明</v>
      </c>
      <c r="G1692" s="4" t="str">
        <f t="shared" si="63"/>
        <v>女</v>
      </c>
      <c r="H1692" s="4" t="str">
        <f>"1996-12-28"</f>
        <v>1996-12-28</v>
      </c>
      <c r="I1692" s="4">
        <v>72.2</v>
      </c>
      <c r="J1692" s="5"/>
    </row>
    <row r="1693" spans="1:10">
      <c r="A1693" s="4">
        <v>1689</v>
      </c>
      <c r="B1693" s="4" t="str">
        <f>"20207025719"</f>
        <v>20207025719</v>
      </c>
      <c r="C1693" s="4">
        <v>57</v>
      </c>
      <c r="D1693" s="4">
        <v>19</v>
      </c>
      <c r="E1693" s="4" t="s">
        <v>46</v>
      </c>
      <c r="F1693" s="4" t="str">
        <f>"房真"</f>
        <v>房真</v>
      </c>
      <c r="G1693" s="4" t="str">
        <f t="shared" si="63"/>
        <v>女</v>
      </c>
      <c r="H1693" s="4" t="str">
        <f>"1996-11-20"</f>
        <v>1996-11-20</v>
      </c>
      <c r="I1693" s="4">
        <v>57.7</v>
      </c>
      <c r="J1693" s="5"/>
    </row>
    <row r="1694" spans="1:10">
      <c r="A1694" s="4">
        <v>1690</v>
      </c>
      <c r="B1694" s="4" t="str">
        <f>"20207025720"</f>
        <v>20207025720</v>
      </c>
      <c r="C1694" s="4">
        <v>57</v>
      </c>
      <c r="D1694" s="4">
        <v>20</v>
      </c>
      <c r="E1694" s="4" t="s">
        <v>46</v>
      </c>
      <c r="F1694" s="4" t="str">
        <f>"赵雪芬"</f>
        <v>赵雪芬</v>
      </c>
      <c r="G1694" s="4" t="str">
        <f t="shared" si="63"/>
        <v>女</v>
      </c>
      <c r="H1694" s="4" t="str">
        <f>"1991-02-04"</f>
        <v>1991-02-04</v>
      </c>
      <c r="I1694" s="4" t="s">
        <v>12</v>
      </c>
      <c r="J1694" s="5"/>
    </row>
    <row r="1695" spans="1:10">
      <c r="A1695" s="4">
        <v>1691</v>
      </c>
      <c r="B1695" s="4" t="str">
        <f>"20207025721"</f>
        <v>20207025721</v>
      </c>
      <c r="C1695" s="4">
        <v>57</v>
      </c>
      <c r="D1695" s="4">
        <v>21</v>
      </c>
      <c r="E1695" s="4" t="s">
        <v>46</v>
      </c>
      <c r="F1695" s="4" t="str">
        <f>"刘露"</f>
        <v>刘露</v>
      </c>
      <c r="G1695" s="4" t="str">
        <f t="shared" si="63"/>
        <v>女</v>
      </c>
      <c r="H1695" s="4" t="str">
        <f>"1991-10-25"</f>
        <v>1991-10-25</v>
      </c>
      <c r="I1695" s="4" t="s">
        <v>12</v>
      </c>
      <c r="J1695" s="5"/>
    </row>
    <row r="1696" spans="1:10">
      <c r="A1696" s="4">
        <v>1692</v>
      </c>
      <c r="B1696" s="4" t="str">
        <f>"20207025722"</f>
        <v>20207025722</v>
      </c>
      <c r="C1696" s="4">
        <v>57</v>
      </c>
      <c r="D1696" s="4">
        <v>22</v>
      </c>
      <c r="E1696" s="4" t="s">
        <v>46</v>
      </c>
      <c r="F1696" s="4" t="str">
        <f>"孙梦蝶"</f>
        <v>孙梦蝶</v>
      </c>
      <c r="G1696" s="4" t="str">
        <f t="shared" si="63"/>
        <v>女</v>
      </c>
      <c r="H1696" s="4" t="str">
        <f>"1997-03-20"</f>
        <v>1997-03-20</v>
      </c>
      <c r="I1696" s="4">
        <v>76.2</v>
      </c>
      <c r="J1696" s="5"/>
    </row>
    <row r="1697" spans="1:10">
      <c r="A1697" s="4">
        <v>1693</v>
      </c>
      <c r="B1697" s="4" t="str">
        <f>"20207025723"</f>
        <v>20207025723</v>
      </c>
      <c r="C1697" s="4">
        <v>57</v>
      </c>
      <c r="D1697" s="4">
        <v>23</v>
      </c>
      <c r="E1697" s="4" t="s">
        <v>46</v>
      </c>
      <c r="F1697" s="4" t="str">
        <f>"肖风雪"</f>
        <v>肖风雪</v>
      </c>
      <c r="G1697" s="4" t="str">
        <f t="shared" si="63"/>
        <v>女</v>
      </c>
      <c r="H1697" s="4" t="str">
        <f>"1997-09-28"</f>
        <v>1997-09-28</v>
      </c>
      <c r="I1697" s="4">
        <v>81.6</v>
      </c>
      <c r="J1697" s="5"/>
    </row>
    <row r="1698" spans="1:10">
      <c r="A1698" s="4">
        <v>1694</v>
      </c>
      <c r="B1698" s="4" t="str">
        <f>"20207025724"</f>
        <v>20207025724</v>
      </c>
      <c r="C1698" s="4">
        <v>57</v>
      </c>
      <c r="D1698" s="4">
        <v>24</v>
      </c>
      <c r="E1698" s="4" t="s">
        <v>46</v>
      </c>
      <c r="F1698" s="4" t="str">
        <f>"雪娜"</f>
        <v>雪娜</v>
      </c>
      <c r="G1698" s="4" t="str">
        <f t="shared" si="63"/>
        <v>女</v>
      </c>
      <c r="H1698" s="4" t="str">
        <f>"1995-09-04"</f>
        <v>1995-09-04</v>
      </c>
      <c r="I1698" s="4">
        <v>75.9</v>
      </c>
      <c r="J1698" s="5"/>
    </row>
    <row r="1699" spans="1:10">
      <c r="A1699" s="4">
        <v>1695</v>
      </c>
      <c r="B1699" s="4" t="str">
        <f>"20207025725"</f>
        <v>20207025725</v>
      </c>
      <c r="C1699" s="4">
        <v>57</v>
      </c>
      <c r="D1699" s="4">
        <v>25</v>
      </c>
      <c r="E1699" s="4" t="s">
        <v>46</v>
      </c>
      <c r="F1699" s="4" t="str">
        <f>"张诗尧"</f>
        <v>张诗尧</v>
      </c>
      <c r="G1699" s="4" t="str">
        <f t="shared" si="63"/>
        <v>女</v>
      </c>
      <c r="H1699" s="4" t="str">
        <f>"1995-09-25"</f>
        <v>1995-09-25</v>
      </c>
      <c r="I1699" s="4">
        <v>78.6</v>
      </c>
      <c r="J1699" s="5"/>
    </row>
    <row r="1700" spans="1:10">
      <c r="A1700" s="4">
        <v>1696</v>
      </c>
      <c r="B1700" s="4" t="str">
        <f>"20207025726"</f>
        <v>20207025726</v>
      </c>
      <c r="C1700" s="4">
        <v>57</v>
      </c>
      <c r="D1700" s="4">
        <v>26</v>
      </c>
      <c r="E1700" s="4" t="s">
        <v>46</v>
      </c>
      <c r="F1700" s="4" t="str">
        <f>"谭泳"</f>
        <v>谭泳</v>
      </c>
      <c r="G1700" s="4" t="str">
        <f t="shared" si="63"/>
        <v>女</v>
      </c>
      <c r="H1700" s="4" t="str">
        <f>"1996-07-03"</f>
        <v>1996-07-03</v>
      </c>
      <c r="I1700" s="4">
        <v>62.8</v>
      </c>
      <c r="J1700" s="5"/>
    </row>
    <row r="1701" spans="1:10">
      <c r="A1701" s="4">
        <v>1697</v>
      </c>
      <c r="B1701" s="4" t="str">
        <f>"20207025727"</f>
        <v>20207025727</v>
      </c>
      <c r="C1701" s="4">
        <v>57</v>
      </c>
      <c r="D1701" s="4">
        <v>27</v>
      </c>
      <c r="E1701" s="4" t="s">
        <v>46</v>
      </c>
      <c r="F1701" s="4" t="str">
        <f>"孙旭"</f>
        <v>孙旭</v>
      </c>
      <c r="G1701" s="4" t="str">
        <f t="shared" si="63"/>
        <v>女</v>
      </c>
      <c r="H1701" s="4" t="str">
        <f>"1996-03-14"</f>
        <v>1996-03-14</v>
      </c>
      <c r="I1701" s="4">
        <v>69.6</v>
      </c>
      <c r="J1701" s="5"/>
    </row>
    <row r="1702" spans="1:10">
      <c r="A1702" s="4">
        <v>1698</v>
      </c>
      <c r="B1702" s="4" t="str">
        <f>"20207025728"</f>
        <v>20207025728</v>
      </c>
      <c r="C1702" s="4">
        <v>57</v>
      </c>
      <c r="D1702" s="4">
        <v>28</v>
      </c>
      <c r="E1702" s="4" t="s">
        <v>46</v>
      </c>
      <c r="F1702" s="4" t="str">
        <f>"史西瑞"</f>
        <v>史西瑞</v>
      </c>
      <c r="G1702" s="4" t="str">
        <f t="shared" si="63"/>
        <v>女</v>
      </c>
      <c r="H1702" s="4" t="str">
        <f>"1997-09-28"</f>
        <v>1997-09-28</v>
      </c>
      <c r="I1702" s="4">
        <v>64.1</v>
      </c>
      <c r="J1702" s="5"/>
    </row>
    <row r="1703" spans="1:10">
      <c r="A1703" s="4">
        <v>1699</v>
      </c>
      <c r="B1703" s="4" t="str">
        <f>"20207025729"</f>
        <v>20207025729</v>
      </c>
      <c r="C1703" s="4">
        <v>57</v>
      </c>
      <c r="D1703" s="4">
        <v>29</v>
      </c>
      <c r="E1703" s="4" t="s">
        <v>46</v>
      </c>
      <c r="F1703" s="4" t="str">
        <f>"刘文艺"</f>
        <v>刘文艺</v>
      </c>
      <c r="G1703" s="4" t="str">
        <f t="shared" si="63"/>
        <v>女</v>
      </c>
      <c r="H1703" s="4" t="str">
        <f>"1998-12-08"</f>
        <v>1998-12-08</v>
      </c>
      <c r="I1703" s="4">
        <v>77.3</v>
      </c>
      <c r="J1703" s="5"/>
    </row>
    <row r="1704" spans="1:10">
      <c r="A1704" s="4">
        <v>1700</v>
      </c>
      <c r="B1704" s="4" t="str">
        <f>"20207025730"</f>
        <v>20207025730</v>
      </c>
      <c r="C1704" s="4">
        <v>57</v>
      </c>
      <c r="D1704" s="4">
        <v>30</v>
      </c>
      <c r="E1704" s="4" t="s">
        <v>46</v>
      </c>
      <c r="F1704" s="4" t="str">
        <f>"常金玉"</f>
        <v>常金玉</v>
      </c>
      <c r="G1704" s="4" t="str">
        <f t="shared" si="63"/>
        <v>女</v>
      </c>
      <c r="H1704" s="4" t="str">
        <f>"1995-08-08"</f>
        <v>1995-08-08</v>
      </c>
      <c r="I1704" s="4">
        <v>65.9</v>
      </c>
      <c r="J1704" s="5"/>
    </row>
    <row r="1705" spans="1:10">
      <c r="A1705" s="4">
        <v>1701</v>
      </c>
      <c r="B1705" s="4" t="str">
        <f>"20207025801"</f>
        <v>20207025801</v>
      </c>
      <c r="C1705" s="4">
        <v>58</v>
      </c>
      <c r="D1705" s="4">
        <v>1</v>
      </c>
      <c r="E1705" s="4" t="s">
        <v>46</v>
      </c>
      <c r="F1705" s="4" t="str">
        <f>"田凯新"</f>
        <v>田凯新</v>
      </c>
      <c r="G1705" s="4" t="str">
        <f t="shared" si="63"/>
        <v>女</v>
      </c>
      <c r="H1705" s="4" t="str">
        <f>"1994-07-22"</f>
        <v>1994-07-22</v>
      </c>
      <c r="I1705" s="4">
        <v>82.6</v>
      </c>
      <c r="J1705" s="5"/>
    </row>
    <row r="1706" spans="1:10">
      <c r="A1706" s="4">
        <v>1702</v>
      </c>
      <c r="B1706" s="4" t="str">
        <f>"20207025802"</f>
        <v>20207025802</v>
      </c>
      <c r="C1706" s="4">
        <v>58</v>
      </c>
      <c r="D1706" s="4">
        <v>2</v>
      </c>
      <c r="E1706" s="4" t="s">
        <v>46</v>
      </c>
      <c r="F1706" s="4" t="str">
        <f>"徐惠"</f>
        <v>徐惠</v>
      </c>
      <c r="G1706" s="4" t="str">
        <f t="shared" si="63"/>
        <v>女</v>
      </c>
      <c r="H1706" s="4" t="str">
        <f>"1992-12-20"</f>
        <v>1992-12-20</v>
      </c>
      <c r="I1706" s="4">
        <v>84.3</v>
      </c>
      <c r="J1706" s="5"/>
    </row>
    <row r="1707" spans="1:10">
      <c r="A1707" s="4">
        <v>1703</v>
      </c>
      <c r="B1707" s="4" t="str">
        <f>"20207025803"</f>
        <v>20207025803</v>
      </c>
      <c r="C1707" s="4">
        <v>58</v>
      </c>
      <c r="D1707" s="4">
        <v>3</v>
      </c>
      <c r="E1707" s="4" t="s">
        <v>46</v>
      </c>
      <c r="F1707" s="4" t="str">
        <f>"许焱焱"</f>
        <v>许焱焱</v>
      </c>
      <c r="G1707" s="4" t="str">
        <f t="shared" si="63"/>
        <v>女</v>
      </c>
      <c r="H1707" s="4" t="str">
        <f>"1998-10-19"</f>
        <v>1998-10-19</v>
      </c>
      <c r="I1707" s="4">
        <v>69.5</v>
      </c>
      <c r="J1707" s="5"/>
    </row>
    <row r="1708" spans="1:10">
      <c r="A1708" s="4">
        <v>1704</v>
      </c>
      <c r="B1708" s="4" t="str">
        <f>"20207025804"</f>
        <v>20207025804</v>
      </c>
      <c r="C1708" s="4">
        <v>58</v>
      </c>
      <c r="D1708" s="4">
        <v>4</v>
      </c>
      <c r="E1708" s="4" t="s">
        <v>46</v>
      </c>
      <c r="F1708" s="4" t="str">
        <f>"王思瑜"</f>
        <v>王思瑜</v>
      </c>
      <c r="G1708" s="4" t="str">
        <f t="shared" si="63"/>
        <v>女</v>
      </c>
      <c r="H1708" s="4" t="str">
        <f>"1999-09-09"</f>
        <v>1999-09-09</v>
      </c>
      <c r="I1708" s="4">
        <v>73.3</v>
      </c>
      <c r="J1708" s="5"/>
    </row>
    <row r="1709" spans="1:10">
      <c r="A1709" s="4">
        <v>1705</v>
      </c>
      <c r="B1709" s="4" t="str">
        <f>"20207025805"</f>
        <v>20207025805</v>
      </c>
      <c r="C1709" s="4">
        <v>58</v>
      </c>
      <c r="D1709" s="4">
        <v>5</v>
      </c>
      <c r="E1709" s="4" t="s">
        <v>46</v>
      </c>
      <c r="F1709" s="4" t="str">
        <f>"钱百惠"</f>
        <v>钱百惠</v>
      </c>
      <c r="G1709" s="4" t="str">
        <f t="shared" si="63"/>
        <v>女</v>
      </c>
      <c r="H1709" s="4" t="str">
        <f>"1998-08-19"</f>
        <v>1998-08-19</v>
      </c>
      <c r="I1709" s="4">
        <v>64.4</v>
      </c>
      <c r="J1709" s="5"/>
    </row>
    <row r="1710" spans="1:10">
      <c r="A1710" s="4">
        <v>1706</v>
      </c>
      <c r="B1710" s="4" t="str">
        <f>"20207025806"</f>
        <v>20207025806</v>
      </c>
      <c r="C1710" s="4">
        <v>58</v>
      </c>
      <c r="D1710" s="4">
        <v>6</v>
      </c>
      <c r="E1710" s="4" t="s">
        <v>46</v>
      </c>
      <c r="F1710" s="4" t="str">
        <f>"王松华"</f>
        <v>王松华</v>
      </c>
      <c r="G1710" s="4" t="str">
        <f t="shared" si="63"/>
        <v>女</v>
      </c>
      <c r="H1710" s="4" t="str">
        <f>"1998-03-29"</f>
        <v>1998-03-29</v>
      </c>
      <c r="I1710" s="4">
        <v>66.5</v>
      </c>
      <c r="J1710" s="5"/>
    </row>
  </sheetData>
  <mergeCells count="1">
    <mergeCell ref="A1:J3"/>
  </mergeCells>
  <pageMargins left="0.700694444444445" right="0.700694444444445" top="0.751388888888889" bottom="0.751388888888889" header="0.298611111111111" footer="0.298611111111111"/>
  <pageSetup paperSize="9" orientation="portrait" horizontalDpi="60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320人笔试人员信息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2020-08-07T12:10:00Z</dcterms:created>
  <dcterms:modified xsi:type="dcterms:W3CDTF">2020-08-15T00:21:45Z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