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20475" windowHeight="9645"/>
  </bookViews>
  <sheets>
    <sheet name="综合成绩" sheetId="1" r:id="rId1"/>
  </sheets>
  <definedNames>
    <definedName name="_xlnm._FilterDatabase" localSheetId="0" hidden="1">综合成绩!$B$2:$E$310</definedName>
    <definedName name="_xlnm.Print_Titles" localSheetId="0">综合成绩!$2:$2</definedName>
  </definedNames>
  <calcPr calcId="125725"/>
</workbook>
</file>

<file path=xl/calcChain.xml><?xml version="1.0" encoding="utf-8"?>
<calcChain xmlns="http://schemas.openxmlformats.org/spreadsheetml/2006/main">
  <c r="H5" i="1"/>
  <c r="I5" s="1"/>
  <c r="H6"/>
  <c r="H7"/>
  <c r="H8"/>
  <c r="H9"/>
  <c r="I9" s="1"/>
  <c r="H10"/>
  <c r="H11"/>
  <c r="H12"/>
  <c r="H13"/>
  <c r="I13" s="1"/>
  <c r="H14"/>
  <c r="I14" s="1"/>
  <c r="H15"/>
  <c r="H16"/>
  <c r="H17"/>
  <c r="I17" s="1"/>
  <c r="H18"/>
  <c r="I18" s="1"/>
  <c r="H19"/>
  <c r="H20"/>
  <c r="H21"/>
  <c r="H22"/>
  <c r="H23"/>
  <c r="H24"/>
  <c r="H25"/>
  <c r="H26"/>
  <c r="H27"/>
  <c r="H28"/>
  <c r="H29"/>
  <c r="H30"/>
  <c r="I30" s="1"/>
  <c r="H31"/>
  <c r="H32"/>
  <c r="H33"/>
  <c r="I33" s="1"/>
  <c r="H34"/>
  <c r="H35"/>
  <c r="H36"/>
  <c r="H37"/>
  <c r="I37" s="1"/>
  <c r="H42"/>
  <c r="H38"/>
  <c r="H39"/>
  <c r="H40"/>
  <c r="H41"/>
  <c r="H43"/>
  <c r="H44"/>
  <c r="H46"/>
  <c r="I46" s="1"/>
  <c r="H45"/>
  <c r="I45" s="1"/>
  <c r="H53"/>
  <c r="H50"/>
  <c r="H51"/>
  <c r="I51" s="1"/>
  <c r="H52"/>
  <c r="I52" s="1"/>
  <c r="H48"/>
  <c r="H49"/>
  <c r="H47"/>
  <c r="I47" s="1"/>
  <c r="H54"/>
  <c r="I54" s="1"/>
  <c r="H55"/>
  <c r="H56"/>
  <c r="H59"/>
  <c r="I59" s="1"/>
  <c r="H58"/>
  <c r="I58" s="1"/>
  <c r="H57"/>
  <c r="H60"/>
  <c r="H61"/>
  <c r="I61" s="1"/>
  <c r="H62"/>
  <c r="H63"/>
  <c r="H64"/>
  <c r="H66"/>
  <c r="I66" s="1"/>
  <c r="H69"/>
  <c r="H65"/>
  <c r="H71"/>
  <c r="H67"/>
  <c r="I67" s="1"/>
  <c r="H68"/>
  <c r="H73"/>
  <c r="H72"/>
  <c r="H76"/>
  <c r="I76" s="1"/>
  <c r="H79"/>
  <c r="H75"/>
  <c r="H70"/>
  <c r="H74"/>
  <c r="I74" s="1"/>
  <c r="H80"/>
  <c r="H78"/>
  <c r="H81"/>
  <c r="H77"/>
  <c r="I77" s="1"/>
  <c r="H99"/>
  <c r="H100"/>
  <c r="H87"/>
  <c r="H90"/>
  <c r="I90" s="1"/>
  <c r="H88"/>
  <c r="H93"/>
  <c r="H89"/>
  <c r="H94"/>
  <c r="I94" s="1"/>
  <c r="H86"/>
  <c r="H96"/>
  <c r="H83"/>
  <c r="H85"/>
  <c r="I85" s="1"/>
  <c r="H84"/>
  <c r="H92"/>
  <c r="H82"/>
  <c r="H91"/>
  <c r="I91" s="1"/>
  <c r="H95"/>
  <c r="H98"/>
  <c r="H97"/>
  <c r="H101"/>
  <c r="I101" s="1"/>
  <c r="H102"/>
  <c r="H104"/>
  <c r="H103"/>
  <c r="H105"/>
  <c r="H106"/>
  <c r="H109"/>
  <c r="H107"/>
  <c r="H111"/>
  <c r="H116"/>
  <c r="H108"/>
  <c r="H110"/>
  <c r="H112"/>
  <c r="H120"/>
  <c r="H113"/>
  <c r="H125"/>
  <c r="H121"/>
  <c r="H117"/>
  <c r="H123"/>
  <c r="H119"/>
  <c r="H128"/>
  <c r="H126"/>
  <c r="H124"/>
  <c r="H118"/>
  <c r="H127"/>
  <c r="H132"/>
  <c r="H114"/>
  <c r="H115"/>
  <c r="H122"/>
  <c r="H131"/>
  <c r="H130"/>
  <c r="H129"/>
  <c r="H154"/>
  <c r="H133"/>
  <c r="H155"/>
  <c r="H137"/>
  <c r="H135"/>
  <c r="H156"/>
  <c r="H144"/>
  <c r="H140"/>
  <c r="H141"/>
  <c r="H134"/>
  <c r="H138"/>
  <c r="H145"/>
  <c r="H143"/>
  <c r="H136"/>
  <c r="H157"/>
  <c r="H151"/>
  <c r="H149"/>
  <c r="H139"/>
  <c r="H142"/>
  <c r="H150"/>
  <c r="H158"/>
  <c r="H146"/>
  <c r="H148"/>
  <c r="H153"/>
  <c r="H152"/>
  <c r="H147"/>
  <c r="H159"/>
  <c r="H160"/>
  <c r="H195"/>
  <c r="H161"/>
  <c r="H162"/>
  <c r="H163"/>
  <c r="H164"/>
  <c r="H166"/>
  <c r="H165"/>
  <c r="H167"/>
  <c r="H169"/>
  <c r="H168"/>
  <c r="H170"/>
  <c r="H171"/>
  <c r="H173"/>
  <c r="H172"/>
  <c r="H174"/>
  <c r="H177"/>
  <c r="H175"/>
  <c r="H179"/>
  <c r="H178"/>
  <c r="H180"/>
  <c r="H183"/>
  <c r="H181"/>
  <c r="H176"/>
  <c r="H182"/>
  <c r="H185"/>
  <c r="H186"/>
  <c r="H184"/>
  <c r="H196"/>
  <c r="H188"/>
  <c r="I188" s="1"/>
  <c r="H187"/>
  <c r="H197"/>
  <c r="H190"/>
  <c r="H189"/>
  <c r="I189" s="1"/>
  <c r="H198"/>
  <c r="H191"/>
  <c r="H193"/>
  <c r="H192"/>
  <c r="I192" s="1"/>
  <c r="H194"/>
  <c r="H199"/>
  <c r="H202"/>
  <c r="H200"/>
  <c r="I200" s="1"/>
  <c r="H201"/>
  <c r="H204"/>
  <c r="H203"/>
  <c r="H209"/>
  <c r="I209" s="1"/>
  <c r="H206"/>
  <c r="H207"/>
  <c r="H205"/>
  <c r="H213"/>
  <c r="I213" s="1"/>
  <c r="H211"/>
  <c r="H210"/>
  <c r="H208"/>
  <c r="H215"/>
  <c r="I215" s="1"/>
  <c r="H212"/>
  <c r="H214"/>
  <c r="H217"/>
  <c r="H218"/>
  <c r="I218" s="1"/>
  <c r="H219"/>
  <c r="H223"/>
  <c r="H216"/>
  <c r="H220"/>
  <c r="I220" s="1"/>
  <c r="H225"/>
  <c r="H228"/>
  <c r="H222"/>
  <c r="H224"/>
  <c r="I224" s="1"/>
  <c r="H227"/>
  <c r="H231"/>
  <c r="H221"/>
  <c r="H226"/>
  <c r="I226" s="1"/>
  <c r="H229"/>
  <c r="H230"/>
  <c r="H232"/>
  <c r="H235"/>
  <c r="I235" s="1"/>
  <c r="H233"/>
  <c r="H234"/>
  <c r="H236"/>
  <c r="H237"/>
  <c r="I237" s="1"/>
  <c r="H239"/>
  <c r="H250"/>
  <c r="H238"/>
  <c r="H240"/>
  <c r="I240" s="1"/>
  <c r="H241"/>
  <c r="H242"/>
  <c r="H244"/>
  <c r="H247"/>
  <c r="I247" s="1"/>
  <c r="H245"/>
  <c r="H249"/>
  <c r="H248"/>
  <c r="H251"/>
  <c r="H243"/>
  <c r="I243" s="1"/>
  <c r="H246"/>
  <c r="H252"/>
  <c r="H253"/>
  <c r="I253" s="1"/>
  <c r="H254"/>
  <c r="I254" s="1"/>
  <c r="H255"/>
  <c r="H257"/>
  <c r="H256"/>
  <c r="I256" s="1"/>
  <c r="H259"/>
  <c r="I259" s="1"/>
  <c r="H258"/>
  <c r="H260"/>
  <c r="H261"/>
  <c r="I261" s="1"/>
  <c r="H267"/>
  <c r="I267" s="1"/>
  <c r="H262"/>
  <c r="H263"/>
  <c r="H268"/>
  <c r="I268" s="1"/>
  <c r="H264"/>
  <c r="I264" s="1"/>
  <c r="H287"/>
  <c r="H266"/>
  <c r="H265"/>
  <c r="I265" s="1"/>
  <c r="H273"/>
  <c r="I273" s="1"/>
  <c r="H272"/>
  <c r="H269"/>
  <c r="H270"/>
  <c r="I270" s="1"/>
  <c r="H276"/>
  <c r="I276" s="1"/>
  <c r="H274"/>
  <c r="H271"/>
  <c r="H279"/>
  <c r="I279" s="1"/>
  <c r="H277"/>
  <c r="I277" s="1"/>
  <c r="H275"/>
  <c r="H280"/>
  <c r="H288"/>
  <c r="I288" s="1"/>
  <c r="H289"/>
  <c r="I289" s="1"/>
  <c r="H290"/>
  <c r="H278"/>
  <c r="H283"/>
  <c r="I283" s="1"/>
  <c r="H281"/>
  <c r="H282"/>
  <c r="H284"/>
  <c r="H285"/>
  <c r="I285" s="1"/>
  <c r="H291"/>
  <c r="H286"/>
  <c r="H292"/>
  <c r="H293"/>
  <c r="I293" s="1"/>
  <c r="H295"/>
  <c r="I295" s="1"/>
  <c r="H294"/>
  <c r="H296"/>
  <c r="H300"/>
  <c r="I300" s="1"/>
  <c r="H298"/>
  <c r="I298" s="1"/>
  <c r="H301"/>
  <c r="H299"/>
  <c r="H297"/>
  <c r="I297" s="1"/>
  <c r="H304"/>
  <c r="I304" s="1"/>
  <c r="H303"/>
  <c r="H306"/>
  <c r="H305"/>
  <c r="I305" s="1"/>
  <c r="H302"/>
  <c r="I302" s="1"/>
  <c r="H310"/>
  <c r="H307"/>
  <c r="H308"/>
  <c r="I308" s="1"/>
  <c r="H309"/>
  <c r="I309" s="1"/>
  <c r="H4"/>
  <c r="I4" s="1"/>
  <c r="I6"/>
  <c r="I7"/>
  <c r="I8"/>
  <c r="I10"/>
  <c r="I11"/>
  <c r="I15"/>
  <c r="I16"/>
  <c r="I23"/>
  <c r="I24"/>
  <c r="I31"/>
  <c r="I32"/>
  <c r="I34"/>
  <c r="I35"/>
  <c r="I36"/>
  <c r="I48"/>
  <c r="I57"/>
  <c r="I63"/>
  <c r="I64"/>
  <c r="I72"/>
  <c r="I81"/>
  <c r="I89"/>
  <c r="I86"/>
  <c r="I84"/>
  <c r="I109"/>
  <c r="I107"/>
  <c r="I113"/>
  <c r="I125"/>
  <c r="I124"/>
  <c r="I118"/>
  <c r="I130"/>
  <c r="I129"/>
  <c r="I144"/>
  <c r="I140"/>
  <c r="I138"/>
  <c r="I145"/>
  <c r="I157"/>
  <c r="I151"/>
  <c r="I142"/>
  <c r="I150"/>
  <c r="I148"/>
  <c r="I153"/>
  <c r="I159"/>
  <c r="I160"/>
  <c r="I162"/>
  <c r="I163"/>
  <c r="I165"/>
  <c r="I167"/>
  <c r="I170"/>
  <c r="I171"/>
  <c r="I174"/>
  <c r="I177"/>
  <c r="I178"/>
  <c r="I180"/>
  <c r="I176"/>
  <c r="I182"/>
  <c r="I184"/>
  <c r="I202"/>
  <c r="I201"/>
  <c r="I206"/>
  <c r="I217"/>
  <c r="I219"/>
  <c r="I225"/>
  <c r="I232"/>
  <c r="I233"/>
  <c r="I239"/>
  <c r="I248"/>
  <c r="I258"/>
  <c r="I281"/>
  <c r="I286"/>
  <c r="I292"/>
  <c r="I299"/>
  <c r="I307"/>
  <c r="I3"/>
  <c r="I12"/>
  <c r="I42"/>
  <c r="I43"/>
  <c r="I196"/>
  <c r="I251"/>
  <c r="I287"/>
  <c r="C150"/>
  <c r="F150"/>
  <c r="F4"/>
  <c r="F5"/>
  <c r="F6"/>
  <c r="F7"/>
  <c r="F8"/>
  <c r="F9"/>
  <c r="F10"/>
  <c r="F11"/>
  <c r="F12"/>
  <c r="F13"/>
  <c r="F14"/>
  <c r="F15"/>
  <c r="F16"/>
  <c r="F17"/>
  <c r="F18"/>
  <c r="F19"/>
  <c r="I19" s="1"/>
  <c r="F20"/>
  <c r="I20" s="1"/>
  <c r="F23"/>
  <c r="F25"/>
  <c r="F22"/>
  <c r="F26"/>
  <c r="F24"/>
  <c r="F27"/>
  <c r="I27" s="1"/>
  <c r="F21"/>
  <c r="F28"/>
  <c r="I28" s="1"/>
  <c r="F30"/>
  <c r="F29"/>
  <c r="F31"/>
  <c r="F32"/>
  <c r="F33"/>
  <c r="F34"/>
  <c r="F35"/>
  <c r="F36"/>
  <c r="F37"/>
  <c r="F42"/>
  <c r="F38"/>
  <c r="I38" s="1"/>
  <c r="F39"/>
  <c r="I39" s="1"/>
  <c r="F40"/>
  <c r="F41"/>
  <c r="F43"/>
  <c r="F44"/>
  <c r="I44" s="1"/>
  <c r="F46"/>
  <c r="F45"/>
  <c r="F53"/>
  <c r="I53" s="1"/>
  <c r="F50"/>
  <c r="I50" s="1"/>
  <c r="F51"/>
  <c r="F52"/>
  <c r="F48"/>
  <c r="F49"/>
  <c r="I49" s="1"/>
  <c r="F47"/>
  <c r="F54"/>
  <c r="F55"/>
  <c r="I55" s="1"/>
  <c r="F56"/>
  <c r="I56" s="1"/>
  <c r="F59"/>
  <c r="F58"/>
  <c r="F57"/>
  <c r="F60"/>
  <c r="I60" s="1"/>
  <c r="F61"/>
  <c r="F62"/>
  <c r="F63"/>
  <c r="F64"/>
  <c r="F66"/>
  <c r="F69"/>
  <c r="F65"/>
  <c r="I65" s="1"/>
  <c r="F71"/>
  <c r="I71" s="1"/>
  <c r="F67"/>
  <c r="F68"/>
  <c r="F73"/>
  <c r="I73" s="1"/>
  <c r="F72"/>
  <c r="F76"/>
  <c r="F79"/>
  <c r="F75"/>
  <c r="I75" s="1"/>
  <c r="F70"/>
  <c r="I70" s="1"/>
  <c r="F74"/>
  <c r="F80"/>
  <c r="F78"/>
  <c r="I78" s="1"/>
  <c r="F81"/>
  <c r="F77"/>
  <c r="F99"/>
  <c r="F100"/>
  <c r="I100" s="1"/>
  <c r="F87"/>
  <c r="I87" s="1"/>
  <c r="F90"/>
  <c r="F88"/>
  <c r="I88" s="1"/>
  <c r="F93"/>
  <c r="I93" s="1"/>
  <c r="F89"/>
  <c r="F94"/>
  <c r="F86"/>
  <c r="F96"/>
  <c r="I96" s="1"/>
  <c r="F83"/>
  <c r="I83" s="1"/>
  <c r="F85"/>
  <c r="F84"/>
  <c r="F92"/>
  <c r="I92" s="1"/>
  <c r="F82"/>
  <c r="I82" s="1"/>
  <c r="F91"/>
  <c r="F95"/>
  <c r="I95" s="1"/>
  <c r="F98"/>
  <c r="I98" s="1"/>
  <c r="F97"/>
  <c r="I97" s="1"/>
  <c r="F101"/>
  <c r="F102"/>
  <c r="F104"/>
  <c r="I104" s="1"/>
  <c r="F103"/>
  <c r="I103" s="1"/>
  <c r="F105"/>
  <c r="F106"/>
  <c r="F109"/>
  <c r="F107"/>
  <c r="F111"/>
  <c r="F116"/>
  <c r="F108"/>
  <c r="I108" s="1"/>
  <c r="F110"/>
  <c r="I110" s="1"/>
  <c r="F112"/>
  <c r="F120"/>
  <c r="F113"/>
  <c r="F125"/>
  <c r="F121"/>
  <c r="F117"/>
  <c r="F123"/>
  <c r="I123" s="1"/>
  <c r="F119"/>
  <c r="I119" s="1"/>
  <c r="F128"/>
  <c r="F126"/>
  <c r="F124"/>
  <c r="F118"/>
  <c r="F127"/>
  <c r="F132"/>
  <c r="F114"/>
  <c r="I114" s="1"/>
  <c r="F115"/>
  <c r="I115" s="1"/>
  <c r="F122"/>
  <c r="F131"/>
  <c r="F130"/>
  <c r="F129"/>
  <c r="F154"/>
  <c r="F133"/>
  <c r="F155"/>
  <c r="I155" s="1"/>
  <c r="F137"/>
  <c r="I137" s="1"/>
  <c r="F135"/>
  <c r="F156"/>
  <c r="F144"/>
  <c r="F140"/>
  <c r="F141"/>
  <c r="I141" s="1"/>
  <c r="F134"/>
  <c r="I134" s="1"/>
  <c r="F138"/>
  <c r="F145"/>
  <c r="F143"/>
  <c r="I143" s="1"/>
  <c r="F136"/>
  <c r="I136" s="1"/>
  <c r="F157"/>
  <c r="F151"/>
  <c r="F149"/>
  <c r="I149" s="1"/>
  <c r="F139"/>
  <c r="I139" s="1"/>
  <c r="F142"/>
  <c r="F158"/>
  <c r="I158" s="1"/>
  <c r="F146"/>
  <c r="I146" s="1"/>
  <c r="F148"/>
  <c r="F153"/>
  <c r="F152"/>
  <c r="I152" s="1"/>
  <c r="F147"/>
  <c r="I147" s="1"/>
  <c r="F159"/>
  <c r="F160"/>
  <c r="F195"/>
  <c r="I195" s="1"/>
  <c r="F161"/>
  <c r="I161" s="1"/>
  <c r="F162"/>
  <c r="F163"/>
  <c r="F164"/>
  <c r="I164" s="1"/>
  <c r="F166"/>
  <c r="I166" s="1"/>
  <c r="F165"/>
  <c r="F167"/>
  <c r="F169"/>
  <c r="I169" s="1"/>
  <c r="F168"/>
  <c r="I168" s="1"/>
  <c r="F170"/>
  <c r="F171"/>
  <c r="F173"/>
  <c r="I173" s="1"/>
  <c r="F172"/>
  <c r="I172" s="1"/>
  <c r="F174"/>
  <c r="F177"/>
  <c r="F175"/>
  <c r="I175" s="1"/>
  <c r="F179"/>
  <c r="I179" s="1"/>
  <c r="F178"/>
  <c r="F180"/>
  <c r="F183"/>
  <c r="I183" s="1"/>
  <c r="F181"/>
  <c r="I181" s="1"/>
  <c r="F176"/>
  <c r="F182"/>
  <c r="F185"/>
  <c r="I185" s="1"/>
  <c r="F186"/>
  <c r="I186" s="1"/>
  <c r="F184"/>
  <c r="F196"/>
  <c r="F188"/>
  <c r="F187"/>
  <c r="I187" s="1"/>
  <c r="F197"/>
  <c r="I197" s="1"/>
  <c r="F190"/>
  <c r="I190" s="1"/>
  <c r="F189"/>
  <c r="F198"/>
  <c r="I198" s="1"/>
  <c r="F191"/>
  <c r="I191" s="1"/>
  <c r="F193"/>
  <c r="I193" s="1"/>
  <c r="F192"/>
  <c r="F194"/>
  <c r="I194" s="1"/>
  <c r="F199"/>
  <c r="I199" s="1"/>
  <c r="F202"/>
  <c r="F200"/>
  <c r="F201"/>
  <c r="F204"/>
  <c r="I204" s="1"/>
  <c r="F203"/>
  <c r="I203" s="1"/>
  <c r="F209"/>
  <c r="F206"/>
  <c r="F207"/>
  <c r="I207" s="1"/>
  <c r="F205"/>
  <c r="I205" s="1"/>
  <c r="F213"/>
  <c r="F211"/>
  <c r="I211" s="1"/>
  <c r="F210"/>
  <c r="I210" s="1"/>
  <c r="F208"/>
  <c r="I208" s="1"/>
  <c r="F215"/>
  <c r="F212"/>
  <c r="I212" s="1"/>
  <c r="F214"/>
  <c r="I214" s="1"/>
  <c r="F217"/>
  <c r="F218"/>
  <c r="F219"/>
  <c r="F223"/>
  <c r="I223" s="1"/>
  <c r="F216"/>
  <c r="I216" s="1"/>
  <c r="F220"/>
  <c r="F225"/>
  <c r="F228"/>
  <c r="I228" s="1"/>
  <c r="F222"/>
  <c r="I222" s="1"/>
  <c r="F224"/>
  <c r="F227"/>
  <c r="I227" s="1"/>
  <c r="F231"/>
  <c r="I231" s="1"/>
  <c r="F221"/>
  <c r="I221" s="1"/>
  <c r="F226"/>
  <c r="F229"/>
  <c r="I229" s="1"/>
  <c r="F230"/>
  <c r="I230" s="1"/>
  <c r="F232"/>
  <c r="F235"/>
  <c r="F233"/>
  <c r="F234"/>
  <c r="I234" s="1"/>
  <c r="F236"/>
  <c r="I236" s="1"/>
  <c r="F237"/>
  <c r="F239"/>
  <c r="F250"/>
  <c r="I250" s="1"/>
  <c r="F238"/>
  <c r="I238" s="1"/>
  <c r="F240"/>
  <c r="F241"/>
  <c r="I241" s="1"/>
  <c r="F242"/>
  <c r="I242" s="1"/>
  <c r="F244"/>
  <c r="I244" s="1"/>
  <c r="F247"/>
  <c r="F245"/>
  <c r="I245" s="1"/>
  <c r="F249"/>
  <c r="I249" s="1"/>
  <c r="F248"/>
  <c r="F251"/>
  <c r="F243"/>
  <c r="F246"/>
  <c r="I246" s="1"/>
  <c r="F252"/>
  <c r="I252" s="1"/>
  <c r="F253"/>
  <c r="F254"/>
  <c r="F255"/>
  <c r="I255" s="1"/>
  <c r="F257"/>
  <c r="I257" s="1"/>
  <c r="F256"/>
  <c r="F259"/>
  <c r="F258"/>
  <c r="F260"/>
  <c r="I260" s="1"/>
  <c r="F261"/>
  <c r="F267"/>
  <c r="F262"/>
  <c r="I262" s="1"/>
  <c r="F263"/>
  <c r="I263" s="1"/>
  <c r="F268"/>
  <c r="F264"/>
  <c r="F287"/>
  <c r="F266"/>
  <c r="I266" s="1"/>
  <c r="F265"/>
  <c r="F273"/>
  <c r="F272"/>
  <c r="I272" s="1"/>
  <c r="F269"/>
  <c r="I269" s="1"/>
  <c r="F270"/>
  <c r="F276"/>
  <c r="F274"/>
  <c r="I274" s="1"/>
  <c r="F271"/>
  <c r="I271" s="1"/>
  <c r="F279"/>
  <c r="F277"/>
  <c r="F275"/>
  <c r="I275" s="1"/>
  <c r="F280"/>
  <c r="I280" s="1"/>
  <c r="F288"/>
  <c r="F289"/>
  <c r="F290"/>
  <c r="I290" s="1"/>
  <c r="F278"/>
  <c r="I278" s="1"/>
  <c r="F283"/>
  <c r="F281"/>
  <c r="F282"/>
  <c r="I282" s="1"/>
  <c r="F284"/>
  <c r="I284" s="1"/>
  <c r="F285"/>
  <c r="F291"/>
  <c r="I291" s="1"/>
  <c r="F286"/>
  <c r="F292"/>
  <c r="F293"/>
  <c r="F295"/>
  <c r="F294"/>
  <c r="I294" s="1"/>
  <c r="F296"/>
  <c r="I296" s="1"/>
  <c r="F300"/>
  <c r="F298"/>
  <c r="F301"/>
  <c r="I301" s="1"/>
  <c r="F299"/>
  <c r="F297"/>
  <c r="F304"/>
  <c r="F303"/>
  <c r="I303" s="1"/>
  <c r="F306"/>
  <c r="I306" s="1"/>
  <c r="F305"/>
  <c r="F302"/>
  <c r="F310"/>
  <c r="I310" s="1"/>
  <c r="F307"/>
  <c r="F308"/>
  <c r="F309"/>
  <c r="F3"/>
  <c r="I122" l="1"/>
  <c r="I128"/>
  <c r="I112"/>
  <c r="I111"/>
  <c r="I156"/>
  <c r="I133"/>
  <c r="I131"/>
  <c r="I132"/>
  <c r="I126"/>
  <c r="I117"/>
  <c r="I120"/>
  <c r="I116"/>
  <c r="I106"/>
  <c r="I102"/>
  <c r="I135"/>
  <c r="I154"/>
  <c r="I127"/>
  <c r="I121"/>
  <c r="I105"/>
  <c r="I99"/>
  <c r="I80"/>
  <c r="I79"/>
  <c r="I68"/>
  <c r="I69"/>
  <c r="I62"/>
  <c r="I41"/>
  <c r="I40"/>
  <c r="I29"/>
  <c r="I21"/>
  <c r="I22"/>
  <c r="I25"/>
  <c r="I26"/>
  <c r="C309"/>
  <c r="C308"/>
  <c r="C307"/>
  <c r="C310"/>
  <c r="C302"/>
  <c r="C305"/>
  <c r="C306"/>
  <c r="C303"/>
  <c r="C304"/>
  <c r="C297"/>
  <c r="C299"/>
  <c r="C301"/>
  <c r="C298"/>
  <c r="C300"/>
  <c r="C296"/>
  <c r="C294"/>
  <c r="C295"/>
  <c r="C293"/>
  <c r="C292"/>
  <c r="C286"/>
  <c r="C291"/>
  <c r="C285"/>
  <c r="C284"/>
  <c r="C282"/>
  <c r="C281"/>
  <c r="C283"/>
  <c r="C278"/>
  <c r="C290"/>
  <c r="C289"/>
  <c r="C288"/>
  <c r="C280"/>
  <c r="C275"/>
  <c r="C277"/>
  <c r="C279"/>
  <c r="C271"/>
  <c r="C274"/>
  <c r="C276"/>
  <c r="C270"/>
  <c r="C269"/>
  <c r="C272"/>
  <c r="C273"/>
  <c r="C265"/>
  <c r="C266"/>
  <c r="C287"/>
  <c r="C264"/>
  <c r="C268"/>
  <c r="C263"/>
  <c r="C262"/>
  <c r="C267"/>
  <c r="C261"/>
  <c r="C260"/>
  <c r="C258"/>
  <c r="C259"/>
  <c r="C256"/>
  <c r="C257"/>
  <c r="C255"/>
  <c r="C254"/>
  <c r="C253"/>
  <c r="C252"/>
  <c r="C246"/>
  <c r="C243"/>
  <c r="C251"/>
  <c r="C248"/>
  <c r="C249"/>
  <c r="C245"/>
  <c r="C247"/>
  <c r="C244"/>
  <c r="C242"/>
  <c r="C241"/>
  <c r="C240"/>
  <c r="C238"/>
  <c r="C250"/>
  <c r="C239"/>
  <c r="C237"/>
  <c r="C236"/>
  <c r="C234"/>
  <c r="C233"/>
  <c r="C235"/>
  <c r="C232"/>
  <c r="C230"/>
  <c r="C229"/>
  <c r="C226"/>
  <c r="C221"/>
  <c r="C231"/>
  <c r="C227"/>
  <c r="C224"/>
  <c r="C222"/>
  <c r="C228"/>
  <c r="C225"/>
  <c r="C220"/>
  <c r="C216"/>
  <c r="C223"/>
  <c r="C219"/>
  <c r="C218"/>
  <c r="C217"/>
  <c r="C214"/>
  <c r="C212"/>
  <c r="C215"/>
  <c r="C208"/>
  <c r="C210"/>
  <c r="C211"/>
  <c r="C213"/>
  <c r="C205"/>
  <c r="C207"/>
  <c r="C206"/>
  <c r="C209"/>
  <c r="C203"/>
  <c r="C204"/>
  <c r="C201"/>
  <c r="C200"/>
  <c r="C202"/>
  <c r="C199"/>
  <c r="C147"/>
  <c r="C152"/>
  <c r="C153"/>
  <c r="C148"/>
  <c r="C146"/>
  <c r="C158"/>
  <c r="C142"/>
  <c r="C139"/>
  <c r="C149"/>
  <c r="C151"/>
  <c r="C157"/>
  <c r="C136"/>
  <c r="C143"/>
  <c r="C145"/>
  <c r="C138"/>
  <c r="C134"/>
  <c r="C141"/>
  <c r="C140"/>
  <c r="C144"/>
  <c r="C156"/>
  <c r="C135"/>
  <c r="C137"/>
  <c r="C155"/>
  <c r="C133"/>
  <c r="C154"/>
  <c r="C129"/>
  <c r="C130"/>
  <c r="C131"/>
  <c r="C122"/>
  <c r="C115"/>
  <c r="C114"/>
  <c r="C132"/>
  <c r="C127"/>
  <c r="C118"/>
  <c r="C124"/>
  <c r="C126"/>
  <c r="C128"/>
  <c r="C119"/>
  <c r="C123"/>
  <c r="C117"/>
  <c r="C121"/>
  <c r="C125"/>
  <c r="C113"/>
  <c r="C120"/>
  <c r="C112"/>
  <c r="C110"/>
  <c r="C108"/>
  <c r="C116"/>
  <c r="C111"/>
  <c r="C107"/>
  <c r="C109"/>
  <c r="C106"/>
  <c r="C105"/>
  <c r="C103"/>
  <c r="C104"/>
  <c r="C102"/>
  <c r="C101"/>
  <c r="C97"/>
  <c r="C98"/>
  <c r="C95"/>
  <c r="C91"/>
  <c r="C82"/>
  <c r="C92"/>
  <c r="C84"/>
  <c r="C85"/>
  <c r="C83"/>
  <c r="C96"/>
  <c r="C86"/>
  <c r="C94"/>
  <c r="C89"/>
  <c r="C93"/>
  <c r="C88"/>
  <c r="C90"/>
  <c r="C87"/>
  <c r="C100"/>
  <c r="C99"/>
  <c r="C77"/>
  <c r="C81"/>
  <c r="C78"/>
  <c r="C80"/>
  <c r="C74"/>
  <c r="C70"/>
  <c r="C75"/>
  <c r="C79"/>
  <c r="C76"/>
  <c r="C72"/>
  <c r="C73"/>
  <c r="C68"/>
  <c r="C67"/>
  <c r="C71"/>
  <c r="C65"/>
  <c r="C69"/>
  <c r="C66"/>
  <c r="C64"/>
  <c r="C63"/>
  <c r="C62"/>
  <c r="C61"/>
  <c r="C60"/>
  <c r="C57"/>
  <c r="C58"/>
  <c r="C59"/>
  <c r="C56"/>
  <c r="C55"/>
  <c r="C54"/>
  <c r="C47"/>
  <c r="C49"/>
  <c r="C48"/>
  <c r="C52"/>
  <c r="C51"/>
  <c r="C50"/>
  <c r="C53"/>
  <c r="C45"/>
  <c r="C46"/>
  <c r="C44"/>
  <c r="C43"/>
  <c r="C41"/>
  <c r="C40"/>
  <c r="C39"/>
  <c r="C38"/>
  <c r="C42"/>
  <c r="C36"/>
  <c r="C35"/>
  <c r="C34"/>
  <c r="C33"/>
  <c r="C32"/>
  <c r="C31"/>
  <c r="C29"/>
  <c r="C30"/>
  <c r="C28"/>
  <c r="C21"/>
  <c r="C27"/>
  <c r="C24"/>
  <c r="C26"/>
  <c r="C22"/>
  <c r="C25"/>
  <c r="C23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<sst xmlns="http://schemas.openxmlformats.org/spreadsheetml/2006/main" count="392" uniqueCount="87">
  <si>
    <t>报考岗位</t>
  </si>
  <si>
    <t>姓名</t>
  </si>
  <si>
    <t>准考证号</t>
  </si>
  <si>
    <t>周洁</t>
  </si>
  <si>
    <t>何桂新</t>
  </si>
  <si>
    <t>缺考</t>
  </si>
  <si>
    <t>段喜文</t>
  </si>
  <si>
    <t>罗敉</t>
  </si>
  <si>
    <t>刘艳玲</t>
  </si>
  <si>
    <t>谭华琳</t>
  </si>
  <si>
    <t>罗澧</t>
  </si>
  <si>
    <t>谢微微</t>
  </si>
  <si>
    <t>张茜</t>
  </si>
  <si>
    <t>李远坪</t>
  </si>
  <si>
    <t>罗建宇</t>
  </si>
  <si>
    <t>李文娟</t>
  </si>
  <si>
    <t>李小翠</t>
  </si>
  <si>
    <t>樊艳兰</t>
  </si>
  <si>
    <t>陈江豪</t>
  </si>
  <si>
    <t>高长勤</t>
  </si>
  <si>
    <t>尹思</t>
  </si>
  <si>
    <t>唐娇艳</t>
  </si>
  <si>
    <t>罗倩</t>
  </si>
  <si>
    <t>冯劼琦</t>
  </si>
  <si>
    <t>尹程程</t>
  </si>
  <si>
    <t>李青艳</t>
  </si>
  <si>
    <t>杨玉婷</t>
  </si>
  <si>
    <t>林越</t>
  </si>
  <si>
    <t>周玮</t>
  </si>
  <si>
    <t>汤婷</t>
  </si>
  <si>
    <t>王宁</t>
  </si>
  <si>
    <t>陈梅华</t>
  </si>
  <si>
    <t>杨智光</t>
  </si>
  <si>
    <t>黄溶刚</t>
  </si>
  <si>
    <t>丁丽旦</t>
  </si>
  <si>
    <t>陈旎妍</t>
  </si>
  <si>
    <t>欧阳艳琼</t>
  </si>
  <si>
    <t>尹佳慧</t>
  </si>
  <si>
    <t>彭淑群</t>
  </si>
  <si>
    <t>阳静</t>
  </si>
  <si>
    <t>霍江琳</t>
  </si>
  <si>
    <t>成晨</t>
  </si>
  <si>
    <t>赖倩</t>
  </si>
  <si>
    <t>欧阳湛</t>
  </si>
  <si>
    <t>陈佳兵</t>
  </si>
  <si>
    <t>杨丽</t>
  </si>
  <si>
    <t>肖亚丽</t>
  </si>
  <si>
    <t>王佐</t>
  </si>
  <si>
    <t>刘志坚</t>
  </si>
  <si>
    <t>谢莹</t>
  </si>
  <si>
    <t>罗昌</t>
  </si>
  <si>
    <t>曾芳</t>
  </si>
  <si>
    <t>彭慧明</t>
  </si>
  <si>
    <t>笔试成绩</t>
    <phoneticPr fontId="2" type="noConversion"/>
  </si>
  <si>
    <t>序号</t>
    <phoneticPr fontId="2" type="noConversion"/>
  </si>
  <si>
    <t>岗位1-高中历史教师</t>
  </si>
  <si>
    <t>岗位2-高中历史教师</t>
  </si>
  <si>
    <t>岗位3-高中物理教师</t>
  </si>
  <si>
    <t>岗位4-高中物理教师</t>
  </si>
  <si>
    <t>岗位7-初中数学教师</t>
  </si>
  <si>
    <t>岗位8-初中历史教师</t>
  </si>
  <si>
    <t>岗位10- 初中信息教师</t>
  </si>
  <si>
    <t>岗位11-初中语文教师</t>
  </si>
  <si>
    <t>岗位13-初中英语教师</t>
  </si>
  <si>
    <t>岗位14-初中政治教师</t>
  </si>
  <si>
    <t>岗位16-初中地理教师</t>
  </si>
  <si>
    <t>岗位17-初中物理教师</t>
  </si>
  <si>
    <t>岗位18-初中化学教师</t>
  </si>
  <si>
    <t>岗位19-初中生物教师</t>
  </si>
  <si>
    <t>岗位20-初中音乐教师</t>
  </si>
  <si>
    <t>岗位21-初中体育教师</t>
  </si>
  <si>
    <t>岗位22-初中美术教师</t>
  </si>
  <si>
    <t>岗位23-初中信息教师</t>
  </si>
  <si>
    <t>岗位24-小学语文教师</t>
  </si>
  <si>
    <t>岗位25-小学语文教师</t>
  </si>
  <si>
    <t>岗位26-小学数学教师</t>
  </si>
  <si>
    <t>岗位27-小学数学教师</t>
  </si>
  <si>
    <t>岗位28-小学英语教师</t>
  </si>
  <si>
    <t>岗位29-小学英语教师</t>
  </si>
  <si>
    <t>2019年茶陵县公开招聘教师综合成绩表</t>
    <phoneticPr fontId="2" type="noConversion"/>
  </si>
  <si>
    <t>笔试60%折算</t>
    <phoneticPr fontId="2" type="noConversion"/>
  </si>
  <si>
    <t>面试成绩</t>
    <phoneticPr fontId="2" type="noConversion"/>
  </si>
  <si>
    <t>面试40%折算</t>
    <phoneticPr fontId="2" type="noConversion"/>
  </si>
  <si>
    <t>综合成绩</t>
    <phoneticPr fontId="2" type="noConversion"/>
  </si>
  <si>
    <t>缺考</t>
    <phoneticPr fontId="2" type="noConversion"/>
  </si>
  <si>
    <t>备注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</si>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</sst>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workbookViewId="0">
      <selection activeCell="H3" sqref="H3"/>
    </sheetView>
  </sheetViews>
  <sheetFormatPr defaultRowHeight="13.5"/>
  <cols>
    <col min="1" max="1" width="7.625" customWidth="1"/>
    <col min="2" max="2" width="23" customWidth="1"/>
    <col min="3" max="3" width="9.375" customWidth="1"/>
    <col min="4" max="4" width="12.375" customWidth="1"/>
    <col min="5" max="5" width="11.75" style="6" customWidth="1"/>
    <col min="6" max="9" width="11.75" customWidth="1"/>
    <col min="10" max="10" width="7" customWidth="1"/>
  </cols>
  <sheetData>
    <row r="1" spans="1:10" ht="39.75" customHeight="1">
      <c r="A1" s="10" t="s">
        <v>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1.5" customHeight="1">
      <c r="A2" s="8" t="s">
        <v>54</v>
      </c>
      <c r="B2" s="8" t="s">
        <v>0</v>
      </c>
      <c r="C2" s="8" t="s">
        <v>1</v>
      </c>
      <c r="D2" s="8" t="s">
        <v>2</v>
      </c>
      <c r="E2" s="9" t="s">
        <v>53</v>
      </c>
      <c r="F2" s="9" t="s">
        <v>80</v>
      </c>
      <c r="G2" s="9" t="s">
        <v>81</v>
      </c>
      <c r="H2" s="9" t="s">
        <v>82</v>
      </c>
      <c r="I2" s="9" t="s">
        <v>83</v>
      </c>
      <c r="J2" s="9" t="s">
        <v>85</v>
      </c>
    </row>
    <row r="3" spans="1:10" s="2" customFormat="1" ht="24" customHeight="1">
      <c r="A3" s="7">
        <v>1</v>
      </c>
      <c r="B3" s="1" t="s">
        <v>55</v>
      </c>
      <c r="C3" s="1" t="s">
        <v>3</v>
      </c>
      <c r="D3" s="3">
        <v>1906020101</v>
      </c>
      <c r="E3" s="4">
        <v>60.5</v>
      </c>
      <c r="F3" s="4">
        <f>E3*0.6</f>
        <v>36.299999999999997</v>
      </c>
      <c r="G3" s="4">
        <v>0</v>
      </c>
      <c r="H3" s="4">
        <v>0</v>
      </c>
      <c r="I3" s="4">
        <f>F3+H3</f>
        <v>36.299999999999997</v>
      </c>
      <c r="J3" s="4" t="s">
        <v>84</v>
      </c>
    </row>
    <row r="4" spans="1:10" s="2" customFormat="1" ht="24" customHeight="1">
      <c r="A4" s="7">
        <v>2</v>
      </c>
      <c r="B4" s="1" t="s">
        <v>56</v>
      </c>
      <c r="C4" s="1" t="s">
        <v>4</v>
      </c>
      <c r="D4" s="3">
        <v>1906020105</v>
      </c>
      <c r="E4" s="5">
        <v>67.25</v>
      </c>
      <c r="F4" s="4">
        <f t="shared" ref="F4:F37" si="0">E4*0.6</f>
        <v>40.35</v>
      </c>
      <c r="G4" s="4">
        <v>75.400000000000006</v>
      </c>
      <c r="H4" s="4">
        <f>ROUND(G4*0.4,2)</f>
        <v>30.16</v>
      </c>
      <c r="I4" s="4">
        <f t="shared" ref="I4:I37" si="1">F4+H4</f>
        <v>70.510000000000005</v>
      </c>
      <c r="J4" s="4"/>
    </row>
    <row r="5" spans="1:10" s="2" customFormat="1" ht="24" customHeight="1">
      <c r="A5" s="7">
        <v>3</v>
      </c>
      <c r="B5" s="1" t="s">
        <v>57</v>
      </c>
      <c r="C5" s="1" t="s">
        <v>6</v>
      </c>
      <c r="D5" s="3">
        <v>1906020109</v>
      </c>
      <c r="E5" s="5">
        <v>76.5</v>
      </c>
      <c r="F5" s="4">
        <f t="shared" si="0"/>
        <v>45.9</v>
      </c>
      <c r="G5" s="4">
        <v>79</v>
      </c>
      <c r="H5" s="4">
        <f t="shared" ref="H5:H37" si="2">ROUND(G5*0.4,2)</f>
        <v>31.6</v>
      </c>
      <c r="I5" s="4">
        <f t="shared" si="1"/>
        <v>77.5</v>
      </c>
      <c r="J5" s="4"/>
    </row>
    <row r="6" spans="1:10" s="2" customFormat="1" ht="24" customHeight="1">
      <c r="A6" s="7">
        <v>4</v>
      </c>
      <c r="B6" s="1" t="s">
        <v>58</v>
      </c>
      <c r="C6" s="1" t="s">
        <v>7</v>
      </c>
      <c r="D6" s="3">
        <v>1906020115</v>
      </c>
      <c r="E6" s="5">
        <v>60.5</v>
      </c>
      <c r="F6" s="4">
        <f t="shared" si="0"/>
        <v>36.299999999999997</v>
      </c>
      <c r="G6" s="4">
        <v>77.599999999999994</v>
      </c>
      <c r="H6" s="4">
        <f t="shared" si="2"/>
        <v>31.04</v>
      </c>
      <c r="I6" s="4">
        <f t="shared" si="1"/>
        <v>67.34</v>
      </c>
      <c r="J6" s="4"/>
    </row>
    <row r="7" spans="1:10" s="2" customFormat="1" ht="24" customHeight="1">
      <c r="A7" s="7">
        <v>5</v>
      </c>
      <c r="B7" s="1" t="s">
        <v>58</v>
      </c>
      <c r="C7" s="1" t="s">
        <v>8</v>
      </c>
      <c r="D7" s="3">
        <v>1906020114</v>
      </c>
      <c r="E7" s="5">
        <v>55.5</v>
      </c>
      <c r="F7" s="4">
        <f t="shared" si="0"/>
        <v>33.299999999999997</v>
      </c>
      <c r="G7" s="4">
        <v>81.08</v>
      </c>
      <c r="H7" s="4">
        <f t="shared" si="2"/>
        <v>32.43</v>
      </c>
      <c r="I7" s="4">
        <f t="shared" si="1"/>
        <v>65.72999999999999</v>
      </c>
      <c r="J7" s="4"/>
    </row>
    <row r="8" spans="1:10" s="2" customFormat="1" ht="24" customHeight="1">
      <c r="A8" s="7">
        <v>6</v>
      </c>
      <c r="B8" s="1" t="s">
        <v>59</v>
      </c>
      <c r="C8" s="1" t="s">
        <v>9</v>
      </c>
      <c r="D8" s="3">
        <v>1906020119</v>
      </c>
      <c r="E8" s="5">
        <v>82</v>
      </c>
      <c r="F8" s="4">
        <f t="shared" si="0"/>
        <v>49.199999999999996</v>
      </c>
      <c r="G8" s="4">
        <v>79.02</v>
      </c>
      <c r="H8" s="4">
        <f t="shared" si="2"/>
        <v>31.61</v>
      </c>
      <c r="I8" s="4">
        <f t="shared" si="1"/>
        <v>80.81</v>
      </c>
      <c r="J8" s="4"/>
    </row>
    <row r="9" spans="1:10" s="2" customFormat="1" ht="24" customHeight="1">
      <c r="A9" s="7">
        <v>7</v>
      </c>
      <c r="B9" s="1" t="s">
        <v>59</v>
      </c>
      <c r="C9" s="1" t="s">
        <v>10</v>
      </c>
      <c r="D9" s="3">
        <v>1906020118</v>
      </c>
      <c r="E9" s="5">
        <v>66</v>
      </c>
      <c r="F9" s="4">
        <f t="shared" si="0"/>
        <v>39.6</v>
      </c>
      <c r="G9" s="4">
        <v>80.06</v>
      </c>
      <c r="H9" s="4">
        <f t="shared" si="2"/>
        <v>32.020000000000003</v>
      </c>
      <c r="I9" s="4">
        <f t="shared" si="1"/>
        <v>71.62</v>
      </c>
      <c r="J9" s="4"/>
    </row>
    <row r="10" spans="1:10" s="2" customFormat="1" ht="24" customHeight="1">
      <c r="A10" s="7">
        <v>8</v>
      </c>
      <c r="B10" s="1" t="s">
        <v>60</v>
      </c>
      <c r="C10" s="1" t="s">
        <v>11</v>
      </c>
      <c r="D10" s="3">
        <v>1906020125</v>
      </c>
      <c r="E10" s="5">
        <v>79.5</v>
      </c>
      <c r="F10" s="4">
        <f t="shared" si="0"/>
        <v>47.699999999999996</v>
      </c>
      <c r="G10" s="4">
        <v>77.599999999999994</v>
      </c>
      <c r="H10" s="4">
        <f t="shared" si="2"/>
        <v>31.04</v>
      </c>
      <c r="I10" s="4">
        <f t="shared" si="1"/>
        <v>78.739999999999995</v>
      </c>
      <c r="J10" s="4"/>
    </row>
    <row r="11" spans="1:10" s="2" customFormat="1" ht="24" customHeight="1">
      <c r="A11" s="7">
        <v>9</v>
      </c>
      <c r="B11" s="1" t="s">
        <v>61</v>
      </c>
      <c r="C11" s="1" t="str">
        <f>"李青"</f>
        <v>李青</v>
      </c>
      <c r="D11" s="3">
        <v>1906020201</v>
      </c>
      <c r="E11" s="5">
        <v>79.5</v>
      </c>
      <c r="F11" s="4">
        <f t="shared" si="0"/>
        <v>47.699999999999996</v>
      </c>
      <c r="G11" s="4">
        <v>79.7</v>
      </c>
      <c r="H11" s="4">
        <f t="shared" si="2"/>
        <v>31.88</v>
      </c>
      <c r="I11" s="4">
        <f t="shared" si="1"/>
        <v>79.58</v>
      </c>
      <c r="J11" s="4"/>
    </row>
    <row r="12" spans="1:10" s="2" customFormat="1" ht="24" customHeight="1">
      <c r="A12" s="7">
        <v>10</v>
      </c>
      <c r="B12" s="1" t="s">
        <v>61</v>
      </c>
      <c r="C12" s="1" t="str">
        <f>"陈欢"</f>
        <v>陈欢</v>
      </c>
      <c r="D12" s="3">
        <v>1906020202</v>
      </c>
      <c r="E12" s="5">
        <v>75.5</v>
      </c>
      <c r="F12" s="4">
        <f t="shared" si="0"/>
        <v>45.3</v>
      </c>
      <c r="G12" s="4">
        <v>0</v>
      </c>
      <c r="H12" s="4">
        <f t="shared" si="2"/>
        <v>0</v>
      </c>
      <c r="I12" s="4">
        <f t="shared" si="1"/>
        <v>45.3</v>
      </c>
      <c r="J12" s="4" t="s">
        <v>5</v>
      </c>
    </row>
    <row r="13" spans="1:10" s="2" customFormat="1" ht="24" customHeight="1">
      <c r="A13" s="7">
        <v>11</v>
      </c>
      <c r="B13" s="1" t="s">
        <v>62</v>
      </c>
      <c r="C13" s="1" t="str">
        <f>"刘向"</f>
        <v>刘向</v>
      </c>
      <c r="D13" s="3">
        <v>1906020514</v>
      </c>
      <c r="E13" s="5">
        <v>76.75</v>
      </c>
      <c r="F13" s="4">
        <f t="shared" si="0"/>
        <v>46.05</v>
      </c>
      <c r="G13" s="4">
        <v>77.599999999999994</v>
      </c>
      <c r="H13" s="4">
        <f t="shared" si="2"/>
        <v>31.04</v>
      </c>
      <c r="I13" s="4">
        <f t="shared" si="1"/>
        <v>77.09</v>
      </c>
      <c r="J13" s="4"/>
    </row>
    <row r="14" spans="1:10" s="2" customFormat="1" ht="24" customHeight="1">
      <c r="A14" s="7">
        <v>12</v>
      </c>
      <c r="B14" s="1" t="s">
        <v>62</v>
      </c>
      <c r="C14" s="1" t="str">
        <f>"刘星吉"</f>
        <v>刘星吉</v>
      </c>
      <c r="D14" s="3">
        <v>1906020503</v>
      </c>
      <c r="E14" s="5">
        <v>74.75</v>
      </c>
      <c r="F14" s="4">
        <f t="shared" si="0"/>
        <v>44.85</v>
      </c>
      <c r="G14" s="4">
        <v>76.7</v>
      </c>
      <c r="H14" s="4">
        <f t="shared" si="2"/>
        <v>30.68</v>
      </c>
      <c r="I14" s="4">
        <f t="shared" si="1"/>
        <v>75.53</v>
      </c>
      <c r="J14" s="4"/>
    </row>
    <row r="15" spans="1:10" s="2" customFormat="1" ht="24" customHeight="1">
      <c r="A15" s="7">
        <v>13</v>
      </c>
      <c r="B15" s="1" t="s">
        <v>62</v>
      </c>
      <c r="C15" s="1" t="str">
        <f>"罗霞"</f>
        <v>罗霞</v>
      </c>
      <c r="D15" s="3">
        <v>1906020509</v>
      </c>
      <c r="E15" s="5">
        <v>71.75</v>
      </c>
      <c r="F15" s="4">
        <f t="shared" si="0"/>
        <v>43.05</v>
      </c>
      <c r="G15" s="4">
        <v>76</v>
      </c>
      <c r="H15" s="4">
        <f t="shared" si="2"/>
        <v>30.4</v>
      </c>
      <c r="I15" s="4">
        <f t="shared" si="1"/>
        <v>73.449999999999989</v>
      </c>
      <c r="J15" s="4"/>
    </row>
    <row r="16" spans="1:10" s="2" customFormat="1" ht="24" customHeight="1">
      <c r="A16" s="7">
        <v>14</v>
      </c>
      <c r="B16" s="1" t="s">
        <v>62</v>
      </c>
      <c r="C16" s="1" t="str">
        <f>"王美淋"</f>
        <v>王美淋</v>
      </c>
      <c r="D16" s="3">
        <v>1906020504</v>
      </c>
      <c r="E16" s="5">
        <v>69.75</v>
      </c>
      <c r="F16" s="4">
        <f t="shared" si="0"/>
        <v>41.85</v>
      </c>
      <c r="G16" s="4">
        <v>77.400000000000006</v>
      </c>
      <c r="H16" s="4">
        <f t="shared" si="2"/>
        <v>30.96</v>
      </c>
      <c r="I16" s="4">
        <f t="shared" si="1"/>
        <v>72.81</v>
      </c>
      <c r="J16" s="4"/>
    </row>
    <row r="17" spans="1:10" s="2" customFormat="1" ht="24" customHeight="1">
      <c r="A17" s="7">
        <v>15</v>
      </c>
      <c r="B17" s="1" t="s">
        <v>62</v>
      </c>
      <c r="C17" s="1" t="str">
        <f>"刘康丽"</f>
        <v>刘康丽</v>
      </c>
      <c r="D17" s="3">
        <v>1906020507</v>
      </c>
      <c r="E17" s="5">
        <v>69</v>
      </c>
      <c r="F17" s="4">
        <f t="shared" si="0"/>
        <v>41.4</v>
      </c>
      <c r="G17" s="4">
        <v>74.099999999999994</v>
      </c>
      <c r="H17" s="4">
        <f t="shared" si="2"/>
        <v>29.64</v>
      </c>
      <c r="I17" s="4">
        <f t="shared" si="1"/>
        <v>71.039999999999992</v>
      </c>
      <c r="J17" s="4"/>
    </row>
    <row r="18" spans="1:10" s="2" customFormat="1" ht="24" customHeight="1">
      <c r="A18" s="7">
        <v>16</v>
      </c>
      <c r="B18" s="1" t="s">
        <v>62</v>
      </c>
      <c r="C18" s="1" t="str">
        <f>"贺阳艳"</f>
        <v>贺阳艳</v>
      </c>
      <c r="D18" s="3">
        <v>1906020501</v>
      </c>
      <c r="E18" s="5">
        <v>68.5</v>
      </c>
      <c r="F18" s="4">
        <f t="shared" si="0"/>
        <v>41.1</v>
      </c>
      <c r="G18" s="4">
        <v>0</v>
      </c>
      <c r="H18" s="4">
        <f t="shared" si="2"/>
        <v>0</v>
      </c>
      <c r="I18" s="4">
        <f t="shared" si="1"/>
        <v>41.1</v>
      </c>
      <c r="J18" s="4" t="s">
        <v>86</v>
      </c>
    </row>
    <row r="19" spans="1:10" s="2" customFormat="1" ht="24" customHeight="1">
      <c r="A19" s="7">
        <v>17</v>
      </c>
      <c r="B19" s="1" t="s">
        <v>63</v>
      </c>
      <c r="C19" s="1" t="str">
        <f>"秦玲"</f>
        <v>秦玲</v>
      </c>
      <c r="D19" s="3">
        <v>1906020301</v>
      </c>
      <c r="E19" s="5">
        <v>80</v>
      </c>
      <c r="F19" s="4">
        <f t="shared" ref="F19:F30" si="3">E19*0.6</f>
        <v>48</v>
      </c>
      <c r="G19" s="4">
        <v>76.400000000000006</v>
      </c>
      <c r="H19" s="4">
        <f t="shared" si="2"/>
        <v>30.56</v>
      </c>
      <c r="I19" s="4">
        <f t="shared" ref="I19:I30" si="4">F19+H19</f>
        <v>78.56</v>
      </c>
      <c r="J19" s="4"/>
    </row>
    <row r="20" spans="1:10" s="2" customFormat="1" ht="24" customHeight="1">
      <c r="A20" s="7">
        <v>18</v>
      </c>
      <c r="B20" s="1" t="s">
        <v>63</v>
      </c>
      <c r="C20" s="1" t="str">
        <f>"陈依平"</f>
        <v>陈依平</v>
      </c>
      <c r="D20" s="3">
        <v>1906020402</v>
      </c>
      <c r="E20" s="5">
        <v>73</v>
      </c>
      <c r="F20" s="4">
        <f t="shared" si="3"/>
        <v>43.8</v>
      </c>
      <c r="G20" s="4">
        <v>72.599999999999994</v>
      </c>
      <c r="H20" s="4">
        <f t="shared" si="2"/>
        <v>29.04</v>
      </c>
      <c r="I20" s="4">
        <f t="shared" si="4"/>
        <v>72.84</v>
      </c>
      <c r="J20" s="4"/>
    </row>
    <row r="21" spans="1:10" s="2" customFormat="1" ht="24" customHeight="1">
      <c r="A21" s="7">
        <v>19</v>
      </c>
      <c r="B21" s="1" t="s">
        <v>63</v>
      </c>
      <c r="C21" s="1" t="str">
        <f>"谭慧芳"</f>
        <v>谭慧芳</v>
      </c>
      <c r="D21" s="3">
        <v>1906020408</v>
      </c>
      <c r="E21" s="5">
        <v>69.25</v>
      </c>
      <c r="F21" s="4">
        <f t="shared" si="3"/>
        <v>41.55</v>
      </c>
      <c r="G21" s="4">
        <v>76</v>
      </c>
      <c r="H21" s="4">
        <f t="shared" si="2"/>
        <v>30.4</v>
      </c>
      <c r="I21" s="4">
        <f t="shared" si="4"/>
        <v>71.949999999999989</v>
      </c>
      <c r="J21" s="4"/>
    </row>
    <row r="22" spans="1:10" s="2" customFormat="1" ht="24" customHeight="1">
      <c r="A22" s="7">
        <v>20</v>
      </c>
      <c r="B22" s="1" t="s">
        <v>63</v>
      </c>
      <c r="C22" s="1" t="str">
        <f>"胡丽婷"</f>
        <v>胡丽婷</v>
      </c>
      <c r="D22" s="3">
        <v>1906020318</v>
      </c>
      <c r="E22" s="5">
        <v>70</v>
      </c>
      <c r="F22" s="4">
        <f t="shared" si="3"/>
        <v>42</v>
      </c>
      <c r="G22" s="4">
        <v>74.8</v>
      </c>
      <c r="H22" s="4">
        <f t="shared" si="2"/>
        <v>29.92</v>
      </c>
      <c r="I22" s="4">
        <f t="shared" si="4"/>
        <v>71.92</v>
      </c>
      <c r="J22" s="4"/>
    </row>
    <row r="23" spans="1:10" s="2" customFormat="1" ht="24" customHeight="1">
      <c r="A23" s="7">
        <v>21</v>
      </c>
      <c r="B23" s="1" t="s">
        <v>63</v>
      </c>
      <c r="C23" s="1" t="str">
        <f>"彭润芳"</f>
        <v>彭润芳</v>
      </c>
      <c r="D23" s="3">
        <v>1906020403</v>
      </c>
      <c r="E23" s="5">
        <v>71.5</v>
      </c>
      <c r="F23" s="4">
        <f t="shared" si="3"/>
        <v>42.9</v>
      </c>
      <c r="G23" s="4">
        <v>72.2</v>
      </c>
      <c r="H23" s="4">
        <f t="shared" si="2"/>
        <v>28.88</v>
      </c>
      <c r="I23" s="4">
        <f t="shared" si="4"/>
        <v>71.78</v>
      </c>
      <c r="J23" s="4"/>
    </row>
    <row r="24" spans="1:10" s="2" customFormat="1" ht="24" customHeight="1">
      <c r="A24" s="7">
        <v>22</v>
      </c>
      <c r="B24" s="1" t="s">
        <v>63</v>
      </c>
      <c r="C24" s="1" t="str">
        <f>"刘云艳"</f>
        <v>刘云艳</v>
      </c>
      <c r="D24" s="3">
        <v>1906020306</v>
      </c>
      <c r="E24" s="5">
        <v>69.25</v>
      </c>
      <c r="F24" s="4">
        <f t="shared" si="3"/>
        <v>41.55</v>
      </c>
      <c r="G24" s="4">
        <v>74.599999999999994</v>
      </c>
      <c r="H24" s="4">
        <f t="shared" si="2"/>
        <v>29.84</v>
      </c>
      <c r="I24" s="4">
        <f t="shared" si="4"/>
        <v>71.39</v>
      </c>
      <c r="J24" s="4"/>
    </row>
    <row r="25" spans="1:10" s="2" customFormat="1" ht="24" customHeight="1">
      <c r="A25" s="7">
        <v>23</v>
      </c>
      <c r="B25" s="1" t="s">
        <v>63</v>
      </c>
      <c r="C25" s="1" t="str">
        <f>"贺方良"</f>
        <v>贺方良</v>
      </c>
      <c r="D25" s="3">
        <v>1906020324</v>
      </c>
      <c r="E25" s="5">
        <v>70.75</v>
      </c>
      <c r="F25" s="4">
        <f t="shared" si="3"/>
        <v>42.449999999999996</v>
      </c>
      <c r="G25" s="4">
        <v>72.2</v>
      </c>
      <c r="H25" s="4">
        <f t="shared" si="2"/>
        <v>28.88</v>
      </c>
      <c r="I25" s="4">
        <f t="shared" si="4"/>
        <v>71.33</v>
      </c>
      <c r="J25" s="4"/>
    </row>
    <row r="26" spans="1:10" s="2" customFormat="1" ht="24" customHeight="1">
      <c r="A26" s="7">
        <v>24</v>
      </c>
      <c r="B26" s="1" t="s">
        <v>63</v>
      </c>
      <c r="C26" s="1" t="str">
        <f>"谭凯霞"</f>
        <v>谭凯霞</v>
      </c>
      <c r="D26" s="3">
        <v>1906020319</v>
      </c>
      <c r="E26" s="5">
        <v>69.5</v>
      </c>
      <c r="F26" s="4">
        <f t="shared" si="3"/>
        <v>41.699999999999996</v>
      </c>
      <c r="G26" s="4">
        <v>73.400000000000006</v>
      </c>
      <c r="H26" s="4">
        <f t="shared" si="2"/>
        <v>29.36</v>
      </c>
      <c r="I26" s="4">
        <f t="shared" si="4"/>
        <v>71.06</v>
      </c>
      <c r="J26" s="4"/>
    </row>
    <row r="27" spans="1:10" s="2" customFormat="1" ht="24" customHeight="1">
      <c r="A27" s="7">
        <v>25</v>
      </c>
      <c r="B27" s="1" t="s">
        <v>63</v>
      </c>
      <c r="C27" s="1" t="str">
        <f>"阳莹"</f>
        <v>阳莹</v>
      </c>
      <c r="D27" s="3">
        <v>1906020404</v>
      </c>
      <c r="E27" s="5">
        <v>69.25</v>
      </c>
      <c r="F27" s="4">
        <f t="shared" si="3"/>
        <v>41.55</v>
      </c>
      <c r="G27" s="4">
        <v>73</v>
      </c>
      <c r="H27" s="4">
        <f t="shared" si="2"/>
        <v>29.2</v>
      </c>
      <c r="I27" s="4">
        <f t="shared" si="4"/>
        <v>70.75</v>
      </c>
      <c r="J27" s="4"/>
    </row>
    <row r="28" spans="1:10" s="2" customFormat="1" ht="24" customHeight="1">
      <c r="A28" s="7">
        <v>26</v>
      </c>
      <c r="B28" s="1" t="s">
        <v>64</v>
      </c>
      <c r="C28" s="1" t="str">
        <f>"刘小强"</f>
        <v>刘小强</v>
      </c>
      <c r="D28" s="3">
        <v>1906020210</v>
      </c>
      <c r="E28" s="5">
        <v>78.75</v>
      </c>
      <c r="F28" s="4">
        <f t="shared" si="3"/>
        <v>47.25</v>
      </c>
      <c r="G28" s="4">
        <v>79.3</v>
      </c>
      <c r="H28" s="4">
        <f t="shared" si="2"/>
        <v>31.72</v>
      </c>
      <c r="I28" s="4">
        <f t="shared" si="4"/>
        <v>78.97</v>
      </c>
      <c r="J28" s="4"/>
    </row>
    <row r="29" spans="1:10" s="2" customFormat="1" ht="24" customHeight="1">
      <c r="A29" s="7">
        <v>27</v>
      </c>
      <c r="B29" s="1" t="s">
        <v>64</v>
      </c>
      <c r="C29" s="1" t="str">
        <f>"谢波"</f>
        <v>谢波</v>
      </c>
      <c r="D29" s="3">
        <v>1906020211</v>
      </c>
      <c r="E29" s="5">
        <v>69</v>
      </c>
      <c r="F29" s="4">
        <f t="shared" si="3"/>
        <v>41.4</v>
      </c>
      <c r="G29" s="4">
        <v>76</v>
      </c>
      <c r="H29" s="4">
        <f t="shared" si="2"/>
        <v>30.4</v>
      </c>
      <c r="I29" s="4">
        <f t="shared" si="4"/>
        <v>71.8</v>
      </c>
      <c r="J29" s="4"/>
    </row>
    <row r="30" spans="1:10" s="2" customFormat="1" ht="24" customHeight="1">
      <c r="A30" s="7">
        <v>28</v>
      </c>
      <c r="B30" s="1" t="s">
        <v>64</v>
      </c>
      <c r="C30" s="1" t="str">
        <f>"谭春艳"</f>
        <v>谭春艳</v>
      </c>
      <c r="D30" s="3">
        <v>1906020213</v>
      </c>
      <c r="E30" s="5">
        <v>71.5</v>
      </c>
      <c r="F30" s="4">
        <f t="shared" si="3"/>
        <v>42.9</v>
      </c>
      <c r="G30" s="4">
        <v>0</v>
      </c>
      <c r="H30" s="4">
        <f t="shared" si="2"/>
        <v>0</v>
      </c>
      <c r="I30" s="4">
        <f t="shared" si="4"/>
        <v>42.9</v>
      </c>
      <c r="J30" s="4" t="s">
        <v>5</v>
      </c>
    </row>
    <row r="31" spans="1:10" s="2" customFormat="1" ht="24" customHeight="1">
      <c r="A31" s="7">
        <v>29</v>
      </c>
      <c r="B31" s="1" t="s">
        <v>65</v>
      </c>
      <c r="C31" s="1" t="str">
        <f>"刘武媚"</f>
        <v>刘武媚</v>
      </c>
      <c r="D31" s="3">
        <v>1906020216</v>
      </c>
      <c r="E31" s="5">
        <v>75.75</v>
      </c>
      <c r="F31" s="4">
        <f t="shared" si="0"/>
        <v>45.449999999999996</v>
      </c>
      <c r="G31" s="4">
        <v>81.099999999999994</v>
      </c>
      <c r="H31" s="4">
        <f t="shared" si="2"/>
        <v>32.44</v>
      </c>
      <c r="I31" s="4">
        <f t="shared" si="1"/>
        <v>77.889999999999986</v>
      </c>
      <c r="J31" s="4"/>
    </row>
    <row r="32" spans="1:10" s="2" customFormat="1" ht="24" customHeight="1">
      <c r="A32" s="7">
        <v>30</v>
      </c>
      <c r="B32" s="1" t="s">
        <v>66</v>
      </c>
      <c r="C32" s="1" t="str">
        <f>"谭云飞"</f>
        <v>谭云飞</v>
      </c>
      <c r="D32" s="3">
        <v>1906020426</v>
      </c>
      <c r="E32" s="5">
        <v>69.25</v>
      </c>
      <c r="F32" s="4">
        <f t="shared" si="0"/>
        <v>41.55</v>
      </c>
      <c r="G32" s="4">
        <v>77.48</v>
      </c>
      <c r="H32" s="4">
        <f t="shared" si="2"/>
        <v>30.99</v>
      </c>
      <c r="I32" s="4">
        <f t="shared" si="1"/>
        <v>72.539999999999992</v>
      </c>
      <c r="J32" s="4"/>
    </row>
    <row r="33" spans="1:10" s="2" customFormat="1" ht="24" customHeight="1">
      <c r="A33" s="7">
        <v>31</v>
      </c>
      <c r="B33" s="1" t="s">
        <v>66</v>
      </c>
      <c r="C33" s="1" t="str">
        <f>"朱颖"</f>
        <v>朱颖</v>
      </c>
      <c r="D33" s="3">
        <v>1906020429</v>
      </c>
      <c r="E33" s="5">
        <v>65.25</v>
      </c>
      <c r="F33" s="4">
        <f t="shared" si="0"/>
        <v>39.15</v>
      </c>
      <c r="G33" s="4">
        <v>76.3</v>
      </c>
      <c r="H33" s="4">
        <f t="shared" si="2"/>
        <v>30.52</v>
      </c>
      <c r="I33" s="4">
        <f t="shared" si="1"/>
        <v>69.67</v>
      </c>
      <c r="J33" s="4"/>
    </row>
    <row r="34" spans="1:10" s="2" customFormat="1" ht="24" customHeight="1">
      <c r="A34" s="7">
        <v>32</v>
      </c>
      <c r="B34" s="1" t="s">
        <v>67</v>
      </c>
      <c r="C34" s="1" t="str">
        <f>"谭叶蓉"</f>
        <v>谭叶蓉</v>
      </c>
      <c r="D34" s="3">
        <v>1906020227</v>
      </c>
      <c r="E34" s="5">
        <v>80.5</v>
      </c>
      <c r="F34" s="4">
        <f t="shared" si="0"/>
        <v>48.3</v>
      </c>
      <c r="G34" s="4">
        <v>80.099999999999994</v>
      </c>
      <c r="H34" s="4">
        <f t="shared" si="2"/>
        <v>32.04</v>
      </c>
      <c r="I34" s="4">
        <f t="shared" si="1"/>
        <v>80.34</v>
      </c>
      <c r="J34" s="4"/>
    </row>
    <row r="35" spans="1:10" s="2" customFormat="1" ht="24" customHeight="1">
      <c r="A35" s="7">
        <v>33</v>
      </c>
      <c r="B35" s="1" t="s">
        <v>67</v>
      </c>
      <c r="C35" s="1" t="str">
        <f>"龙鑫"</f>
        <v>龙鑫</v>
      </c>
      <c r="D35" s="3">
        <v>1906020219</v>
      </c>
      <c r="E35" s="5">
        <v>76.25</v>
      </c>
      <c r="F35" s="4">
        <f t="shared" si="0"/>
        <v>45.75</v>
      </c>
      <c r="G35" s="4">
        <v>80.34</v>
      </c>
      <c r="H35" s="4">
        <f t="shared" si="2"/>
        <v>32.14</v>
      </c>
      <c r="I35" s="4">
        <f t="shared" si="1"/>
        <v>77.89</v>
      </c>
      <c r="J35" s="4"/>
    </row>
    <row r="36" spans="1:10" s="2" customFormat="1" ht="24" customHeight="1">
      <c r="A36" s="7">
        <v>34</v>
      </c>
      <c r="B36" s="1" t="s">
        <v>67</v>
      </c>
      <c r="C36" s="1" t="str">
        <f>"罗辽勇"</f>
        <v>罗辽勇</v>
      </c>
      <c r="D36" s="3">
        <v>1906020231</v>
      </c>
      <c r="E36" s="5">
        <v>52</v>
      </c>
      <c r="F36" s="4">
        <f t="shared" si="0"/>
        <v>31.2</v>
      </c>
      <c r="G36" s="4">
        <v>78.08</v>
      </c>
      <c r="H36" s="4">
        <f t="shared" si="2"/>
        <v>31.23</v>
      </c>
      <c r="I36" s="4">
        <f t="shared" si="1"/>
        <v>62.43</v>
      </c>
      <c r="J36" s="4"/>
    </row>
    <row r="37" spans="1:10" s="2" customFormat="1" ht="24" customHeight="1">
      <c r="A37" s="7">
        <v>35</v>
      </c>
      <c r="B37" s="1" t="s">
        <v>68</v>
      </c>
      <c r="C37" s="1" t="s">
        <v>12</v>
      </c>
      <c r="D37" s="3">
        <v>1906020127</v>
      </c>
      <c r="E37" s="5">
        <v>71</v>
      </c>
      <c r="F37" s="4">
        <f t="shared" si="0"/>
        <v>42.6</v>
      </c>
      <c r="G37" s="4">
        <v>81.02</v>
      </c>
      <c r="H37" s="4">
        <f t="shared" si="2"/>
        <v>32.409999999999997</v>
      </c>
      <c r="I37" s="4">
        <f t="shared" si="1"/>
        <v>75.009999999999991</v>
      </c>
      <c r="J37" s="4"/>
    </row>
    <row r="38" spans="1:10" s="2" customFormat="1" ht="24" customHeight="1">
      <c r="A38" s="7">
        <v>36</v>
      </c>
      <c r="B38" s="1" t="s">
        <v>69</v>
      </c>
      <c r="C38" s="1" t="str">
        <f>"刘尹春"</f>
        <v>刘尹春</v>
      </c>
      <c r="D38" s="3">
        <v>1906020627</v>
      </c>
      <c r="E38" s="5">
        <v>77</v>
      </c>
      <c r="F38" s="4">
        <f t="shared" ref="F38:F101" si="5">E38*0.6</f>
        <v>46.199999999999996</v>
      </c>
      <c r="G38" s="4">
        <v>84.4</v>
      </c>
      <c r="H38" s="4">
        <f t="shared" ref="H38:H101" si="6">ROUND(G38*0.4,2)</f>
        <v>33.76</v>
      </c>
      <c r="I38" s="4">
        <f t="shared" ref="I38:I101" si="7">F38+H38</f>
        <v>79.959999999999994</v>
      </c>
      <c r="J38" s="4"/>
    </row>
    <row r="39" spans="1:10" s="2" customFormat="1" ht="24" customHeight="1">
      <c r="A39" s="7">
        <v>37</v>
      </c>
      <c r="B39" s="1" t="s">
        <v>69</v>
      </c>
      <c r="C39" s="1" t="str">
        <f>"李玉婷"</f>
        <v>李玉婷</v>
      </c>
      <c r="D39" s="3">
        <v>1906020526</v>
      </c>
      <c r="E39" s="5">
        <v>75</v>
      </c>
      <c r="F39" s="4">
        <f t="shared" si="5"/>
        <v>45</v>
      </c>
      <c r="G39" s="4">
        <v>81.8</v>
      </c>
      <c r="H39" s="4">
        <f t="shared" si="6"/>
        <v>32.72</v>
      </c>
      <c r="I39" s="4">
        <f t="shared" si="7"/>
        <v>77.72</v>
      </c>
      <c r="J39" s="4"/>
    </row>
    <row r="40" spans="1:10" s="2" customFormat="1" ht="24" customHeight="1">
      <c r="A40" s="7">
        <v>38</v>
      </c>
      <c r="B40" s="1" t="s">
        <v>69</v>
      </c>
      <c r="C40" s="1" t="str">
        <f>"刘旋"</f>
        <v>刘旋</v>
      </c>
      <c r="D40" s="3">
        <v>1906020702</v>
      </c>
      <c r="E40" s="5">
        <v>74.5</v>
      </c>
      <c r="F40" s="4">
        <f t="shared" si="5"/>
        <v>44.699999999999996</v>
      </c>
      <c r="G40" s="4">
        <v>79.099999999999994</v>
      </c>
      <c r="H40" s="4">
        <f t="shared" si="6"/>
        <v>31.64</v>
      </c>
      <c r="I40" s="4">
        <f t="shared" si="7"/>
        <v>76.34</v>
      </c>
      <c r="J40" s="4"/>
    </row>
    <row r="41" spans="1:10" s="2" customFormat="1" ht="24" customHeight="1">
      <c r="A41" s="7">
        <v>39</v>
      </c>
      <c r="B41" s="1" t="s">
        <v>69</v>
      </c>
      <c r="C41" s="1" t="str">
        <f>"刘君香"</f>
        <v>刘君香</v>
      </c>
      <c r="D41" s="3">
        <v>1906020527</v>
      </c>
      <c r="E41" s="5">
        <v>70.5</v>
      </c>
      <c r="F41" s="4">
        <f t="shared" si="5"/>
        <v>42.3</v>
      </c>
      <c r="G41" s="4">
        <v>80.2</v>
      </c>
      <c r="H41" s="4">
        <f t="shared" si="6"/>
        <v>32.08</v>
      </c>
      <c r="I41" s="4">
        <f t="shared" si="7"/>
        <v>74.38</v>
      </c>
      <c r="J41" s="4"/>
    </row>
    <row r="42" spans="1:10" s="2" customFormat="1" ht="24" customHeight="1">
      <c r="A42" s="7">
        <v>40</v>
      </c>
      <c r="B42" s="1" t="s">
        <v>69</v>
      </c>
      <c r="C42" s="1" t="str">
        <f>"颜婧"</f>
        <v>颜婧</v>
      </c>
      <c r="D42" s="3">
        <v>1906020617</v>
      </c>
      <c r="E42" s="5">
        <v>77.5</v>
      </c>
      <c r="F42" s="4">
        <f t="shared" si="5"/>
        <v>46.5</v>
      </c>
      <c r="G42" s="4">
        <v>0</v>
      </c>
      <c r="H42" s="4">
        <f t="shared" si="6"/>
        <v>0</v>
      </c>
      <c r="I42" s="4">
        <f t="shared" si="7"/>
        <v>46.5</v>
      </c>
      <c r="J42" s="4" t="s">
        <v>84</v>
      </c>
    </row>
    <row r="43" spans="1:10" s="2" customFormat="1" ht="24" customHeight="1">
      <c r="A43" s="7">
        <v>41</v>
      </c>
      <c r="B43" s="1" t="s">
        <v>69</v>
      </c>
      <c r="C43" s="1" t="str">
        <f>"李瑶"</f>
        <v>李瑶</v>
      </c>
      <c r="D43" s="3">
        <v>1906020713</v>
      </c>
      <c r="E43" s="5">
        <v>70</v>
      </c>
      <c r="F43" s="4">
        <f t="shared" si="5"/>
        <v>42</v>
      </c>
      <c r="G43" s="4">
        <v>0</v>
      </c>
      <c r="H43" s="4">
        <f t="shared" si="6"/>
        <v>0</v>
      </c>
      <c r="I43" s="4">
        <f t="shared" si="7"/>
        <v>42</v>
      </c>
      <c r="J43" s="4" t="s">
        <v>86</v>
      </c>
    </row>
    <row r="44" spans="1:10" s="2" customFormat="1" ht="24" customHeight="1">
      <c r="A44" s="7">
        <v>42</v>
      </c>
      <c r="B44" s="1" t="s">
        <v>70</v>
      </c>
      <c r="C44" s="1" t="str">
        <f>"苏俊豪"</f>
        <v>苏俊豪</v>
      </c>
      <c r="D44" s="3">
        <v>1906020815</v>
      </c>
      <c r="E44" s="5">
        <v>76.5</v>
      </c>
      <c r="F44" s="4">
        <f t="shared" si="5"/>
        <v>45.9</v>
      </c>
      <c r="G44" s="4">
        <v>80.099999999999994</v>
      </c>
      <c r="H44" s="4">
        <f t="shared" si="6"/>
        <v>32.04</v>
      </c>
      <c r="I44" s="4">
        <f t="shared" si="7"/>
        <v>77.94</v>
      </c>
      <c r="J44" s="4"/>
    </row>
    <row r="45" spans="1:10" s="2" customFormat="1" ht="24" customHeight="1">
      <c r="A45" s="7">
        <v>43</v>
      </c>
      <c r="B45" s="1" t="s">
        <v>70</v>
      </c>
      <c r="C45" s="1" t="str">
        <f>"张義"</f>
        <v>张義</v>
      </c>
      <c r="D45" s="3">
        <v>1906020914</v>
      </c>
      <c r="E45" s="5">
        <v>72.5</v>
      </c>
      <c r="F45" s="4">
        <f t="shared" si="5"/>
        <v>43.5</v>
      </c>
      <c r="G45" s="4">
        <v>82.44</v>
      </c>
      <c r="H45" s="4">
        <f t="shared" si="6"/>
        <v>32.979999999999997</v>
      </c>
      <c r="I45" s="4">
        <f t="shared" si="7"/>
        <v>76.47999999999999</v>
      </c>
      <c r="J45" s="4"/>
    </row>
    <row r="46" spans="1:10" s="2" customFormat="1" ht="24" customHeight="1">
      <c r="A46" s="7">
        <v>44</v>
      </c>
      <c r="B46" s="1" t="s">
        <v>70</v>
      </c>
      <c r="C46" s="1" t="str">
        <f>"喻叶香"</f>
        <v>喻叶香</v>
      </c>
      <c r="D46" s="3">
        <v>1906020902</v>
      </c>
      <c r="E46" s="5">
        <v>74.5</v>
      </c>
      <c r="F46" s="4">
        <f t="shared" si="5"/>
        <v>44.699999999999996</v>
      </c>
      <c r="G46" s="4">
        <v>78.400000000000006</v>
      </c>
      <c r="H46" s="4">
        <f t="shared" si="6"/>
        <v>31.36</v>
      </c>
      <c r="I46" s="4">
        <f t="shared" si="7"/>
        <v>76.06</v>
      </c>
      <c r="J46" s="4"/>
    </row>
    <row r="47" spans="1:10" s="2" customFormat="1" ht="24" customHeight="1">
      <c r="A47" s="7">
        <v>45</v>
      </c>
      <c r="B47" s="1" t="s">
        <v>70</v>
      </c>
      <c r="C47" s="1" t="str">
        <f>"陈洋洋"</f>
        <v>陈洋洋</v>
      </c>
      <c r="D47" s="3">
        <v>1906020927</v>
      </c>
      <c r="E47" s="5">
        <v>72</v>
      </c>
      <c r="F47" s="4">
        <f t="shared" si="5"/>
        <v>43.199999999999996</v>
      </c>
      <c r="G47" s="4">
        <v>81.099999999999994</v>
      </c>
      <c r="H47" s="4">
        <f t="shared" si="6"/>
        <v>32.44</v>
      </c>
      <c r="I47" s="4">
        <f t="shared" si="7"/>
        <v>75.639999999999986</v>
      </c>
      <c r="J47" s="4"/>
    </row>
    <row r="48" spans="1:10" s="2" customFormat="1" ht="24" customHeight="1">
      <c r="A48" s="7">
        <v>46</v>
      </c>
      <c r="B48" s="1" t="s">
        <v>70</v>
      </c>
      <c r="C48" s="1" t="str">
        <f>"谭奕"</f>
        <v>谭奕</v>
      </c>
      <c r="D48" s="3">
        <v>1906020918</v>
      </c>
      <c r="E48" s="5">
        <v>72</v>
      </c>
      <c r="F48" s="4">
        <f t="shared" si="5"/>
        <v>43.199999999999996</v>
      </c>
      <c r="G48" s="4">
        <v>80</v>
      </c>
      <c r="H48" s="4">
        <f t="shared" si="6"/>
        <v>32</v>
      </c>
      <c r="I48" s="4">
        <f t="shared" si="7"/>
        <v>75.199999999999989</v>
      </c>
      <c r="J48" s="4"/>
    </row>
    <row r="49" spans="1:10" s="2" customFormat="1" ht="24" customHeight="1">
      <c r="A49" s="7">
        <v>47</v>
      </c>
      <c r="B49" s="1" t="s">
        <v>70</v>
      </c>
      <c r="C49" s="1" t="str">
        <f>"王丽蓉"</f>
        <v>王丽蓉</v>
      </c>
      <c r="D49" s="3">
        <v>1906020926</v>
      </c>
      <c r="E49" s="5">
        <v>72</v>
      </c>
      <c r="F49" s="4">
        <f t="shared" si="5"/>
        <v>43.199999999999996</v>
      </c>
      <c r="G49" s="4">
        <v>79</v>
      </c>
      <c r="H49" s="4">
        <f t="shared" si="6"/>
        <v>31.6</v>
      </c>
      <c r="I49" s="4">
        <f t="shared" si="7"/>
        <v>74.8</v>
      </c>
      <c r="J49" s="4"/>
    </row>
    <row r="50" spans="1:10" s="2" customFormat="1" ht="24" customHeight="1">
      <c r="A50" s="7">
        <v>48</v>
      </c>
      <c r="B50" s="1" t="s">
        <v>70</v>
      </c>
      <c r="C50" s="1" t="str">
        <f>"彭夏荣"</f>
        <v>彭夏荣</v>
      </c>
      <c r="D50" s="3">
        <v>1906021004</v>
      </c>
      <c r="E50" s="5">
        <v>72.5</v>
      </c>
      <c r="F50" s="4">
        <f t="shared" si="5"/>
        <v>43.5</v>
      </c>
      <c r="G50" s="4">
        <v>78.2</v>
      </c>
      <c r="H50" s="4">
        <f t="shared" si="6"/>
        <v>31.28</v>
      </c>
      <c r="I50" s="4">
        <f t="shared" si="7"/>
        <v>74.78</v>
      </c>
      <c r="J50" s="4"/>
    </row>
    <row r="51" spans="1:10" s="2" customFormat="1" ht="24" customHeight="1">
      <c r="A51" s="7">
        <v>49</v>
      </c>
      <c r="B51" s="1" t="s">
        <v>70</v>
      </c>
      <c r="C51" s="1" t="str">
        <f>"李吉生"</f>
        <v>李吉生</v>
      </c>
      <c r="D51" s="3">
        <v>1906020830</v>
      </c>
      <c r="E51" s="5">
        <v>72</v>
      </c>
      <c r="F51" s="4">
        <f t="shared" si="5"/>
        <v>43.199999999999996</v>
      </c>
      <c r="G51" s="4">
        <v>78.900000000000006</v>
      </c>
      <c r="H51" s="4">
        <f t="shared" si="6"/>
        <v>31.56</v>
      </c>
      <c r="I51" s="4">
        <f t="shared" si="7"/>
        <v>74.759999999999991</v>
      </c>
      <c r="J51" s="4"/>
    </row>
    <row r="52" spans="1:10" s="2" customFormat="1" ht="24" customHeight="1">
      <c r="A52" s="7">
        <v>50</v>
      </c>
      <c r="B52" s="1" t="s">
        <v>70</v>
      </c>
      <c r="C52" s="1" t="str">
        <f>"罗勇"</f>
        <v>罗勇</v>
      </c>
      <c r="D52" s="3">
        <v>1906020905</v>
      </c>
      <c r="E52" s="5">
        <v>72</v>
      </c>
      <c r="F52" s="4">
        <f t="shared" si="5"/>
        <v>43.199999999999996</v>
      </c>
      <c r="G52" s="4">
        <v>77.8</v>
      </c>
      <c r="H52" s="4">
        <f t="shared" si="6"/>
        <v>31.12</v>
      </c>
      <c r="I52" s="4">
        <f t="shared" si="7"/>
        <v>74.319999999999993</v>
      </c>
      <c r="J52" s="4"/>
    </row>
    <row r="53" spans="1:10" s="2" customFormat="1" ht="24" customHeight="1">
      <c r="A53" s="7">
        <v>51</v>
      </c>
      <c r="B53" s="1" t="s">
        <v>70</v>
      </c>
      <c r="C53" s="1" t="str">
        <f>"丁有苗"</f>
        <v>丁有苗</v>
      </c>
      <c r="D53" s="3">
        <v>1906020922</v>
      </c>
      <c r="E53" s="5">
        <v>72.5</v>
      </c>
      <c r="F53" s="4">
        <f t="shared" si="5"/>
        <v>43.5</v>
      </c>
      <c r="G53" s="4">
        <v>75.7</v>
      </c>
      <c r="H53" s="4">
        <f t="shared" si="6"/>
        <v>30.28</v>
      </c>
      <c r="I53" s="4">
        <f t="shared" si="7"/>
        <v>73.78</v>
      </c>
      <c r="J53" s="4"/>
    </row>
    <row r="54" spans="1:10" s="2" customFormat="1" ht="24" customHeight="1">
      <c r="A54" s="7">
        <v>52</v>
      </c>
      <c r="B54" s="1" t="s">
        <v>71</v>
      </c>
      <c r="C54" s="1" t="str">
        <f>"韩霞"</f>
        <v>韩霞</v>
      </c>
      <c r="D54" s="3">
        <v>1906021113</v>
      </c>
      <c r="E54" s="5">
        <v>85</v>
      </c>
      <c r="F54" s="4">
        <f t="shared" si="5"/>
        <v>51</v>
      </c>
      <c r="G54" s="4">
        <v>83.5</v>
      </c>
      <c r="H54" s="4">
        <f t="shared" si="6"/>
        <v>33.4</v>
      </c>
      <c r="I54" s="4">
        <f t="shared" si="7"/>
        <v>84.4</v>
      </c>
      <c r="J54" s="4"/>
    </row>
    <row r="55" spans="1:10" s="2" customFormat="1" ht="24" customHeight="1">
      <c r="A55" s="7">
        <v>53</v>
      </c>
      <c r="B55" s="1" t="s">
        <v>71</v>
      </c>
      <c r="C55" s="1" t="str">
        <f>"毛佳丽"</f>
        <v>毛佳丽</v>
      </c>
      <c r="D55" s="3">
        <v>1906021103</v>
      </c>
      <c r="E55" s="5">
        <v>77.75</v>
      </c>
      <c r="F55" s="4">
        <f t="shared" si="5"/>
        <v>46.65</v>
      </c>
      <c r="G55" s="4">
        <v>80.900000000000006</v>
      </c>
      <c r="H55" s="4">
        <f t="shared" si="6"/>
        <v>32.36</v>
      </c>
      <c r="I55" s="4">
        <f t="shared" si="7"/>
        <v>79.009999999999991</v>
      </c>
      <c r="J55" s="4"/>
    </row>
    <row r="56" spans="1:10" s="2" customFormat="1" ht="24" customHeight="1">
      <c r="A56" s="7">
        <v>54</v>
      </c>
      <c r="B56" s="1" t="s">
        <v>71</v>
      </c>
      <c r="C56" s="1" t="str">
        <f>"文佳军"</f>
        <v>文佳军</v>
      </c>
      <c r="D56" s="3">
        <v>1906021117</v>
      </c>
      <c r="E56" s="5">
        <v>77.75</v>
      </c>
      <c r="F56" s="4">
        <f t="shared" si="5"/>
        <v>46.65</v>
      </c>
      <c r="G56" s="4">
        <v>77.2</v>
      </c>
      <c r="H56" s="4">
        <f t="shared" si="6"/>
        <v>30.88</v>
      </c>
      <c r="I56" s="4">
        <f t="shared" si="7"/>
        <v>77.53</v>
      </c>
      <c r="J56" s="4"/>
    </row>
    <row r="57" spans="1:10" s="2" customFormat="1" ht="24" customHeight="1">
      <c r="A57" s="7">
        <v>55</v>
      </c>
      <c r="B57" s="1" t="s">
        <v>71</v>
      </c>
      <c r="C57" s="1" t="str">
        <f>"李年亮"</f>
        <v>李年亮</v>
      </c>
      <c r="D57" s="3">
        <v>1906021124</v>
      </c>
      <c r="E57" s="5">
        <v>73.75</v>
      </c>
      <c r="F57" s="4">
        <f t="shared" si="5"/>
        <v>44.25</v>
      </c>
      <c r="G57" s="4">
        <v>81.8</v>
      </c>
      <c r="H57" s="4">
        <f t="shared" si="6"/>
        <v>32.72</v>
      </c>
      <c r="I57" s="4">
        <f t="shared" si="7"/>
        <v>76.97</v>
      </c>
      <c r="J57" s="4"/>
    </row>
    <row r="58" spans="1:10" s="2" customFormat="1" ht="24" customHeight="1">
      <c r="A58" s="7">
        <v>56</v>
      </c>
      <c r="B58" s="1" t="s">
        <v>71</v>
      </c>
      <c r="C58" s="1" t="str">
        <f>"刘正莹"</f>
        <v>刘正莹</v>
      </c>
      <c r="D58" s="3">
        <v>1906021104</v>
      </c>
      <c r="E58" s="5">
        <v>74</v>
      </c>
      <c r="F58" s="4">
        <f t="shared" si="5"/>
        <v>44.4</v>
      </c>
      <c r="G58" s="4">
        <v>79.2</v>
      </c>
      <c r="H58" s="4">
        <f t="shared" si="6"/>
        <v>31.68</v>
      </c>
      <c r="I58" s="4">
        <f t="shared" si="7"/>
        <v>76.08</v>
      </c>
      <c r="J58" s="4"/>
    </row>
    <row r="59" spans="1:10" s="2" customFormat="1" ht="24" customHeight="1">
      <c r="A59" s="7">
        <v>57</v>
      </c>
      <c r="B59" s="1" t="s">
        <v>71</v>
      </c>
      <c r="C59" s="1" t="str">
        <f>"单丽"</f>
        <v>单丽</v>
      </c>
      <c r="D59" s="3">
        <v>1906021129</v>
      </c>
      <c r="E59" s="5">
        <v>75.5</v>
      </c>
      <c r="F59" s="4">
        <f t="shared" si="5"/>
        <v>45.3</v>
      </c>
      <c r="G59" s="4">
        <v>76.8</v>
      </c>
      <c r="H59" s="4">
        <f t="shared" si="6"/>
        <v>30.72</v>
      </c>
      <c r="I59" s="4">
        <f t="shared" si="7"/>
        <v>76.02</v>
      </c>
      <c r="J59" s="4"/>
    </row>
    <row r="60" spans="1:10" s="2" customFormat="1" ht="24" customHeight="1">
      <c r="A60" s="7">
        <v>58</v>
      </c>
      <c r="B60" s="1" t="s">
        <v>72</v>
      </c>
      <c r="C60" s="1" t="str">
        <f>"唐段梅"</f>
        <v>唐段梅</v>
      </c>
      <c r="D60" s="3">
        <v>1906020206</v>
      </c>
      <c r="E60" s="5">
        <v>79.75</v>
      </c>
      <c r="F60" s="4">
        <f t="shared" si="5"/>
        <v>47.85</v>
      </c>
      <c r="G60" s="4">
        <v>80.2</v>
      </c>
      <c r="H60" s="4">
        <f t="shared" si="6"/>
        <v>32.08</v>
      </c>
      <c r="I60" s="4">
        <f t="shared" si="7"/>
        <v>79.930000000000007</v>
      </c>
      <c r="J60" s="4"/>
    </row>
    <row r="61" spans="1:10" s="2" customFormat="1" ht="24" customHeight="1">
      <c r="A61" s="7">
        <v>59</v>
      </c>
      <c r="B61" s="1" t="s">
        <v>72</v>
      </c>
      <c r="C61" s="1" t="str">
        <f>"金雨欣"</f>
        <v>金雨欣</v>
      </c>
      <c r="D61" s="3">
        <v>1906020207</v>
      </c>
      <c r="E61" s="5">
        <v>76</v>
      </c>
      <c r="F61" s="4">
        <f t="shared" si="5"/>
        <v>45.6</v>
      </c>
      <c r="G61" s="4">
        <v>79.78</v>
      </c>
      <c r="H61" s="4">
        <f t="shared" si="6"/>
        <v>31.91</v>
      </c>
      <c r="I61" s="4">
        <f t="shared" si="7"/>
        <v>77.510000000000005</v>
      </c>
      <c r="J61" s="4"/>
    </row>
    <row r="62" spans="1:10" s="2" customFormat="1" ht="24" customHeight="1">
      <c r="A62" s="7">
        <v>60</v>
      </c>
      <c r="B62" s="1" t="s">
        <v>72</v>
      </c>
      <c r="C62" s="1" t="str">
        <f>"周庭"</f>
        <v>周庭</v>
      </c>
      <c r="D62" s="3">
        <v>1906020205</v>
      </c>
      <c r="E62" s="5">
        <v>73.25</v>
      </c>
      <c r="F62" s="4">
        <f t="shared" si="5"/>
        <v>43.949999999999996</v>
      </c>
      <c r="G62" s="4">
        <v>78.3</v>
      </c>
      <c r="H62" s="4">
        <f t="shared" si="6"/>
        <v>31.32</v>
      </c>
      <c r="I62" s="4">
        <f t="shared" si="7"/>
        <v>75.27</v>
      </c>
      <c r="J62" s="4"/>
    </row>
    <row r="63" spans="1:10" s="2" customFormat="1" ht="24" customHeight="1">
      <c r="A63" s="7">
        <v>61</v>
      </c>
      <c r="B63" s="1" t="s">
        <v>72</v>
      </c>
      <c r="C63" s="1" t="str">
        <f>"丁雪琴"</f>
        <v>丁雪琴</v>
      </c>
      <c r="D63" s="3">
        <v>1906020209</v>
      </c>
      <c r="E63" s="5">
        <v>70.5</v>
      </c>
      <c r="F63" s="4">
        <f t="shared" si="5"/>
        <v>42.3</v>
      </c>
      <c r="G63" s="4">
        <v>77.040000000000006</v>
      </c>
      <c r="H63" s="4">
        <f t="shared" si="6"/>
        <v>30.82</v>
      </c>
      <c r="I63" s="4">
        <f t="shared" si="7"/>
        <v>73.12</v>
      </c>
      <c r="J63" s="4"/>
    </row>
    <row r="64" spans="1:10" s="2" customFormat="1" ht="24" customHeight="1">
      <c r="A64" s="7">
        <v>62</v>
      </c>
      <c r="B64" s="1" t="s">
        <v>73</v>
      </c>
      <c r="C64" s="1" t="str">
        <f>"陈红艳"</f>
        <v>陈红艳</v>
      </c>
      <c r="D64" s="3">
        <v>1906021313</v>
      </c>
      <c r="E64" s="5">
        <v>73</v>
      </c>
      <c r="F64" s="4">
        <f t="shared" si="5"/>
        <v>43.8</v>
      </c>
      <c r="G64" s="4">
        <v>75.760000000000005</v>
      </c>
      <c r="H64" s="4">
        <f t="shared" si="6"/>
        <v>30.3</v>
      </c>
      <c r="I64" s="4">
        <f t="shared" si="7"/>
        <v>74.099999999999994</v>
      </c>
      <c r="J64" s="4"/>
    </row>
    <row r="65" spans="1:10" s="2" customFormat="1" ht="24" customHeight="1">
      <c r="A65" s="7">
        <v>63</v>
      </c>
      <c r="B65" s="1" t="s">
        <v>73</v>
      </c>
      <c r="C65" s="1" t="str">
        <f>"张鹿"</f>
        <v>张鹿</v>
      </c>
      <c r="D65" s="3">
        <v>1906021330</v>
      </c>
      <c r="E65" s="5">
        <v>71.25</v>
      </c>
      <c r="F65" s="4">
        <f t="shared" si="5"/>
        <v>42.75</v>
      </c>
      <c r="G65" s="4">
        <v>77.06</v>
      </c>
      <c r="H65" s="4">
        <f t="shared" si="6"/>
        <v>30.82</v>
      </c>
      <c r="I65" s="4">
        <f t="shared" si="7"/>
        <v>73.569999999999993</v>
      </c>
      <c r="J65" s="4"/>
    </row>
    <row r="66" spans="1:10" s="2" customFormat="1" ht="24" customHeight="1">
      <c r="A66" s="7">
        <v>64</v>
      </c>
      <c r="B66" s="1" t="s">
        <v>73</v>
      </c>
      <c r="C66" s="1" t="str">
        <f>"彭玉芳"</f>
        <v>彭玉芳</v>
      </c>
      <c r="D66" s="3">
        <v>1906021704</v>
      </c>
      <c r="E66" s="5">
        <v>72</v>
      </c>
      <c r="F66" s="4">
        <f t="shared" si="5"/>
        <v>43.199999999999996</v>
      </c>
      <c r="G66" s="4">
        <v>72.599999999999994</v>
      </c>
      <c r="H66" s="4">
        <f t="shared" si="6"/>
        <v>29.04</v>
      </c>
      <c r="I66" s="4">
        <f t="shared" si="7"/>
        <v>72.239999999999995</v>
      </c>
      <c r="J66" s="4"/>
    </row>
    <row r="67" spans="1:10" s="2" customFormat="1" ht="24" customHeight="1">
      <c r="A67" s="7">
        <v>65</v>
      </c>
      <c r="B67" s="1" t="s">
        <v>73</v>
      </c>
      <c r="C67" s="1" t="str">
        <f>"简予倩贤"</f>
        <v>简予倩贤</v>
      </c>
      <c r="D67" s="3">
        <v>1906021808</v>
      </c>
      <c r="E67" s="5">
        <v>70</v>
      </c>
      <c r="F67" s="4">
        <f t="shared" si="5"/>
        <v>42</v>
      </c>
      <c r="G67" s="4">
        <v>75</v>
      </c>
      <c r="H67" s="4">
        <f t="shared" si="6"/>
        <v>30</v>
      </c>
      <c r="I67" s="4">
        <f t="shared" si="7"/>
        <v>72</v>
      </c>
      <c r="J67" s="4"/>
    </row>
    <row r="68" spans="1:10" s="2" customFormat="1" ht="24" customHeight="1">
      <c r="A68" s="7">
        <v>66</v>
      </c>
      <c r="B68" s="1" t="s">
        <v>73</v>
      </c>
      <c r="C68" s="1" t="str">
        <f>"周菲"</f>
        <v>周菲</v>
      </c>
      <c r="D68" s="3">
        <v>1906021812</v>
      </c>
      <c r="E68" s="5">
        <v>69</v>
      </c>
      <c r="F68" s="4">
        <f t="shared" si="5"/>
        <v>41.4</v>
      </c>
      <c r="G68" s="4">
        <v>76.2</v>
      </c>
      <c r="H68" s="4">
        <f t="shared" si="6"/>
        <v>30.48</v>
      </c>
      <c r="I68" s="4">
        <f t="shared" si="7"/>
        <v>71.88</v>
      </c>
      <c r="J68" s="4"/>
    </row>
    <row r="69" spans="1:10" s="2" customFormat="1" ht="24" customHeight="1">
      <c r="A69" s="7">
        <v>67</v>
      </c>
      <c r="B69" s="1" t="s">
        <v>73</v>
      </c>
      <c r="C69" s="1" t="str">
        <f>"李艳芳"</f>
        <v>李艳芳</v>
      </c>
      <c r="D69" s="3">
        <v>1906021301</v>
      </c>
      <c r="E69" s="5">
        <v>71.25</v>
      </c>
      <c r="F69" s="4">
        <f t="shared" si="5"/>
        <v>42.75</v>
      </c>
      <c r="G69" s="4">
        <v>72.8</v>
      </c>
      <c r="H69" s="4">
        <f t="shared" si="6"/>
        <v>29.12</v>
      </c>
      <c r="I69" s="4">
        <f t="shared" si="7"/>
        <v>71.87</v>
      </c>
      <c r="J69" s="4"/>
    </row>
    <row r="70" spans="1:10" s="2" customFormat="1" ht="24" customHeight="1">
      <c r="A70" s="7">
        <v>68</v>
      </c>
      <c r="B70" s="1" t="s">
        <v>73</v>
      </c>
      <c r="C70" s="1" t="str">
        <f>"曾韫颖"</f>
        <v>曾韫颖</v>
      </c>
      <c r="D70" s="3">
        <v>1906021519</v>
      </c>
      <c r="E70" s="5">
        <v>68</v>
      </c>
      <c r="F70" s="4">
        <f t="shared" si="5"/>
        <v>40.799999999999997</v>
      </c>
      <c r="G70" s="4">
        <v>77.099999999999994</v>
      </c>
      <c r="H70" s="4">
        <f t="shared" si="6"/>
        <v>30.84</v>
      </c>
      <c r="I70" s="4">
        <f t="shared" si="7"/>
        <v>71.64</v>
      </c>
      <c r="J70" s="4"/>
    </row>
    <row r="71" spans="1:10" s="2" customFormat="1" ht="24" customHeight="1">
      <c r="A71" s="7">
        <v>69</v>
      </c>
      <c r="B71" s="1" t="s">
        <v>73</v>
      </c>
      <c r="C71" s="1" t="str">
        <f>"陈丽宇"</f>
        <v>陈丽宇</v>
      </c>
      <c r="D71" s="3">
        <v>1906021508</v>
      </c>
      <c r="E71" s="5">
        <v>70.75</v>
      </c>
      <c r="F71" s="4">
        <f t="shared" si="5"/>
        <v>42.449999999999996</v>
      </c>
      <c r="G71" s="4">
        <v>72.900000000000006</v>
      </c>
      <c r="H71" s="4">
        <f t="shared" si="6"/>
        <v>29.16</v>
      </c>
      <c r="I71" s="4">
        <f t="shared" si="7"/>
        <v>71.61</v>
      </c>
      <c r="J71" s="4"/>
    </row>
    <row r="72" spans="1:10" s="2" customFormat="1" ht="24" customHeight="1">
      <c r="A72" s="7">
        <v>70</v>
      </c>
      <c r="B72" s="1" t="s">
        <v>73</v>
      </c>
      <c r="C72" s="1" t="str">
        <f>"侯建敏"</f>
        <v>侯建敏</v>
      </c>
      <c r="D72" s="3">
        <v>1906021502</v>
      </c>
      <c r="E72" s="5">
        <v>68.75</v>
      </c>
      <c r="F72" s="4">
        <f t="shared" si="5"/>
        <v>41.25</v>
      </c>
      <c r="G72" s="4">
        <v>75.540000000000006</v>
      </c>
      <c r="H72" s="4">
        <f t="shared" si="6"/>
        <v>30.22</v>
      </c>
      <c r="I72" s="4">
        <f t="shared" si="7"/>
        <v>71.47</v>
      </c>
      <c r="J72" s="4"/>
    </row>
    <row r="73" spans="1:10" s="2" customFormat="1" ht="24" customHeight="1">
      <c r="A73" s="7">
        <v>71</v>
      </c>
      <c r="B73" s="1" t="s">
        <v>73</v>
      </c>
      <c r="C73" s="1" t="str">
        <f>"周泽"</f>
        <v>周泽</v>
      </c>
      <c r="D73" s="3">
        <v>1906021416</v>
      </c>
      <c r="E73" s="5">
        <v>68.75</v>
      </c>
      <c r="F73" s="4">
        <f t="shared" si="5"/>
        <v>41.25</v>
      </c>
      <c r="G73" s="4">
        <v>75</v>
      </c>
      <c r="H73" s="4">
        <f t="shared" si="6"/>
        <v>30</v>
      </c>
      <c r="I73" s="4">
        <f t="shared" si="7"/>
        <v>71.25</v>
      </c>
      <c r="J73" s="4"/>
    </row>
    <row r="74" spans="1:10" s="2" customFormat="1" ht="24" customHeight="1">
      <c r="A74" s="7">
        <v>72</v>
      </c>
      <c r="B74" s="1" t="s">
        <v>73</v>
      </c>
      <c r="C74" s="1" t="str">
        <f>"吴刘胜男"</f>
        <v>吴刘胜男</v>
      </c>
      <c r="D74" s="3">
        <v>1906021622</v>
      </c>
      <c r="E74" s="5">
        <v>67.5</v>
      </c>
      <c r="F74" s="4">
        <f t="shared" si="5"/>
        <v>40.5</v>
      </c>
      <c r="G74" s="4">
        <v>75.599999999999994</v>
      </c>
      <c r="H74" s="4">
        <f t="shared" si="6"/>
        <v>30.24</v>
      </c>
      <c r="I74" s="4">
        <f t="shared" si="7"/>
        <v>70.739999999999995</v>
      </c>
      <c r="J74" s="4"/>
    </row>
    <row r="75" spans="1:10" s="2" customFormat="1" ht="24" customHeight="1">
      <c r="A75" s="7">
        <v>73</v>
      </c>
      <c r="B75" s="1" t="s">
        <v>73</v>
      </c>
      <c r="C75" s="1" t="str">
        <f>"廖思怡"</f>
        <v>廖思怡</v>
      </c>
      <c r="D75" s="3">
        <v>1906021303</v>
      </c>
      <c r="E75" s="5">
        <v>68.25</v>
      </c>
      <c r="F75" s="4">
        <f t="shared" si="5"/>
        <v>40.949999999999996</v>
      </c>
      <c r="G75" s="4">
        <v>74.42</v>
      </c>
      <c r="H75" s="4">
        <f t="shared" si="6"/>
        <v>29.77</v>
      </c>
      <c r="I75" s="4">
        <f t="shared" si="7"/>
        <v>70.72</v>
      </c>
      <c r="J75" s="4"/>
    </row>
    <row r="76" spans="1:10" s="2" customFormat="1" ht="24" customHeight="1">
      <c r="A76" s="7">
        <v>74</v>
      </c>
      <c r="B76" s="1" t="s">
        <v>73</v>
      </c>
      <c r="C76" s="1" t="str">
        <f>"罗慧芳"</f>
        <v>罗慧芳</v>
      </c>
      <c r="D76" s="3">
        <v>1906021204</v>
      </c>
      <c r="E76" s="5">
        <v>68.5</v>
      </c>
      <c r="F76" s="4">
        <f t="shared" si="5"/>
        <v>41.1</v>
      </c>
      <c r="G76" s="4">
        <v>73.900000000000006</v>
      </c>
      <c r="H76" s="4">
        <f t="shared" si="6"/>
        <v>29.56</v>
      </c>
      <c r="I76" s="4">
        <f t="shared" si="7"/>
        <v>70.66</v>
      </c>
      <c r="J76" s="4"/>
    </row>
    <row r="77" spans="1:10" s="2" customFormat="1" ht="24" customHeight="1">
      <c r="A77" s="7">
        <v>75</v>
      </c>
      <c r="B77" s="1" t="s">
        <v>73</v>
      </c>
      <c r="C77" s="1" t="str">
        <f>"段夏云"</f>
        <v>段夏云</v>
      </c>
      <c r="D77" s="3">
        <v>1906021213</v>
      </c>
      <c r="E77" s="5">
        <v>65.5</v>
      </c>
      <c r="F77" s="4">
        <f t="shared" si="5"/>
        <v>39.299999999999997</v>
      </c>
      <c r="G77" s="4">
        <v>77.400000000000006</v>
      </c>
      <c r="H77" s="4">
        <f t="shared" si="6"/>
        <v>30.96</v>
      </c>
      <c r="I77" s="4">
        <f t="shared" si="7"/>
        <v>70.259999999999991</v>
      </c>
      <c r="J77" s="4"/>
    </row>
    <row r="78" spans="1:10" s="2" customFormat="1" ht="24" customHeight="1">
      <c r="A78" s="7">
        <v>76</v>
      </c>
      <c r="B78" s="1" t="s">
        <v>73</v>
      </c>
      <c r="C78" s="1" t="str">
        <f>"刘心怡"</f>
        <v>刘心怡</v>
      </c>
      <c r="D78" s="3">
        <v>1906021208</v>
      </c>
      <c r="E78" s="5">
        <v>66.75</v>
      </c>
      <c r="F78" s="4">
        <f t="shared" si="5"/>
        <v>40.049999999999997</v>
      </c>
      <c r="G78" s="4">
        <v>74.900000000000006</v>
      </c>
      <c r="H78" s="4">
        <f t="shared" si="6"/>
        <v>29.96</v>
      </c>
      <c r="I78" s="4">
        <f t="shared" si="7"/>
        <v>70.009999999999991</v>
      </c>
      <c r="J78" s="4"/>
    </row>
    <row r="79" spans="1:10" s="2" customFormat="1" ht="24" customHeight="1">
      <c r="A79" s="7">
        <v>77</v>
      </c>
      <c r="B79" s="1" t="s">
        <v>73</v>
      </c>
      <c r="C79" s="1" t="str">
        <f>"谭媛元"</f>
        <v>谭媛元</v>
      </c>
      <c r="D79" s="3">
        <v>1906021205</v>
      </c>
      <c r="E79" s="5">
        <v>68.25</v>
      </c>
      <c r="F79" s="4">
        <f t="shared" si="5"/>
        <v>40.949999999999996</v>
      </c>
      <c r="G79" s="4">
        <v>72.400000000000006</v>
      </c>
      <c r="H79" s="4">
        <f t="shared" si="6"/>
        <v>28.96</v>
      </c>
      <c r="I79" s="4">
        <f t="shared" si="7"/>
        <v>69.91</v>
      </c>
      <c r="J79" s="4"/>
    </row>
    <row r="80" spans="1:10" s="2" customFormat="1" ht="24" customHeight="1">
      <c r="A80" s="7">
        <v>78</v>
      </c>
      <c r="B80" s="1" t="s">
        <v>73</v>
      </c>
      <c r="C80" s="1" t="str">
        <f>"刘婉贻"</f>
        <v>刘婉贻</v>
      </c>
      <c r="D80" s="3">
        <v>1906021729</v>
      </c>
      <c r="E80" s="5">
        <v>67</v>
      </c>
      <c r="F80" s="4">
        <f t="shared" si="5"/>
        <v>40.199999999999996</v>
      </c>
      <c r="G80" s="4">
        <v>73.98</v>
      </c>
      <c r="H80" s="4">
        <f t="shared" si="6"/>
        <v>29.59</v>
      </c>
      <c r="I80" s="4">
        <f t="shared" si="7"/>
        <v>69.789999999999992</v>
      </c>
      <c r="J80" s="4"/>
    </row>
    <row r="81" spans="1:10" s="2" customFormat="1" ht="24" customHeight="1">
      <c r="A81" s="7">
        <v>79</v>
      </c>
      <c r="B81" s="1" t="s">
        <v>73</v>
      </c>
      <c r="C81" s="1" t="str">
        <f>"彭洁莹"</f>
        <v>彭洁莹</v>
      </c>
      <c r="D81" s="3">
        <v>1906021404</v>
      </c>
      <c r="E81" s="5">
        <v>66</v>
      </c>
      <c r="F81" s="4">
        <f t="shared" si="5"/>
        <v>39.6</v>
      </c>
      <c r="G81" s="4">
        <v>74.400000000000006</v>
      </c>
      <c r="H81" s="4">
        <f t="shared" si="6"/>
        <v>29.76</v>
      </c>
      <c r="I81" s="4">
        <f t="shared" si="7"/>
        <v>69.36</v>
      </c>
      <c r="J81" s="4"/>
    </row>
    <row r="82" spans="1:10" s="2" customFormat="1" ht="24" customHeight="1">
      <c r="A82" s="7">
        <v>80</v>
      </c>
      <c r="B82" s="1" t="s">
        <v>73</v>
      </c>
      <c r="C82" s="1" t="str">
        <f>"丁睿颖"</f>
        <v>丁睿颖</v>
      </c>
      <c r="D82" s="3">
        <v>1906021312</v>
      </c>
      <c r="E82" s="5">
        <v>62.75</v>
      </c>
      <c r="F82" s="4">
        <f t="shared" si="5"/>
        <v>37.65</v>
      </c>
      <c r="G82" s="4">
        <v>78</v>
      </c>
      <c r="H82" s="4">
        <f t="shared" si="6"/>
        <v>31.2</v>
      </c>
      <c r="I82" s="4">
        <f t="shared" si="7"/>
        <v>68.849999999999994</v>
      </c>
      <c r="J82" s="4"/>
    </row>
    <row r="83" spans="1:10" s="2" customFormat="1" ht="24" customHeight="1">
      <c r="A83" s="7">
        <v>81</v>
      </c>
      <c r="B83" s="1" t="s">
        <v>73</v>
      </c>
      <c r="C83" s="1" t="str">
        <f>"罗晶"</f>
        <v>罗晶</v>
      </c>
      <c r="D83" s="3">
        <v>1906021419</v>
      </c>
      <c r="E83" s="5">
        <v>63.5</v>
      </c>
      <c r="F83" s="4">
        <f t="shared" si="5"/>
        <v>38.1</v>
      </c>
      <c r="G83" s="4">
        <v>76.400000000000006</v>
      </c>
      <c r="H83" s="4">
        <f t="shared" si="6"/>
        <v>30.56</v>
      </c>
      <c r="I83" s="4">
        <f t="shared" si="7"/>
        <v>68.66</v>
      </c>
      <c r="J83" s="4"/>
    </row>
    <row r="84" spans="1:10" s="2" customFormat="1" ht="24" customHeight="1">
      <c r="A84" s="7">
        <v>82</v>
      </c>
      <c r="B84" s="1" t="s">
        <v>73</v>
      </c>
      <c r="C84" s="1" t="str">
        <f>"谭沅洪"</f>
        <v>谭沅洪</v>
      </c>
      <c r="D84" s="3">
        <v>1906021314</v>
      </c>
      <c r="E84" s="5">
        <v>63.25</v>
      </c>
      <c r="F84" s="4">
        <f t="shared" si="5"/>
        <v>37.949999999999996</v>
      </c>
      <c r="G84" s="4">
        <v>76.260000000000005</v>
      </c>
      <c r="H84" s="4">
        <f t="shared" si="6"/>
        <v>30.5</v>
      </c>
      <c r="I84" s="4">
        <f t="shared" si="7"/>
        <v>68.449999999999989</v>
      </c>
      <c r="J84" s="4"/>
    </row>
    <row r="85" spans="1:10" s="2" customFormat="1" ht="24" customHeight="1">
      <c r="A85" s="7">
        <v>83</v>
      </c>
      <c r="B85" s="1" t="s">
        <v>73</v>
      </c>
      <c r="C85" s="1" t="str">
        <f>"廖静"</f>
        <v>廖静</v>
      </c>
      <c r="D85" s="3">
        <v>1906021524</v>
      </c>
      <c r="E85" s="5">
        <v>63.5</v>
      </c>
      <c r="F85" s="4">
        <f t="shared" si="5"/>
        <v>38.1</v>
      </c>
      <c r="G85" s="4">
        <v>75.599999999999994</v>
      </c>
      <c r="H85" s="4">
        <f t="shared" si="6"/>
        <v>30.24</v>
      </c>
      <c r="I85" s="4">
        <f t="shared" si="7"/>
        <v>68.34</v>
      </c>
      <c r="J85" s="4"/>
    </row>
    <row r="86" spans="1:10" s="2" customFormat="1" ht="24" customHeight="1">
      <c r="A86" s="7">
        <v>84</v>
      </c>
      <c r="B86" s="1" t="s">
        <v>73</v>
      </c>
      <c r="C86" s="1" t="str">
        <f>"段嘉颖"</f>
        <v>段嘉颖</v>
      </c>
      <c r="D86" s="3">
        <v>1906021311</v>
      </c>
      <c r="E86" s="5">
        <v>63.5</v>
      </c>
      <c r="F86" s="4">
        <f t="shared" si="5"/>
        <v>38.1</v>
      </c>
      <c r="G86" s="4">
        <v>75.400000000000006</v>
      </c>
      <c r="H86" s="4">
        <f t="shared" si="6"/>
        <v>30.16</v>
      </c>
      <c r="I86" s="4">
        <f t="shared" si="7"/>
        <v>68.260000000000005</v>
      </c>
      <c r="J86" s="4"/>
    </row>
    <row r="87" spans="1:10" s="2" customFormat="1" ht="24" customHeight="1">
      <c r="A87" s="7">
        <v>85</v>
      </c>
      <c r="B87" s="1" t="s">
        <v>73</v>
      </c>
      <c r="C87" s="1" t="str">
        <f>"周青"</f>
        <v>周青</v>
      </c>
      <c r="D87" s="3">
        <v>1906021206</v>
      </c>
      <c r="E87" s="5">
        <v>64.75</v>
      </c>
      <c r="F87" s="4">
        <f t="shared" si="5"/>
        <v>38.85</v>
      </c>
      <c r="G87" s="4">
        <v>73.2</v>
      </c>
      <c r="H87" s="4">
        <f t="shared" si="6"/>
        <v>29.28</v>
      </c>
      <c r="I87" s="4">
        <f t="shared" si="7"/>
        <v>68.13</v>
      </c>
      <c r="J87" s="4"/>
    </row>
    <row r="88" spans="1:10" s="2" customFormat="1" ht="24" customHeight="1">
      <c r="A88" s="7">
        <v>86</v>
      </c>
      <c r="B88" s="1" t="s">
        <v>73</v>
      </c>
      <c r="C88" s="1" t="str">
        <f>"谭苡芝"</f>
        <v>谭苡芝</v>
      </c>
      <c r="D88" s="3">
        <v>1906021226</v>
      </c>
      <c r="E88" s="5">
        <v>64.75</v>
      </c>
      <c r="F88" s="4">
        <f t="shared" si="5"/>
        <v>38.85</v>
      </c>
      <c r="G88" s="4">
        <v>73.2</v>
      </c>
      <c r="H88" s="4">
        <f t="shared" si="6"/>
        <v>29.28</v>
      </c>
      <c r="I88" s="4">
        <f t="shared" si="7"/>
        <v>68.13</v>
      </c>
      <c r="J88" s="4"/>
    </row>
    <row r="89" spans="1:10" s="2" customFormat="1" ht="24" customHeight="1">
      <c r="A89" s="7">
        <v>87</v>
      </c>
      <c r="B89" s="1" t="s">
        <v>73</v>
      </c>
      <c r="C89" s="1" t="str">
        <f>"陈小梅"</f>
        <v>陈小梅</v>
      </c>
      <c r="D89" s="3">
        <v>1906021719</v>
      </c>
      <c r="E89" s="5">
        <v>64</v>
      </c>
      <c r="F89" s="4">
        <f t="shared" si="5"/>
        <v>38.4</v>
      </c>
      <c r="G89" s="4">
        <v>74.2</v>
      </c>
      <c r="H89" s="4">
        <f t="shared" si="6"/>
        <v>29.68</v>
      </c>
      <c r="I89" s="4">
        <f t="shared" si="7"/>
        <v>68.08</v>
      </c>
      <c r="J89" s="4"/>
    </row>
    <row r="90" spans="1:10" s="2" customFormat="1" ht="24" customHeight="1">
      <c r="A90" s="7">
        <v>88</v>
      </c>
      <c r="B90" s="1" t="s">
        <v>73</v>
      </c>
      <c r="C90" s="1" t="str">
        <f>"杨璐"</f>
        <v>杨璐</v>
      </c>
      <c r="D90" s="3">
        <v>1906021224</v>
      </c>
      <c r="E90" s="5">
        <v>64.75</v>
      </c>
      <c r="F90" s="4">
        <f t="shared" si="5"/>
        <v>38.85</v>
      </c>
      <c r="G90" s="4">
        <v>72.7</v>
      </c>
      <c r="H90" s="4">
        <f t="shared" si="6"/>
        <v>29.08</v>
      </c>
      <c r="I90" s="4">
        <f t="shared" si="7"/>
        <v>67.930000000000007</v>
      </c>
      <c r="J90" s="4"/>
    </row>
    <row r="91" spans="1:10" s="2" customFormat="1" ht="24" customHeight="1">
      <c r="A91" s="7">
        <v>89</v>
      </c>
      <c r="B91" s="1" t="s">
        <v>73</v>
      </c>
      <c r="C91" s="1" t="str">
        <f>"蔡智敏"</f>
        <v>蔡智敏</v>
      </c>
      <c r="D91" s="3">
        <v>1906021605</v>
      </c>
      <c r="E91" s="5">
        <v>62.75</v>
      </c>
      <c r="F91" s="4">
        <f t="shared" si="5"/>
        <v>37.65</v>
      </c>
      <c r="G91" s="4">
        <v>75.599999999999994</v>
      </c>
      <c r="H91" s="4">
        <f t="shared" si="6"/>
        <v>30.24</v>
      </c>
      <c r="I91" s="4">
        <f t="shared" si="7"/>
        <v>67.89</v>
      </c>
      <c r="J91" s="4"/>
    </row>
    <row r="92" spans="1:10" s="2" customFormat="1" ht="24" customHeight="1">
      <c r="A92" s="7">
        <v>90</v>
      </c>
      <c r="B92" s="1" t="s">
        <v>73</v>
      </c>
      <c r="C92" s="1" t="str">
        <f>"张丽"</f>
        <v>张丽</v>
      </c>
      <c r="D92" s="3">
        <v>1906021318</v>
      </c>
      <c r="E92" s="5">
        <v>63.25</v>
      </c>
      <c r="F92" s="4">
        <f t="shared" si="5"/>
        <v>37.949999999999996</v>
      </c>
      <c r="G92" s="4">
        <v>74.8</v>
      </c>
      <c r="H92" s="4">
        <f t="shared" si="6"/>
        <v>29.92</v>
      </c>
      <c r="I92" s="4">
        <f t="shared" si="7"/>
        <v>67.87</v>
      </c>
      <c r="J92" s="4"/>
    </row>
    <row r="93" spans="1:10" s="2" customFormat="1" ht="24" customHeight="1">
      <c r="A93" s="7">
        <v>91</v>
      </c>
      <c r="B93" s="1" t="s">
        <v>73</v>
      </c>
      <c r="C93" s="1" t="str">
        <f>"肖康美"</f>
        <v>肖康美</v>
      </c>
      <c r="D93" s="3">
        <v>1906021310</v>
      </c>
      <c r="E93" s="5">
        <v>64</v>
      </c>
      <c r="F93" s="4">
        <f t="shared" si="5"/>
        <v>38.4</v>
      </c>
      <c r="G93" s="4">
        <v>72.760000000000005</v>
      </c>
      <c r="H93" s="4">
        <f t="shared" si="6"/>
        <v>29.1</v>
      </c>
      <c r="I93" s="4">
        <f t="shared" si="7"/>
        <v>67.5</v>
      </c>
      <c r="J93" s="4"/>
    </row>
    <row r="94" spans="1:10" s="2" customFormat="1" ht="24" customHeight="1">
      <c r="A94" s="7">
        <v>92</v>
      </c>
      <c r="B94" s="1" t="s">
        <v>73</v>
      </c>
      <c r="C94" s="1" t="str">
        <f>"张倩"</f>
        <v>张倩</v>
      </c>
      <c r="D94" s="3">
        <v>1906021316</v>
      </c>
      <c r="E94" s="5">
        <v>63.75</v>
      </c>
      <c r="F94" s="4">
        <f t="shared" si="5"/>
        <v>38.25</v>
      </c>
      <c r="G94" s="4">
        <v>72.8</v>
      </c>
      <c r="H94" s="4">
        <f t="shared" si="6"/>
        <v>29.12</v>
      </c>
      <c r="I94" s="4">
        <f t="shared" si="7"/>
        <v>67.37</v>
      </c>
      <c r="J94" s="4"/>
    </row>
    <row r="95" spans="1:10" s="2" customFormat="1" ht="24" customHeight="1">
      <c r="A95" s="7">
        <v>93</v>
      </c>
      <c r="B95" s="1" t="s">
        <v>73</v>
      </c>
      <c r="C95" s="1" t="str">
        <f>"张惠敏"</f>
        <v>张惠敏</v>
      </c>
      <c r="D95" s="3">
        <v>1906021710</v>
      </c>
      <c r="E95" s="5">
        <v>62.75</v>
      </c>
      <c r="F95" s="4">
        <f t="shared" si="5"/>
        <v>37.65</v>
      </c>
      <c r="G95" s="4">
        <v>73.959999999999994</v>
      </c>
      <c r="H95" s="4">
        <f t="shared" si="6"/>
        <v>29.58</v>
      </c>
      <c r="I95" s="4">
        <f t="shared" si="7"/>
        <v>67.22999999999999</v>
      </c>
      <c r="J95" s="4"/>
    </row>
    <row r="96" spans="1:10" s="2" customFormat="1" ht="24" customHeight="1">
      <c r="A96" s="7">
        <v>94</v>
      </c>
      <c r="B96" s="1" t="s">
        <v>73</v>
      </c>
      <c r="C96" s="1" t="str">
        <f>"易嘉慧"</f>
        <v>易嘉慧</v>
      </c>
      <c r="D96" s="3">
        <v>1906021322</v>
      </c>
      <c r="E96" s="5">
        <v>63.5</v>
      </c>
      <c r="F96" s="4">
        <f t="shared" si="5"/>
        <v>38.1</v>
      </c>
      <c r="G96" s="4">
        <v>72.7</v>
      </c>
      <c r="H96" s="4">
        <f t="shared" si="6"/>
        <v>29.08</v>
      </c>
      <c r="I96" s="4">
        <f t="shared" si="7"/>
        <v>67.180000000000007</v>
      </c>
      <c r="J96" s="4"/>
    </row>
    <row r="97" spans="1:10" s="2" customFormat="1" ht="24" customHeight="1">
      <c r="A97" s="7">
        <v>95</v>
      </c>
      <c r="B97" s="1" t="s">
        <v>73</v>
      </c>
      <c r="C97" s="1" t="str">
        <f>"李书欢"</f>
        <v>李书欢</v>
      </c>
      <c r="D97" s="3">
        <v>1906021302</v>
      </c>
      <c r="E97" s="5">
        <v>62.25</v>
      </c>
      <c r="F97" s="4">
        <f t="shared" si="5"/>
        <v>37.35</v>
      </c>
      <c r="G97" s="4">
        <v>73.8</v>
      </c>
      <c r="H97" s="4">
        <f t="shared" si="6"/>
        <v>29.52</v>
      </c>
      <c r="I97" s="4">
        <f t="shared" si="7"/>
        <v>66.87</v>
      </c>
      <c r="J97" s="4"/>
    </row>
    <row r="98" spans="1:10" s="2" customFormat="1" ht="24" customHeight="1">
      <c r="A98" s="7">
        <v>96</v>
      </c>
      <c r="B98" s="1" t="s">
        <v>73</v>
      </c>
      <c r="C98" s="1" t="str">
        <f>"罗兴换"</f>
        <v>罗兴换</v>
      </c>
      <c r="D98" s="3">
        <v>1906021218</v>
      </c>
      <c r="E98" s="5">
        <v>62.5</v>
      </c>
      <c r="F98" s="4">
        <f t="shared" si="5"/>
        <v>37.5</v>
      </c>
      <c r="G98" s="4">
        <v>71.900000000000006</v>
      </c>
      <c r="H98" s="4">
        <f t="shared" si="6"/>
        <v>28.76</v>
      </c>
      <c r="I98" s="4">
        <f t="shared" si="7"/>
        <v>66.260000000000005</v>
      </c>
      <c r="J98" s="4"/>
    </row>
    <row r="99" spans="1:10" s="2" customFormat="1" ht="24" customHeight="1">
      <c r="A99" s="7">
        <v>97</v>
      </c>
      <c r="B99" s="1" t="s">
        <v>73</v>
      </c>
      <c r="C99" s="1" t="str">
        <f>"周依依"</f>
        <v>周依依</v>
      </c>
      <c r="D99" s="3">
        <v>1906021607</v>
      </c>
      <c r="E99" s="5">
        <v>65.25</v>
      </c>
      <c r="F99" s="4">
        <f t="shared" si="5"/>
        <v>39.15</v>
      </c>
      <c r="G99" s="4">
        <v>0</v>
      </c>
      <c r="H99" s="4">
        <f t="shared" si="6"/>
        <v>0</v>
      </c>
      <c r="I99" s="4">
        <f t="shared" si="7"/>
        <v>39.15</v>
      </c>
      <c r="J99" s="4" t="s">
        <v>5</v>
      </c>
    </row>
    <row r="100" spans="1:10" s="2" customFormat="1" ht="24" customHeight="1">
      <c r="A100" s="7">
        <v>98</v>
      </c>
      <c r="B100" s="1" t="s">
        <v>73</v>
      </c>
      <c r="C100" s="1" t="str">
        <f>"朱江"</f>
        <v>朱江</v>
      </c>
      <c r="D100" s="3">
        <v>1906021501</v>
      </c>
      <c r="E100" s="5">
        <v>65</v>
      </c>
      <c r="F100" s="4">
        <f t="shared" si="5"/>
        <v>39</v>
      </c>
      <c r="G100" s="4">
        <v>0</v>
      </c>
      <c r="H100" s="4">
        <f t="shared" si="6"/>
        <v>0</v>
      </c>
      <c r="I100" s="4">
        <f t="shared" si="7"/>
        <v>39</v>
      </c>
      <c r="J100" s="4" t="s">
        <v>5</v>
      </c>
    </row>
    <row r="101" spans="1:10" s="2" customFormat="1" ht="24" customHeight="1">
      <c r="A101" s="7">
        <v>99</v>
      </c>
      <c r="B101" s="1" t="s">
        <v>73</v>
      </c>
      <c r="C101" s="1" t="str">
        <f>"贺善平"</f>
        <v>贺善平</v>
      </c>
      <c r="D101" s="3">
        <v>1906021409</v>
      </c>
      <c r="E101" s="5">
        <v>62.25</v>
      </c>
      <c r="F101" s="4">
        <f t="shared" si="5"/>
        <v>37.35</v>
      </c>
      <c r="G101" s="4">
        <v>0</v>
      </c>
      <c r="H101" s="4">
        <f t="shared" si="6"/>
        <v>0</v>
      </c>
      <c r="I101" s="4">
        <f t="shared" si="7"/>
        <v>37.35</v>
      </c>
      <c r="J101" s="4" t="s">
        <v>5</v>
      </c>
    </row>
    <row r="102" spans="1:10" s="2" customFormat="1" ht="24" customHeight="1">
      <c r="A102" s="7">
        <v>100</v>
      </c>
      <c r="B102" s="1" t="s">
        <v>74</v>
      </c>
      <c r="C102" s="1" t="str">
        <f>"谭叶枫"</f>
        <v>谭叶枫</v>
      </c>
      <c r="D102" s="3">
        <v>1906022026</v>
      </c>
      <c r="E102" s="5">
        <v>69.75</v>
      </c>
      <c r="F102" s="4">
        <f t="shared" ref="F102:F165" si="8">E102*0.6</f>
        <v>41.85</v>
      </c>
      <c r="G102" s="4">
        <v>77.78</v>
      </c>
      <c r="H102" s="4">
        <f t="shared" ref="H102:H165" si="9">ROUND(G102*0.4,2)</f>
        <v>31.11</v>
      </c>
      <c r="I102" s="4">
        <f t="shared" ref="I102:I165" si="10">F102+H102</f>
        <v>72.960000000000008</v>
      </c>
      <c r="J102" s="4"/>
    </row>
    <row r="103" spans="1:10" s="2" customFormat="1" ht="24" customHeight="1">
      <c r="A103" s="7">
        <v>101</v>
      </c>
      <c r="B103" s="1" t="s">
        <v>74</v>
      </c>
      <c r="C103" s="1" t="str">
        <f>"邹甜甜"</f>
        <v>邹甜甜</v>
      </c>
      <c r="D103" s="3">
        <v>1906021903</v>
      </c>
      <c r="E103" s="5">
        <v>68.5</v>
      </c>
      <c r="F103" s="4">
        <f t="shared" si="8"/>
        <v>41.1</v>
      </c>
      <c r="G103" s="4">
        <v>78.14</v>
      </c>
      <c r="H103" s="4">
        <f t="shared" si="9"/>
        <v>31.26</v>
      </c>
      <c r="I103" s="4">
        <f t="shared" si="10"/>
        <v>72.36</v>
      </c>
      <c r="J103" s="4"/>
    </row>
    <row r="104" spans="1:10" s="2" customFormat="1" ht="24" customHeight="1">
      <c r="A104" s="7">
        <v>102</v>
      </c>
      <c r="B104" s="1" t="s">
        <v>74</v>
      </c>
      <c r="C104" s="1" t="str">
        <f>"贺婷婷"</f>
        <v>贺婷婷</v>
      </c>
      <c r="D104" s="3">
        <v>1906022112</v>
      </c>
      <c r="E104" s="5">
        <v>69</v>
      </c>
      <c r="F104" s="4">
        <f t="shared" si="8"/>
        <v>41.4</v>
      </c>
      <c r="G104" s="4">
        <v>76.52</v>
      </c>
      <c r="H104" s="4">
        <f t="shared" si="9"/>
        <v>30.61</v>
      </c>
      <c r="I104" s="4">
        <f t="shared" si="10"/>
        <v>72.009999999999991</v>
      </c>
      <c r="J104" s="4"/>
    </row>
    <row r="105" spans="1:10" s="2" customFormat="1" ht="24" customHeight="1">
      <c r="A105" s="7">
        <v>103</v>
      </c>
      <c r="B105" s="1" t="s">
        <v>74</v>
      </c>
      <c r="C105" s="1" t="str">
        <f>"周明瑶"</f>
        <v>周明瑶</v>
      </c>
      <c r="D105" s="3">
        <v>1906021912</v>
      </c>
      <c r="E105" s="5">
        <v>68</v>
      </c>
      <c r="F105" s="4">
        <f t="shared" si="8"/>
        <v>40.799999999999997</v>
      </c>
      <c r="G105" s="4">
        <v>77.86</v>
      </c>
      <c r="H105" s="4">
        <f t="shared" si="9"/>
        <v>31.14</v>
      </c>
      <c r="I105" s="4">
        <f t="shared" si="10"/>
        <v>71.94</v>
      </c>
      <c r="J105" s="4"/>
    </row>
    <row r="106" spans="1:10" s="2" customFormat="1" ht="24" customHeight="1">
      <c r="A106" s="7">
        <v>104</v>
      </c>
      <c r="B106" s="1" t="s">
        <v>74</v>
      </c>
      <c r="C106" s="1" t="str">
        <f>"周陈玲"</f>
        <v>周陈玲</v>
      </c>
      <c r="D106" s="3">
        <v>1906022004</v>
      </c>
      <c r="E106" s="5">
        <v>67.5</v>
      </c>
      <c r="F106" s="4">
        <f t="shared" si="8"/>
        <v>40.5</v>
      </c>
      <c r="G106" s="4">
        <v>77.92</v>
      </c>
      <c r="H106" s="4">
        <f t="shared" si="9"/>
        <v>31.17</v>
      </c>
      <c r="I106" s="4">
        <f t="shared" si="10"/>
        <v>71.67</v>
      </c>
      <c r="J106" s="4"/>
    </row>
    <row r="107" spans="1:10" s="2" customFormat="1" ht="24" customHeight="1">
      <c r="A107" s="7">
        <v>105</v>
      </c>
      <c r="B107" s="1" t="s">
        <v>74</v>
      </c>
      <c r="C107" s="1" t="str">
        <f>"谭怡彤"</f>
        <v>谭怡彤</v>
      </c>
      <c r="D107" s="3">
        <v>1906022217</v>
      </c>
      <c r="E107" s="5">
        <v>67.25</v>
      </c>
      <c r="F107" s="4">
        <f t="shared" si="8"/>
        <v>40.35</v>
      </c>
      <c r="G107" s="4">
        <v>77.64</v>
      </c>
      <c r="H107" s="4">
        <f t="shared" si="9"/>
        <v>31.06</v>
      </c>
      <c r="I107" s="4">
        <f t="shared" si="10"/>
        <v>71.41</v>
      </c>
      <c r="J107" s="4"/>
    </row>
    <row r="108" spans="1:10" s="2" customFormat="1" ht="24" customHeight="1">
      <c r="A108" s="7">
        <v>106</v>
      </c>
      <c r="B108" s="1" t="s">
        <v>74</v>
      </c>
      <c r="C108" s="1" t="str">
        <f>"刘康敏"</f>
        <v>刘康敏</v>
      </c>
      <c r="D108" s="3">
        <v>1906022327</v>
      </c>
      <c r="E108" s="5">
        <v>66.5</v>
      </c>
      <c r="F108" s="4">
        <f t="shared" si="8"/>
        <v>39.9</v>
      </c>
      <c r="G108" s="4">
        <v>78.400000000000006</v>
      </c>
      <c r="H108" s="4">
        <f t="shared" si="9"/>
        <v>31.36</v>
      </c>
      <c r="I108" s="4">
        <f t="shared" si="10"/>
        <v>71.259999999999991</v>
      </c>
      <c r="J108" s="4"/>
    </row>
    <row r="109" spans="1:10" s="2" customFormat="1" ht="24" customHeight="1">
      <c r="A109" s="7">
        <v>107</v>
      </c>
      <c r="B109" s="1" t="s">
        <v>74</v>
      </c>
      <c r="C109" s="1" t="str">
        <f>"曾群群"</f>
        <v>曾群群</v>
      </c>
      <c r="D109" s="3">
        <v>1906021925</v>
      </c>
      <c r="E109" s="5">
        <v>67.25</v>
      </c>
      <c r="F109" s="4">
        <f t="shared" si="8"/>
        <v>40.35</v>
      </c>
      <c r="G109" s="4">
        <v>76.8</v>
      </c>
      <c r="H109" s="4">
        <f t="shared" si="9"/>
        <v>30.72</v>
      </c>
      <c r="I109" s="4">
        <f t="shared" si="10"/>
        <v>71.069999999999993</v>
      </c>
      <c r="J109" s="4"/>
    </row>
    <row r="110" spans="1:10" s="2" customFormat="1" ht="24" customHeight="1">
      <c r="A110" s="7">
        <v>108</v>
      </c>
      <c r="B110" s="1" t="s">
        <v>74</v>
      </c>
      <c r="C110" s="1" t="str">
        <f>"谢雅婵"</f>
        <v>谢雅婵</v>
      </c>
      <c r="D110" s="3">
        <v>1906022022</v>
      </c>
      <c r="E110" s="5">
        <v>66.25</v>
      </c>
      <c r="F110" s="4">
        <f t="shared" si="8"/>
        <v>39.75</v>
      </c>
      <c r="G110" s="4">
        <v>77.66</v>
      </c>
      <c r="H110" s="4">
        <f t="shared" si="9"/>
        <v>31.06</v>
      </c>
      <c r="I110" s="4">
        <f t="shared" si="10"/>
        <v>70.81</v>
      </c>
      <c r="J110" s="4"/>
    </row>
    <row r="111" spans="1:10" s="2" customFormat="1" ht="24" customHeight="1">
      <c r="A111" s="7">
        <v>109</v>
      </c>
      <c r="B111" s="1" t="s">
        <v>74</v>
      </c>
      <c r="C111" s="1" t="str">
        <f>"谭利勤"</f>
        <v>谭利勤</v>
      </c>
      <c r="D111" s="3">
        <v>1906022029</v>
      </c>
      <c r="E111" s="5">
        <v>66.75</v>
      </c>
      <c r="F111" s="4">
        <f t="shared" si="8"/>
        <v>40.049999999999997</v>
      </c>
      <c r="G111" s="4">
        <v>76.34</v>
      </c>
      <c r="H111" s="4">
        <f t="shared" si="9"/>
        <v>30.54</v>
      </c>
      <c r="I111" s="4">
        <f t="shared" si="10"/>
        <v>70.59</v>
      </c>
      <c r="J111" s="4"/>
    </row>
    <row r="112" spans="1:10" s="2" customFormat="1" ht="24" customHeight="1">
      <c r="A112" s="7">
        <v>110</v>
      </c>
      <c r="B112" s="1" t="s">
        <v>74</v>
      </c>
      <c r="C112" s="1" t="str">
        <f>"薛蓓蓓"</f>
        <v>薛蓓蓓</v>
      </c>
      <c r="D112" s="3">
        <v>1906021907</v>
      </c>
      <c r="E112" s="5">
        <v>66</v>
      </c>
      <c r="F112" s="4">
        <f t="shared" si="8"/>
        <v>39.6</v>
      </c>
      <c r="G112" s="4">
        <v>76.72</v>
      </c>
      <c r="H112" s="4">
        <f t="shared" si="9"/>
        <v>30.69</v>
      </c>
      <c r="I112" s="4">
        <f t="shared" si="10"/>
        <v>70.290000000000006</v>
      </c>
      <c r="J112" s="4"/>
    </row>
    <row r="113" spans="1:10" s="2" customFormat="1" ht="24" customHeight="1">
      <c r="A113" s="7">
        <v>111</v>
      </c>
      <c r="B113" s="1" t="s">
        <v>74</v>
      </c>
      <c r="C113" s="1" t="str">
        <f>"陈欢"</f>
        <v>陈欢</v>
      </c>
      <c r="D113" s="3">
        <v>1906022012</v>
      </c>
      <c r="E113" s="5">
        <v>66</v>
      </c>
      <c r="F113" s="4">
        <f t="shared" si="8"/>
        <v>39.6</v>
      </c>
      <c r="G113" s="4">
        <v>75.8</v>
      </c>
      <c r="H113" s="4">
        <f t="shared" si="9"/>
        <v>30.32</v>
      </c>
      <c r="I113" s="4">
        <f t="shared" si="10"/>
        <v>69.92</v>
      </c>
      <c r="J113" s="4"/>
    </row>
    <row r="114" spans="1:10" s="2" customFormat="1" ht="24" customHeight="1">
      <c r="A114" s="7">
        <v>112</v>
      </c>
      <c r="B114" s="1" t="s">
        <v>74</v>
      </c>
      <c r="C114" s="1" t="str">
        <f>"陈匡澍昕"</f>
        <v>陈匡澍昕</v>
      </c>
      <c r="D114" s="3">
        <v>1906022106</v>
      </c>
      <c r="E114" s="5">
        <v>64.75</v>
      </c>
      <c r="F114" s="4">
        <f t="shared" si="8"/>
        <v>38.85</v>
      </c>
      <c r="G114" s="4">
        <v>77.66</v>
      </c>
      <c r="H114" s="4">
        <f t="shared" si="9"/>
        <v>31.06</v>
      </c>
      <c r="I114" s="4">
        <f t="shared" si="10"/>
        <v>69.91</v>
      </c>
      <c r="J114" s="4"/>
    </row>
    <row r="115" spans="1:10" s="2" customFormat="1" ht="24" customHeight="1">
      <c r="A115" s="7">
        <v>113</v>
      </c>
      <c r="B115" s="1" t="s">
        <v>74</v>
      </c>
      <c r="C115" s="1" t="str">
        <f>"唐亚勤"</f>
        <v>唐亚勤</v>
      </c>
      <c r="D115" s="3">
        <v>1906022206</v>
      </c>
      <c r="E115" s="5">
        <v>64.5</v>
      </c>
      <c r="F115" s="4">
        <f t="shared" si="8"/>
        <v>38.699999999999996</v>
      </c>
      <c r="G115" s="4">
        <v>77.94</v>
      </c>
      <c r="H115" s="4">
        <f t="shared" si="9"/>
        <v>31.18</v>
      </c>
      <c r="I115" s="4">
        <f t="shared" si="10"/>
        <v>69.88</v>
      </c>
      <c r="J115" s="4"/>
    </row>
    <row r="116" spans="1:10" s="2" customFormat="1" ht="24" customHeight="1">
      <c r="A116" s="7">
        <v>114</v>
      </c>
      <c r="B116" s="1" t="s">
        <v>74</v>
      </c>
      <c r="C116" s="1" t="str">
        <f>"陈强芳"</f>
        <v>陈强芳</v>
      </c>
      <c r="D116" s="3">
        <v>1906022101</v>
      </c>
      <c r="E116" s="5">
        <v>66.75</v>
      </c>
      <c r="F116" s="4">
        <f t="shared" si="8"/>
        <v>40.049999999999997</v>
      </c>
      <c r="G116" s="4">
        <v>74.260000000000005</v>
      </c>
      <c r="H116" s="4">
        <f t="shared" si="9"/>
        <v>29.7</v>
      </c>
      <c r="I116" s="4">
        <f t="shared" si="10"/>
        <v>69.75</v>
      </c>
      <c r="J116" s="4"/>
    </row>
    <row r="117" spans="1:10" s="2" customFormat="1" ht="24" customHeight="1">
      <c r="A117" s="7">
        <v>115</v>
      </c>
      <c r="B117" s="1" t="s">
        <v>74</v>
      </c>
      <c r="C117" s="1" t="str">
        <f>"陈媚"</f>
        <v>陈媚</v>
      </c>
      <c r="D117" s="3">
        <v>1906021906</v>
      </c>
      <c r="E117" s="5">
        <v>65.5</v>
      </c>
      <c r="F117" s="4">
        <f t="shared" si="8"/>
        <v>39.299999999999997</v>
      </c>
      <c r="G117" s="4">
        <v>76.12</v>
      </c>
      <c r="H117" s="4">
        <f t="shared" si="9"/>
        <v>30.45</v>
      </c>
      <c r="I117" s="4">
        <f t="shared" si="10"/>
        <v>69.75</v>
      </c>
      <c r="J117" s="4"/>
    </row>
    <row r="118" spans="1:10" s="2" customFormat="1" ht="24" customHeight="1">
      <c r="A118" s="7">
        <v>116</v>
      </c>
      <c r="B118" s="1" t="s">
        <v>74</v>
      </c>
      <c r="C118" s="1" t="str">
        <f>"颜亮祖"</f>
        <v>颜亮祖</v>
      </c>
      <c r="D118" s="3">
        <v>1906022008</v>
      </c>
      <c r="E118" s="5">
        <v>65.25</v>
      </c>
      <c r="F118" s="4">
        <f t="shared" si="8"/>
        <v>39.15</v>
      </c>
      <c r="G118" s="4">
        <v>76.5</v>
      </c>
      <c r="H118" s="4">
        <f t="shared" si="9"/>
        <v>30.6</v>
      </c>
      <c r="I118" s="4">
        <f t="shared" si="10"/>
        <v>69.75</v>
      </c>
      <c r="J118" s="4"/>
    </row>
    <row r="119" spans="1:10" s="2" customFormat="1" ht="24" customHeight="1">
      <c r="A119" s="7">
        <v>117</v>
      </c>
      <c r="B119" s="1" t="s">
        <v>74</v>
      </c>
      <c r="C119" s="1" t="str">
        <f>"刘洣琴"</f>
        <v>刘洣琴</v>
      </c>
      <c r="D119" s="3">
        <v>1906022024</v>
      </c>
      <c r="E119" s="5">
        <v>65.5</v>
      </c>
      <c r="F119" s="4">
        <f t="shared" si="8"/>
        <v>39.299999999999997</v>
      </c>
      <c r="G119" s="4">
        <v>75.959999999999994</v>
      </c>
      <c r="H119" s="4">
        <f t="shared" si="9"/>
        <v>30.38</v>
      </c>
      <c r="I119" s="4">
        <f t="shared" si="10"/>
        <v>69.679999999999993</v>
      </c>
      <c r="J119" s="4"/>
    </row>
    <row r="120" spans="1:10" s="2" customFormat="1" ht="24" customHeight="1">
      <c r="A120" s="7">
        <v>118</v>
      </c>
      <c r="B120" s="1" t="s">
        <v>74</v>
      </c>
      <c r="C120" s="1" t="str">
        <f>"段宇霞"</f>
        <v>段宇霞</v>
      </c>
      <c r="D120" s="3">
        <v>1906021927</v>
      </c>
      <c r="E120" s="5">
        <v>66</v>
      </c>
      <c r="F120" s="4">
        <f t="shared" si="8"/>
        <v>39.6</v>
      </c>
      <c r="G120" s="4">
        <v>75.08</v>
      </c>
      <c r="H120" s="4">
        <f t="shared" si="9"/>
        <v>30.03</v>
      </c>
      <c r="I120" s="4">
        <f t="shared" si="10"/>
        <v>69.63</v>
      </c>
      <c r="J120" s="4"/>
    </row>
    <row r="121" spans="1:10" s="2" customFormat="1" ht="24" customHeight="1">
      <c r="A121" s="7">
        <v>119</v>
      </c>
      <c r="B121" s="1" t="s">
        <v>74</v>
      </c>
      <c r="C121" s="1" t="str">
        <f>"周珣"</f>
        <v>周珣</v>
      </c>
      <c r="D121" s="3">
        <v>1906021922</v>
      </c>
      <c r="E121" s="5">
        <v>65.75</v>
      </c>
      <c r="F121" s="4">
        <f t="shared" si="8"/>
        <v>39.449999999999996</v>
      </c>
      <c r="G121" s="4">
        <v>75.42</v>
      </c>
      <c r="H121" s="4">
        <f t="shared" si="9"/>
        <v>30.17</v>
      </c>
      <c r="I121" s="4">
        <f t="shared" si="10"/>
        <v>69.62</v>
      </c>
      <c r="J121" s="4"/>
    </row>
    <row r="122" spans="1:10" s="2" customFormat="1" ht="24" customHeight="1">
      <c r="A122" s="7">
        <v>120</v>
      </c>
      <c r="B122" s="1" t="s">
        <v>74</v>
      </c>
      <c r="C122" s="1" t="str">
        <f>"谭露曦"</f>
        <v>谭露曦</v>
      </c>
      <c r="D122" s="3">
        <v>1906022329</v>
      </c>
      <c r="E122" s="5">
        <v>64.5</v>
      </c>
      <c r="F122" s="4">
        <f t="shared" si="8"/>
        <v>38.699999999999996</v>
      </c>
      <c r="G122" s="4">
        <v>77.28</v>
      </c>
      <c r="H122" s="4">
        <f t="shared" si="9"/>
        <v>30.91</v>
      </c>
      <c r="I122" s="4">
        <f t="shared" si="10"/>
        <v>69.61</v>
      </c>
      <c r="J122" s="4"/>
    </row>
    <row r="123" spans="1:10" s="2" customFormat="1" ht="24" customHeight="1">
      <c r="A123" s="7">
        <v>121</v>
      </c>
      <c r="B123" s="1" t="s">
        <v>74</v>
      </c>
      <c r="C123" s="1" t="str">
        <f>"曾林君"</f>
        <v>曾林君</v>
      </c>
      <c r="D123" s="3">
        <v>1906022005</v>
      </c>
      <c r="E123" s="5">
        <v>65.5</v>
      </c>
      <c r="F123" s="4">
        <f t="shared" si="8"/>
        <v>39.299999999999997</v>
      </c>
      <c r="G123" s="4">
        <v>75.52</v>
      </c>
      <c r="H123" s="4">
        <f t="shared" si="9"/>
        <v>30.21</v>
      </c>
      <c r="I123" s="4">
        <f t="shared" si="10"/>
        <v>69.509999999999991</v>
      </c>
      <c r="J123" s="4"/>
    </row>
    <row r="124" spans="1:10" s="2" customFormat="1" ht="24" customHeight="1">
      <c r="A124" s="7">
        <v>122</v>
      </c>
      <c r="B124" s="1" t="s">
        <v>74</v>
      </c>
      <c r="C124" s="1" t="str">
        <f>"曾丹青"</f>
        <v>曾丹青</v>
      </c>
      <c r="D124" s="3">
        <v>1906021902</v>
      </c>
      <c r="E124" s="5">
        <v>65.25</v>
      </c>
      <c r="F124" s="4">
        <f t="shared" si="8"/>
        <v>39.15</v>
      </c>
      <c r="G124" s="4">
        <v>75.88</v>
      </c>
      <c r="H124" s="4">
        <f t="shared" si="9"/>
        <v>30.35</v>
      </c>
      <c r="I124" s="4">
        <f t="shared" si="10"/>
        <v>69.5</v>
      </c>
      <c r="J124" s="4"/>
    </row>
    <row r="125" spans="1:10" s="2" customFormat="1" ht="24" customHeight="1">
      <c r="A125" s="7">
        <v>123</v>
      </c>
      <c r="B125" s="1" t="s">
        <v>74</v>
      </c>
      <c r="C125" s="1" t="str">
        <f>"钟惠"</f>
        <v>钟惠</v>
      </c>
      <c r="D125" s="3">
        <v>1906021911</v>
      </c>
      <c r="E125" s="5">
        <v>65.75</v>
      </c>
      <c r="F125" s="4">
        <f t="shared" si="8"/>
        <v>39.449999999999996</v>
      </c>
      <c r="G125" s="4">
        <v>75.02</v>
      </c>
      <c r="H125" s="4">
        <f t="shared" si="9"/>
        <v>30.01</v>
      </c>
      <c r="I125" s="4">
        <f t="shared" si="10"/>
        <v>69.459999999999994</v>
      </c>
      <c r="J125" s="4"/>
    </row>
    <row r="126" spans="1:10" s="2" customFormat="1" ht="24" customHeight="1">
      <c r="A126" s="7">
        <v>124</v>
      </c>
      <c r="B126" s="1" t="s">
        <v>74</v>
      </c>
      <c r="C126" s="1" t="str">
        <f>"简佳丽"</f>
        <v>简佳丽</v>
      </c>
      <c r="D126" s="3">
        <v>1906022310</v>
      </c>
      <c r="E126" s="5">
        <v>65.5</v>
      </c>
      <c r="F126" s="4">
        <f t="shared" si="8"/>
        <v>39.299999999999997</v>
      </c>
      <c r="G126" s="4">
        <v>75.040000000000006</v>
      </c>
      <c r="H126" s="4">
        <f t="shared" si="9"/>
        <v>30.02</v>
      </c>
      <c r="I126" s="4">
        <f t="shared" si="10"/>
        <v>69.319999999999993</v>
      </c>
      <c r="J126" s="4"/>
    </row>
    <row r="127" spans="1:10" s="2" customFormat="1" ht="24" customHeight="1">
      <c r="A127" s="7">
        <v>125</v>
      </c>
      <c r="B127" s="1" t="s">
        <v>74</v>
      </c>
      <c r="C127" s="1" t="str">
        <f>"谭素"</f>
        <v>谭素</v>
      </c>
      <c r="D127" s="3">
        <v>1906021914</v>
      </c>
      <c r="E127" s="5">
        <v>65</v>
      </c>
      <c r="F127" s="4">
        <f t="shared" si="8"/>
        <v>39</v>
      </c>
      <c r="G127" s="4">
        <v>75.58</v>
      </c>
      <c r="H127" s="4">
        <f t="shared" si="9"/>
        <v>30.23</v>
      </c>
      <c r="I127" s="4">
        <f t="shared" si="10"/>
        <v>69.23</v>
      </c>
      <c r="J127" s="4"/>
    </row>
    <row r="128" spans="1:10" s="2" customFormat="1" ht="24" customHeight="1">
      <c r="A128" s="7">
        <v>126</v>
      </c>
      <c r="B128" s="1" t="s">
        <v>74</v>
      </c>
      <c r="C128" s="1" t="str">
        <f>"谭小美"</f>
        <v>谭小美</v>
      </c>
      <c r="D128" s="3">
        <v>1906022209</v>
      </c>
      <c r="E128" s="5">
        <v>65.5</v>
      </c>
      <c r="F128" s="4">
        <f t="shared" si="8"/>
        <v>39.299999999999997</v>
      </c>
      <c r="G128" s="4">
        <v>74.819999999999993</v>
      </c>
      <c r="H128" s="4">
        <f t="shared" si="9"/>
        <v>29.93</v>
      </c>
      <c r="I128" s="4">
        <f t="shared" si="10"/>
        <v>69.22999999999999</v>
      </c>
      <c r="J128" s="4"/>
    </row>
    <row r="129" spans="1:10" s="2" customFormat="1" ht="24" customHeight="1">
      <c r="A129" s="7">
        <v>127</v>
      </c>
      <c r="B129" s="1" t="s">
        <v>74</v>
      </c>
      <c r="C129" s="1" t="str">
        <f>"黄笑寒"</f>
        <v>黄笑寒</v>
      </c>
      <c r="D129" s="3">
        <v>1906022110</v>
      </c>
      <c r="E129" s="5">
        <v>63.75</v>
      </c>
      <c r="F129" s="4">
        <f t="shared" si="8"/>
        <v>38.25</v>
      </c>
      <c r="G129" s="4">
        <v>77.42</v>
      </c>
      <c r="H129" s="4">
        <f t="shared" si="9"/>
        <v>30.97</v>
      </c>
      <c r="I129" s="4">
        <f t="shared" si="10"/>
        <v>69.22</v>
      </c>
      <c r="J129" s="4"/>
    </row>
    <row r="130" spans="1:10" s="2" customFormat="1" ht="24" customHeight="1">
      <c r="A130" s="7">
        <v>128</v>
      </c>
      <c r="B130" s="1" t="s">
        <v>74</v>
      </c>
      <c r="C130" s="1" t="str">
        <f>"谭钰洁"</f>
        <v>谭钰洁</v>
      </c>
      <c r="D130" s="3">
        <v>1906021923</v>
      </c>
      <c r="E130" s="5">
        <v>64</v>
      </c>
      <c r="F130" s="4">
        <f t="shared" si="8"/>
        <v>38.4</v>
      </c>
      <c r="G130" s="4">
        <v>77</v>
      </c>
      <c r="H130" s="4">
        <f t="shared" si="9"/>
        <v>30.8</v>
      </c>
      <c r="I130" s="4">
        <f t="shared" si="10"/>
        <v>69.2</v>
      </c>
      <c r="J130" s="4"/>
    </row>
    <row r="131" spans="1:10" s="2" customFormat="1" ht="24" customHeight="1">
      <c r="A131" s="7">
        <v>129</v>
      </c>
      <c r="B131" s="1" t="s">
        <v>74</v>
      </c>
      <c r="C131" s="1" t="str">
        <f>"王文美"</f>
        <v>王文美</v>
      </c>
      <c r="D131" s="3">
        <v>1906021921</v>
      </c>
      <c r="E131" s="5">
        <v>64</v>
      </c>
      <c r="F131" s="4">
        <f t="shared" si="8"/>
        <v>38.4</v>
      </c>
      <c r="G131" s="4">
        <v>76.760000000000005</v>
      </c>
      <c r="H131" s="4">
        <f t="shared" si="9"/>
        <v>30.7</v>
      </c>
      <c r="I131" s="4">
        <f t="shared" si="10"/>
        <v>69.099999999999994</v>
      </c>
      <c r="J131" s="4"/>
    </row>
    <row r="132" spans="1:10" s="2" customFormat="1" ht="24" customHeight="1">
      <c r="A132" s="7">
        <v>130</v>
      </c>
      <c r="B132" s="1" t="s">
        <v>74</v>
      </c>
      <c r="C132" s="1" t="str">
        <f>"谭李清"</f>
        <v>谭李清</v>
      </c>
      <c r="D132" s="3">
        <v>1906022102</v>
      </c>
      <c r="E132" s="5">
        <v>65</v>
      </c>
      <c r="F132" s="4">
        <f t="shared" si="8"/>
        <v>39</v>
      </c>
      <c r="G132" s="4">
        <v>75.02</v>
      </c>
      <c r="H132" s="4">
        <f t="shared" si="9"/>
        <v>30.01</v>
      </c>
      <c r="I132" s="4">
        <f t="shared" si="10"/>
        <v>69.010000000000005</v>
      </c>
      <c r="J132" s="4"/>
    </row>
    <row r="133" spans="1:10" s="2" customFormat="1" ht="24" customHeight="1">
      <c r="A133" s="7">
        <v>131</v>
      </c>
      <c r="B133" s="1" t="s">
        <v>74</v>
      </c>
      <c r="C133" s="1" t="str">
        <f>"龙霞"</f>
        <v>龙霞</v>
      </c>
      <c r="D133" s="3">
        <v>1906022220</v>
      </c>
      <c r="E133" s="5">
        <v>63.75</v>
      </c>
      <c r="F133" s="4">
        <f t="shared" si="8"/>
        <v>38.25</v>
      </c>
      <c r="G133" s="4">
        <v>76.739999999999995</v>
      </c>
      <c r="H133" s="4">
        <f t="shared" si="9"/>
        <v>30.7</v>
      </c>
      <c r="I133" s="4">
        <f t="shared" si="10"/>
        <v>68.95</v>
      </c>
      <c r="J133" s="4"/>
    </row>
    <row r="134" spans="1:10" s="2" customFormat="1" ht="24" customHeight="1">
      <c r="A134" s="7">
        <v>132</v>
      </c>
      <c r="B134" s="1" t="s">
        <v>74</v>
      </c>
      <c r="C134" s="1" t="str">
        <f>"谭芳"</f>
        <v>谭芳</v>
      </c>
      <c r="D134" s="3">
        <v>1906021926</v>
      </c>
      <c r="E134" s="5">
        <v>62.75</v>
      </c>
      <c r="F134" s="4">
        <f t="shared" si="8"/>
        <v>37.65</v>
      </c>
      <c r="G134" s="4">
        <v>78.08</v>
      </c>
      <c r="H134" s="4">
        <f t="shared" si="9"/>
        <v>31.23</v>
      </c>
      <c r="I134" s="4">
        <f t="shared" si="10"/>
        <v>68.88</v>
      </c>
      <c r="J134" s="4"/>
    </row>
    <row r="135" spans="1:10" s="2" customFormat="1" ht="24" customHeight="1">
      <c r="A135" s="7">
        <v>133</v>
      </c>
      <c r="B135" s="1" t="s">
        <v>74</v>
      </c>
      <c r="C135" s="1" t="str">
        <f>"阳画画"</f>
        <v>阳画画</v>
      </c>
      <c r="D135" s="3">
        <v>1906022301</v>
      </c>
      <c r="E135" s="5">
        <v>63.25</v>
      </c>
      <c r="F135" s="4">
        <f t="shared" si="8"/>
        <v>37.949999999999996</v>
      </c>
      <c r="G135" s="4">
        <v>77.239999999999995</v>
      </c>
      <c r="H135" s="4">
        <f t="shared" si="9"/>
        <v>30.9</v>
      </c>
      <c r="I135" s="4">
        <f t="shared" si="10"/>
        <v>68.849999999999994</v>
      </c>
      <c r="J135" s="4"/>
    </row>
    <row r="136" spans="1:10" s="2" customFormat="1" ht="24" customHeight="1">
      <c r="A136" s="7">
        <v>134</v>
      </c>
      <c r="B136" s="1" t="s">
        <v>74</v>
      </c>
      <c r="C136" s="1" t="str">
        <f>"朱奇玉"</f>
        <v>朱奇玉</v>
      </c>
      <c r="D136" s="3">
        <v>1906022229</v>
      </c>
      <c r="E136" s="5">
        <v>62.5</v>
      </c>
      <c r="F136" s="4">
        <f t="shared" si="8"/>
        <v>37.5</v>
      </c>
      <c r="G136" s="4">
        <v>77.12</v>
      </c>
      <c r="H136" s="4">
        <f t="shared" si="9"/>
        <v>30.85</v>
      </c>
      <c r="I136" s="4">
        <f t="shared" si="10"/>
        <v>68.349999999999994</v>
      </c>
      <c r="J136" s="4"/>
    </row>
    <row r="137" spans="1:10" s="2" customFormat="1" ht="24" customHeight="1">
      <c r="A137" s="7">
        <v>135</v>
      </c>
      <c r="B137" s="1" t="s">
        <v>74</v>
      </c>
      <c r="C137" s="1" t="str">
        <f>"陈静红"</f>
        <v>陈静红</v>
      </c>
      <c r="D137" s="3">
        <v>1906022108</v>
      </c>
      <c r="E137" s="5">
        <v>63.5</v>
      </c>
      <c r="F137" s="4">
        <f t="shared" si="8"/>
        <v>38.1</v>
      </c>
      <c r="G137" s="4">
        <v>75.540000000000006</v>
      </c>
      <c r="H137" s="4">
        <f t="shared" si="9"/>
        <v>30.22</v>
      </c>
      <c r="I137" s="4">
        <f t="shared" si="10"/>
        <v>68.319999999999993</v>
      </c>
      <c r="J137" s="4"/>
    </row>
    <row r="138" spans="1:10" s="2" customFormat="1" ht="24" customHeight="1">
      <c r="A138" s="7">
        <v>136</v>
      </c>
      <c r="B138" s="1" t="s">
        <v>74</v>
      </c>
      <c r="C138" s="1" t="str">
        <f>"龙莎莎"</f>
        <v>龙莎莎</v>
      </c>
      <c r="D138" s="3">
        <v>1906022325</v>
      </c>
      <c r="E138" s="5">
        <v>62.75</v>
      </c>
      <c r="F138" s="4">
        <f t="shared" si="8"/>
        <v>37.65</v>
      </c>
      <c r="G138" s="4">
        <v>76.47</v>
      </c>
      <c r="H138" s="4">
        <f t="shared" si="9"/>
        <v>30.59</v>
      </c>
      <c r="I138" s="4">
        <f t="shared" si="10"/>
        <v>68.239999999999995</v>
      </c>
      <c r="J138" s="4"/>
    </row>
    <row r="139" spans="1:10" s="2" customFormat="1" ht="24" customHeight="1">
      <c r="A139" s="7">
        <v>137</v>
      </c>
      <c r="B139" s="1" t="s">
        <v>74</v>
      </c>
      <c r="C139" s="1" t="str">
        <f>"邹李萍"</f>
        <v>邹李萍</v>
      </c>
      <c r="D139" s="3">
        <v>1906022215</v>
      </c>
      <c r="E139" s="5">
        <v>61.75</v>
      </c>
      <c r="F139" s="4">
        <f t="shared" si="8"/>
        <v>37.049999999999997</v>
      </c>
      <c r="G139" s="4">
        <v>77.52</v>
      </c>
      <c r="H139" s="4">
        <f t="shared" si="9"/>
        <v>31.01</v>
      </c>
      <c r="I139" s="4">
        <f t="shared" si="10"/>
        <v>68.06</v>
      </c>
      <c r="J139" s="4"/>
    </row>
    <row r="140" spans="1:10" s="2" customFormat="1" ht="24" customHeight="1">
      <c r="A140" s="7">
        <v>138</v>
      </c>
      <c r="B140" s="1" t="s">
        <v>74</v>
      </c>
      <c r="C140" s="1" t="str">
        <f>"段陵陵"</f>
        <v>段陵陵</v>
      </c>
      <c r="D140" s="3">
        <v>1906022205</v>
      </c>
      <c r="E140" s="5">
        <v>63</v>
      </c>
      <c r="F140" s="4">
        <f t="shared" si="8"/>
        <v>37.799999999999997</v>
      </c>
      <c r="G140" s="4">
        <v>75.36</v>
      </c>
      <c r="H140" s="4">
        <f t="shared" si="9"/>
        <v>30.14</v>
      </c>
      <c r="I140" s="4">
        <f t="shared" si="10"/>
        <v>67.94</v>
      </c>
      <c r="J140" s="4"/>
    </row>
    <row r="141" spans="1:10" s="2" customFormat="1" ht="24" customHeight="1">
      <c r="A141" s="7">
        <v>139</v>
      </c>
      <c r="B141" s="1" t="s">
        <v>74</v>
      </c>
      <c r="C141" s="1" t="str">
        <f>"何协红"</f>
        <v>何协红</v>
      </c>
      <c r="D141" s="3">
        <v>1906021920</v>
      </c>
      <c r="E141" s="5">
        <v>62.75</v>
      </c>
      <c r="F141" s="4">
        <f t="shared" si="8"/>
        <v>37.65</v>
      </c>
      <c r="G141" s="4">
        <v>75.56</v>
      </c>
      <c r="H141" s="4">
        <f t="shared" si="9"/>
        <v>30.22</v>
      </c>
      <c r="I141" s="4">
        <f t="shared" si="10"/>
        <v>67.87</v>
      </c>
      <c r="J141" s="4"/>
    </row>
    <row r="142" spans="1:10" s="2" customFormat="1" ht="24" customHeight="1">
      <c r="A142" s="7">
        <v>140</v>
      </c>
      <c r="B142" s="1" t="s">
        <v>74</v>
      </c>
      <c r="C142" s="1" t="str">
        <f>"唐甜"</f>
        <v>唐甜</v>
      </c>
      <c r="D142" s="3">
        <v>1906022308</v>
      </c>
      <c r="E142" s="5">
        <v>61.75</v>
      </c>
      <c r="F142" s="4">
        <f t="shared" si="8"/>
        <v>37.049999999999997</v>
      </c>
      <c r="G142" s="4">
        <v>76.92</v>
      </c>
      <c r="H142" s="4">
        <f t="shared" si="9"/>
        <v>30.77</v>
      </c>
      <c r="I142" s="4">
        <f t="shared" si="10"/>
        <v>67.819999999999993</v>
      </c>
      <c r="J142" s="4"/>
    </row>
    <row r="143" spans="1:10" s="2" customFormat="1" ht="24" customHeight="1">
      <c r="A143" s="7">
        <v>141</v>
      </c>
      <c r="B143" s="1" t="s">
        <v>74</v>
      </c>
      <c r="C143" s="1" t="str">
        <f>"谭蓉蓉"</f>
        <v>谭蓉蓉</v>
      </c>
      <c r="D143" s="3">
        <v>1906022021</v>
      </c>
      <c r="E143" s="5">
        <v>62.5</v>
      </c>
      <c r="F143" s="4">
        <f t="shared" si="8"/>
        <v>37.5</v>
      </c>
      <c r="G143" s="4">
        <v>75.56</v>
      </c>
      <c r="H143" s="4">
        <f t="shared" si="9"/>
        <v>30.22</v>
      </c>
      <c r="I143" s="4">
        <f t="shared" si="10"/>
        <v>67.72</v>
      </c>
      <c r="J143" s="4"/>
    </row>
    <row r="144" spans="1:10" s="2" customFormat="1" ht="24" customHeight="1">
      <c r="A144" s="7">
        <v>142</v>
      </c>
      <c r="B144" s="1" t="s">
        <v>74</v>
      </c>
      <c r="C144" s="1" t="str">
        <f>"董园萍"</f>
        <v>董园萍</v>
      </c>
      <c r="D144" s="3">
        <v>1906022132</v>
      </c>
      <c r="E144" s="5">
        <v>63</v>
      </c>
      <c r="F144" s="4">
        <f t="shared" si="8"/>
        <v>37.799999999999997</v>
      </c>
      <c r="G144" s="4">
        <v>74.599999999999994</v>
      </c>
      <c r="H144" s="4">
        <f t="shared" si="9"/>
        <v>29.84</v>
      </c>
      <c r="I144" s="4">
        <f t="shared" si="10"/>
        <v>67.64</v>
      </c>
      <c r="J144" s="4"/>
    </row>
    <row r="145" spans="1:10" s="2" customFormat="1" ht="24" customHeight="1">
      <c r="A145" s="7">
        <v>143</v>
      </c>
      <c r="B145" s="1" t="s">
        <v>74</v>
      </c>
      <c r="C145" s="1" t="str">
        <f>"吉艳群"</f>
        <v>吉艳群</v>
      </c>
      <c r="D145" s="3">
        <v>1906022326</v>
      </c>
      <c r="E145" s="5">
        <v>62.75</v>
      </c>
      <c r="F145" s="4">
        <f t="shared" si="8"/>
        <v>37.65</v>
      </c>
      <c r="G145" s="4">
        <v>74.94</v>
      </c>
      <c r="H145" s="4">
        <f t="shared" si="9"/>
        <v>29.98</v>
      </c>
      <c r="I145" s="4">
        <f t="shared" si="10"/>
        <v>67.63</v>
      </c>
      <c r="J145" s="4"/>
    </row>
    <row r="146" spans="1:10" s="2" customFormat="1" ht="24" customHeight="1">
      <c r="A146" s="7">
        <v>144</v>
      </c>
      <c r="B146" s="1" t="s">
        <v>74</v>
      </c>
      <c r="C146" s="1" t="str">
        <f>"陈杉"</f>
        <v>陈杉</v>
      </c>
      <c r="D146" s="3">
        <v>1906022307</v>
      </c>
      <c r="E146" s="5">
        <v>61.5</v>
      </c>
      <c r="F146" s="4">
        <f t="shared" si="8"/>
        <v>36.9</v>
      </c>
      <c r="G146" s="4">
        <v>75.819999999999993</v>
      </c>
      <c r="H146" s="4">
        <f t="shared" si="9"/>
        <v>30.33</v>
      </c>
      <c r="I146" s="4">
        <f t="shared" si="10"/>
        <v>67.22999999999999</v>
      </c>
      <c r="J146" s="4"/>
    </row>
    <row r="147" spans="1:10" s="2" customFormat="1" ht="24" customHeight="1">
      <c r="A147" s="7">
        <v>145</v>
      </c>
      <c r="B147" s="1" t="s">
        <v>74</v>
      </c>
      <c r="C147" s="1" t="str">
        <f>"谭瑶"</f>
        <v>谭瑶</v>
      </c>
      <c r="D147" s="3">
        <v>1906022312</v>
      </c>
      <c r="E147" s="5">
        <v>61.25</v>
      </c>
      <c r="F147" s="4">
        <f t="shared" si="8"/>
        <v>36.75</v>
      </c>
      <c r="G147" s="4">
        <v>76.16</v>
      </c>
      <c r="H147" s="4">
        <f t="shared" si="9"/>
        <v>30.46</v>
      </c>
      <c r="I147" s="4">
        <f t="shared" si="10"/>
        <v>67.210000000000008</v>
      </c>
      <c r="J147" s="4"/>
    </row>
    <row r="148" spans="1:10" s="2" customFormat="1" ht="24" customHeight="1">
      <c r="A148" s="7">
        <v>146</v>
      </c>
      <c r="B148" s="1" t="s">
        <v>74</v>
      </c>
      <c r="C148" s="1" t="str">
        <f>"谭晓慧"</f>
        <v>谭晓慧</v>
      </c>
      <c r="D148" s="3">
        <v>1906021910</v>
      </c>
      <c r="E148" s="5">
        <v>61.25</v>
      </c>
      <c r="F148" s="4">
        <f t="shared" si="8"/>
        <v>36.75</v>
      </c>
      <c r="G148" s="4">
        <v>75.84</v>
      </c>
      <c r="H148" s="4">
        <f t="shared" si="9"/>
        <v>30.34</v>
      </c>
      <c r="I148" s="4">
        <f t="shared" si="10"/>
        <v>67.09</v>
      </c>
      <c r="J148" s="4"/>
    </row>
    <row r="149" spans="1:10" s="2" customFormat="1" ht="24" customHeight="1">
      <c r="A149" s="7">
        <v>147</v>
      </c>
      <c r="B149" s="1" t="s">
        <v>74</v>
      </c>
      <c r="C149" s="1" t="str">
        <f>"周智雅"</f>
        <v>周智雅</v>
      </c>
      <c r="D149" s="3">
        <v>1906022007</v>
      </c>
      <c r="E149" s="5">
        <v>61.75</v>
      </c>
      <c r="F149" s="4">
        <f t="shared" si="8"/>
        <v>37.049999999999997</v>
      </c>
      <c r="G149" s="4">
        <v>74.92</v>
      </c>
      <c r="H149" s="4">
        <f t="shared" si="9"/>
        <v>29.97</v>
      </c>
      <c r="I149" s="4">
        <f t="shared" si="10"/>
        <v>67.02</v>
      </c>
      <c r="J149" s="4"/>
    </row>
    <row r="150" spans="1:10" s="2" customFormat="1" ht="24" customHeight="1">
      <c r="A150" s="7">
        <v>148</v>
      </c>
      <c r="B150" s="1" t="s">
        <v>74</v>
      </c>
      <c r="C150" s="1" t="str">
        <f>"谭美琴"</f>
        <v>谭美琴</v>
      </c>
      <c r="D150" s="3">
        <v>1906022120</v>
      </c>
      <c r="E150" s="5">
        <v>61.5</v>
      </c>
      <c r="F150" s="4">
        <f t="shared" si="8"/>
        <v>36.9</v>
      </c>
      <c r="G150" s="4">
        <v>75.12</v>
      </c>
      <c r="H150" s="4">
        <f t="shared" si="9"/>
        <v>30.05</v>
      </c>
      <c r="I150" s="4">
        <f t="shared" si="10"/>
        <v>66.95</v>
      </c>
      <c r="J150" s="4"/>
    </row>
    <row r="151" spans="1:10" s="2" customFormat="1" ht="24" customHeight="1">
      <c r="A151" s="7">
        <v>149</v>
      </c>
      <c r="B151" s="1" t="s">
        <v>74</v>
      </c>
      <c r="C151" s="1" t="str">
        <f>"尹晓勤"</f>
        <v>尹晓勤</v>
      </c>
      <c r="D151" s="3">
        <v>1906022015</v>
      </c>
      <c r="E151" s="5">
        <v>62</v>
      </c>
      <c r="F151" s="4">
        <f t="shared" si="8"/>
        <v>37.199999999999996</v>
      </c>
      <c r="G151" s="4">
        <v>74.2</v>
      </c>
      <c r="H151" s="4">
        <f t="shared" si="9"/>
        <v>29.68</v>
      </c>
      <c r="I151" s="4">
        <f t="shared" si="10"/>
        <v>66.88</v>
      </c>
      <c r="J151" s="4"/>
    </row>
    <row r="152" spans="1:10" s="2" customFormat="1" ht="24" customHeight="1">
      <c r="A152" s="7">
        <v>150</v>
      </c>
      <c r="B152" s="1" t="s">
        <v>74</v>
      </c>
      <c r="C152" s="1" t="str">
        <f>"罗明敏"</f>
        <v>罗明敏</v>
      </c>
      <c r="D152" s="3">
        <v>1906022212</v>
      </c>
      <c r="E152" s="5">
        <v>61.25</v>
      </c>
      <c r="F152" s="4">
        <f t="shared" si="8"/>
        <v>36.75</v>
      </c>
      <c r="G152" s="4">
        <v>75.12</v>
      </c>
      <c r="H152" s="4">
        <f t="shared" si="9"/>
        <v>30.05</v>
      </c>
      <c r="I152" s="4">
        <f t="shared" si="10"/>
        <v>66.8</v>
      </c>
      <c r="J152" s="4"/>
    </row>
    <row r="153" spans="1:10" s="2" customFormat="1" ht="24" customHeight="1">
      <c r="A153" s="7">
        <v>151</v>
      </c>
      <c r="B153" s="1" t="s">
        <v>74</v>
      </c>
      <c r="C153" s="1" t="str">
        <f>"罗娟"</f>
        <v>罗娟</v>
      </c>
      <c r="D153" s="3">
        <v>1906022006</v>
      </c>
      <c r="E153" s="5">
        <v>61.25</v>
      </c>
      <c r="F153" s="4">
        <f t="shared" si="8"/>
        <v>36.75</v>
      </c>
      <c r="G153" s="4">
        <v>74.98</v>
      </c>
      <c r="H153" s="4">
        <f t="shared" si="9"/>
        <v>29.99</v>
      </c>
      <c r="I153" s="4">
        <f t="shared" si="10"/>
        <v>66.739999999999995</v>
      </c>
      <c r="J153" s="4"/>
    </row>
    <row r="154" spans="1:10" s="2" customFormat="1" ht="24" customHeight="1">
      <c r="A154" s="7">
        <v>152</v>
      </c>
      <c r="B154" s="1" t="s">
        <v>74</v>
      </c>
      <c r="C154" s="1" t="str">
        <f>"段艳红"</f>
        <v>段艳红</v>
      </c>
      <c r="D154" s="3">
        <v>1906022211</v>
      </c>
      <c r="E154" s="5">
        <v>63.75</v>
      </c>
      <c r="F154" s="4">
        <f t="shared" si="8"/>
        <v>38.25</v>
      </c>
      <c r="G154" s="4">
        <v>0</v>
      </c>
      <c r="H154" s="4">
        <f t="shared" si="9"/>
        <v>0</v>
      </c>
      <c r="I154" s="4">
        <f t="shared" si="10"/>
        <v>38.25</v>
      </c>
      <c r="J154" s="4" t="s">
        <v>5</v>
      </c>
    </row>
    <row r="155" spans="1:10" s="2" customFormat="1" ht="24" customHeight="1">
      <c r="A155" s="7">
        <v>153</v>
      </c>
      <c r="B155" s="1" t="s">
        <v>74</v>
      </c>
      <c r="C155" s="1" t="str">
        <f>"朱英"</f>
        <v>朱英</v>
      </c>
      <c r="D155" s="3">
        <v>1906022025</v>
      </c>
      <c r="E155" s="5">
        <v>63.5</v>
      </c>
      <c r="F155" s="4">
        <f t="shared" si="8"/>
        <v>38.1</v>
      </c>
      <c r="G155" s="4">
        <v>0</v>
      </c>
      <c r="H155" s="4">
        <f t="shared" si="9"/>
        <v>0</v>
      </c>
      <c r="I155" s="4">
        <f t="shared" si="10"/>
        <v>38.1</v>
      </c>
      <c r="J155" s="4" t="s">
        <v>5</v>
      </c>
    </row>
    <row r="156" spans="1:10" s="2" customFormat="1" ht="24" customHeight="1">
      <c r="A156" s="7">
        <v>154</v>
      </c>
      <c r="B156" s="1" t="s">
        <v>74</v>
      </c>
      <c r="C156" s="1" t="str">
        <f>"肖凡"</f>
        <v>肖凡</v>
      </c>
      <c r="D156" s="3">
        <v>1906022318</v>
      </c>
      <c r="E156" s="5">
        <v>63.25</v>
      </c>
      <c r="F156" s="4">
        <f t="shared" si="8"/>
        <v>37.949999999999996</v>
      </c>
      <c r="G156" s="4">
        <v>0</v>
      </c>
      <c r="H156" s="4">
        <f t="shared" si="9"/>
        <v>0</v>
      </c>
      <c r="I156" s="4">
        <f t="shared" si="10"/>
        <v>37.949999999999996</v>
      </c>
      <c r="J156" s="4" t="s">
        <v>5</v>
      </c>
    </row>
    <row r="157" spans="1:10" s="2" customFormat="1" ht="24" customHeight="1">
      <c r="A157" s="7">
        <v>155</v>
      </c>
      <c r="B157" s="1" t="s">
        <v>74</v>
      </c>
      <c r="C157" s="1" t="str">
        <f>"龙娟红"</f>
        <v>龙娟红</v>
      </c>
      <c r="D157" s="3">
        <v>1906021916</v>
      </c>
      <c r="E157" s="5">
        <v>62.25</v>
      </c>
      <c r="F157" s="4">
        <f t="shared" si="8"/>
        <v>37.35</v>
      </c>
      <c r="G157" s="4">
        <v>0</v>
      </c>
      <c r="H157" s="4">
        <f t="shared" si="9"/>
        <v>0</v>
      </c>
      <c r="I157" s="4">
        <f t="shared" si="10"/>
        <v>37.35</v>
      </c>
      <c r="J157" s="4"/>
    </row>
    <row r="158" spans="1:10" s="2" customFormat="1" ht="24" customHeight="1">
      <c r="A158" s="7">
        <v>156</v>
      </c>
      <c r="B158" s="1" t="s">
        <v>74</v>
      </c>
      <c r="C158" s="1" t="str">
        <f>"彭丽丹"</f>
        <v>彭丽丹</v>
      </c>
      <c r="D158" s="3">
        <v>1906022201</v>
      </c>
      <c r="E158" s="5">
        <v>61.5</v>
      </c>
      <c r="F158" s="4">
        <f t="shared" si="8"/>
        <v>36.9</v>
      </c>
      <c r="G158" s="4">
        <v>0</v>
      </c>
      <c r="H158" s="4">
        <f t="shared" si="9"/>
        <v>0</v>
      </c>
      <c r="I158" s="4">
        <f t="shared" si="10"/>
        <v>36.9</v>
      </c>
      <c r="J158" s="4" t="s">
        <v>5</v>
      </c>
    </row>
    <row r="159" spans="1:10" s="2" customFormat="1" ht="24" customHeight="1">
      <c r="A159" s="7">
        <v>157</v>
      </c>
      <c r="B159" s="1" t="s">
        <v>75</v>
      </c>
      <c r="C159" s="1" t="s">
        <v>13</v>
      </c>
      <c r="D159" s="3">
        <v>1906022507</v>
      </c>
      <c r="E159" s="5">
        <v>77.25</v>
      </c>
      <c r="F159" s="4">
        <f t="shared" si="8"/>
        <v>46.35</v>
      </c>
      <c r="G159" s="4">
        <v>79.2</v>
      </c>
      <c r="H159" s="4">
        <f t="shared" si="9"/>
        <v>31.68</v>
      </c>
      <c r="I159" s="4">
        <f t="shared" si="10"/>
        <v>78.03</v>
      </c>
      <c r="J159" s="4"/>
    </row>
    <row r="160" spans="1:10" s="2" customFormat="1" ht="24" customHeight="1">
      <c r="A160" s="7">
        <v>158</v>
      </c>
      <c r="B160" s="1" t="s">
        <v>75</v>
      </c>
      <c r="C160" s="1" t="s">
        <v>14</v>
      </c>
      <c r="D160" s="3">
        <v>1906022508</v>
      </c>
      <c r="E160" s="5">
        <v>73.25</v>
      </c>
      <c r="F160" s="4">
        <f t="shared" si="8"/>
        <v>43.949999999999996</v>
      </c>
      <c r="G160" s="4">
        <v>78.06</v>
      </c>
      <c r="H160" s="4">
        <f t="shared" si="9"/>
        <v>31.22</v>
      </c>
      <c r="I160" s="4">
        <f t="shared" si="10"/>
        <v>75.169999999999987</v>
      </c>
      <c r="J160" s="4"/>
    </row>
    <row r="161" spans="1:10" s="2" customFormat="1" ht="24" customHeight="1">
      <c r="A161" s="7">
        <v>159</v>
      </c>
      <c r="B161" s="1" t="s">
        <v>75</v>
      </c>
      <c r="C161" s="1" t="s">
        <v>16</v>
      </c>
      <c r="D161" s="3">
        <v>1906022715</v>
      </c>
      <c r="E161" s="5">
        <v>71.25</v>
      </c>
      <c r="F161" s="4">
        <f t="shared" si="8"/>
        <v>42.75</v>
      </c>
      <c r="G161" s="4">
        <v>78.3</v>
      </c>
      <c r="H161" s="4">
        <f t="shared" si="9"/>
        <v>31.32</v>
      </c>
      <c r="I161" s="4">
        <f t="shared" si="10"/>
        <v>74.069999999999993</v>
      </c>
      <c r="J161" s="4"/>
    </row>
    <row r="162" spans="1:10" s="2" customFormat="1" ht="24" customHeight="1">
      <c r="A162" s="7">
        <v>160</v>
      </c>
      <c r="B162" s="1" t="s">
        <v>75</v>
      </c>
      <c r="C162" s="1" t="s">
        <v>17</v>
      </c>
      <c r="D162" s="3">
        <v>1906022401</v>
      </c>
      <c r="E162" s="5">
        <v>69.75</v>
      </c>
      <c r="F162" s="4">
        <f t="shared" si="8"/>
        <v>41.85</v>
      </c>
      <c r="G162" s="4">
        <v>78.5</v>
      </c>
      <c r="H162" s="4">
        <f t="shared" si="9"/>
        <v>31.4</v>
      </c>
      <c r="I162" s="4">
        <f t="shared" si="10"/>
        <v>73.25</v>
      </c>
      <c r="J162" s="4"/>
    </row>
    <row r="163" spans="1:10" s="2" customFormat="1" ht="24" customHeight="1">
      <c r="A163" s="7">
        <v>161</v>
      </c>
      <c r="B163" s="1" t="s">
        <v>75</v>
      </c>
      <c r="C163" s="1" t="s">
        <v>18</v>
      </c>
      <c r="D163" s="3">
        <v>1906022603</v>
      </c>
      <c r="E163" s="5">
        <v>68.25</v>
      </c>
      <c r="F163" s="4">
        <f t="shared" si="8"/>
        <v>40.949999999999996</v>
      </c>
      <c r="G163" s="4">
        <v>79.88</v>
      </c>
      <c r="H163" s="4">
        <f t="shared" si="9"/>
        <v>31.95</v>
      </c>
      <c r="I163" s="4">
        <f t="shared" si="10"/>
        <v>72.899999999999991</v>
      </c>
      <c r="J163" s="4"/>
    </row>
    <row r="164" spans="1:10" s="2" customFormat="1" ht="24" customHeight="1">
      <c r="A164" s="7">
        <v>162</v>
      </c>
      <c r="B164" s="1" t="s">
        <v>75</v>
      </c>
      <c r="C164" s="1" t="s">
        <v>19</v>
      </c>
      <c r="D164" s="3">
        <v>1906022714</v>
      </c>
      <c r="E164" s="5">
        <v>68.25</v>
      </c>
      <c r="F164" s="4">
        <f t="shared" si="8"/>
        <v>40.949999999999996</v>
      </c>
      <c r="G164" s="4">
        <v>78.3</v>
      </c>
      <c r="H164" s="4">
        <f t="shared" si="9"/>
        <v>31.32</v>
      </c>
      <c r="I164" s="4">
        <f t="shared" si="10"/>
        <v>72.27</v>
      </c>
      <c r="J164" s="4"/>
    </row>
    <row r="165" spans="1:10" s="2" customFormat="1" ht="24" customHeight="1">
      <c r="A165" s="7">
        <v>163</v>
      </c>
      <c r="B165" s="1" t="s">
        <v>75</v>
      </c>
      <c r="C165" s="1" t="s">
        <v>21</v>
      </c>
      <c r="D165" s="3">
        <v>1906022418</v>
      </c>
      <c r="E165" s="5">
        <v>66</v>
      </c>
      <c r="F165" s="4">
        <f t="shared" si="8"/>
        <v>39.6</v>
      </c>
      <c r="G165" s="4">
        <v>78.36</v>
      </c>
      <c r="H165" s="4">
        <f t="shared" si="9"/>
        <v>31.34</v>
      </c>
      <c r="I165" s="4">
        <f t="shared" si="10"/>
        <v>70.94</v>
      </c>
      <c r="J165" s="4"/>
    </row>
    <row r="166" spans="1:10" s="2" customFormat="1" ht="24" customHeight="1">
      <c r="A166" s="7">
        <v>164</v>
      </c>
      <c r="B166" s="1" t="s">
        <v>75</v>
      </c>
      <c r="C166" s="1" t="s">
        <v>20</v>
      </c>
      <c r="D166" s="3">
        <v>1906022430</v>
      </c>
      <c r="E166" s="5">
        <v>66.5</v>
      </c>
      <c r="F166" s="4">
        <f t="shared" ref="F166:F229" si="11">E166*0.6</f>
        <v>39.9</v>
      </c>
      <c r="G166" s="4">
        <v>76.8</v>
      </c>
      <c r="H166" s="4">
        <f t="shared" ref="H166:H229" si="12">ROUND(G166*0.4,2)</f>
        <v>30.72</v>
      </c>
      <c r="I166" s="4">
        <f t="shared" ref="I166:I229" si="13">F166+H166</f>
        <v>70.62</v>
      </c>
      <c r="J166" s="4"/>
    </row>
    <row r="167" spans="1:10" s="2" customFormat="1" ht="24" customHeight="1">
      <c r="A167" s="7">
        <v>165</v>
      </c>
      <c r="B167" s="1" t="s">
        <v>75</v>
      </c>
      <c r="C167" s="1" t="s">
        <v>22</v>
      </c>
      <c r="D167" s="3">
        <v>1906022717</v>
      </c>
      <c r="E167" s="5">
        <v>65.25</v>
      </c>
      <c r="F167" s="4">
        <f t="shared" si="11"/>
        <v>39.15</v>
      </c>
      <c r="G167" s="4">
        <v>78.66</v>
      </c>
      <c r="H167" s="4">
        <f t="shared" si="12"/>
        <v>31.46</v>
      </c>
      <c r="I167" s="4">
        <f t="shared" si="13"/>
        <v>70.61</v>
      </c>
      <c r="J167" s="4"/>
    </row>
    <row r="168" spans="1:10" s="2" customFormat="1" ht="24" customHeight="1">
      <c r="A168" s="7">
        <v>166</v>
      </c>
      <c r="B168" s="1" t="s">
        <v>75</v>
      </c>
      <c r="C168" s="1" t="s">
        <v>24</v>
      </c>
      <c r="D168" s="3">
        <v>1906022512</v>
      </c>
      <c r="E168" s="5">
        <v>62.5</v>
      </c>
      <c r="F168" s="4">
        <f t="shared" si="11"/>
        <v>37.5</v>
      </c>
      <c r="G168" s="4">
        <v>78.64</v>
      </c>
      <c r="H168" s="4">
        <f t="shared" si="12"/>
        <v>31.46</v>
      </c>
      <c r="I168" s="4">
        <f t="shared" si="13"/>
        <v>68.960000000000008</v>
      </c>
      <c r="J168" s="4"/>
    </row>
    <row r="169" spans="1:10" s="2" customFormat="1" ht="24" customHeight="1">
      <c r="A169" s="7">
        <v>167</v>
      </c>
      <c r="B169" s="1" t="s">
        <v>75</v>
      </c>
      <c r="C169" s="1" t="s">
        <v>23</v>
      </c>
      <c r="D169" s="3">
        <v>1906022423</v>
      </c>
      <c r="E169" s="5">
        <v>63.75</v>
      </c>
      <c r="F169" s="4">
        <f t="shared" si="11"/>
        <v>38.25</v>
      </c>
      <c r="G169" s="4">
        <v>76.2</v>
      </c>
      <c r="H169" s="4">
        <f t="shared" si="12"/>
        <v>30.48</v>
      </c>
      <c r="I169" s="4">
        <f t="shared" si="13"/>
        <v>68.73</v>
      </c>
      <c r="J169" s="4"/>
    </row>
    <row r="170" spans="1:10" s="2" customFormat="1" ht="24" customHeight="1">
      <c r="A170" s="7">
        <v>168</v>
      </c>
      <c r="B170" s="1" t="s">
        <v>75</v>
      </c>
      <c r="C170" s="1" t="s">
        <v>25</v>
      </c>
      <c r="D170" s="3">
        <v>1906022517</v>
      </c>
      <c r="E170" s="5">
        <v>61.75</v>
      </c>
      <c r="F170" s="4">
        <f t="shared" si="11"/>
        <v>37.049999999999997</v>
      </c>
      <c r="G170" s="4">
        <v>78.56</v>
      </c>
      <c r="H170" s="4">
        <f t="shared" si="12"/>
        <v>31.42</v>
      </c>
      <c r="I170" s="4">
        <f t="shared" si="13"/>
        <v>68.47</v>
      </c>
      <c r="J170" s="4"/>
    </row>
    <row r="171" spans="1:10" s="2" customFormat="1" ht="24" customHeight="1">
      <c r="A171" s="7">
        <v>169</v>
      </c>
      <c r="B171" s="1" t="s">
        <v>75</v>
      </c>
      <c r="C171" s="1" t="s">
        <v>26</v>
      </c>
      <c r="D171" s="3">
        <v>1906022413</v>
      </c>
      <c r="E171" s="5">
        <v>61.25</v>
      </c>
      <c r="F171" s="4">
        <f t="shared" si="11"/>
        <v>36.75</v>
      </c>
      <c r="G171" s="4">
        <v>77.680000000000007</v>
      </c>
      <c r="H171" s="4">
        <f t="shared" si="12"/>
        <v>31.07</v>
      </c>
      <c r="I171" s="4">
        <f t="shared" si="13"/>
        <v>67.819999999999993</v>
      </c>
      <c r="J171" s="4"/>
    </row>
    <row r="172" spans="1:10" s="2" customFormat="1" ht="24" customHeight="1">
      <c r="A172" s="7">
        <v>170</v>
      </c>
      <c r="B172" s="1" t="s">
        <v>75</v>
      </c>
      <c r="C172" s="1" t="s">
        <v>28</v>
      </c>
      <c r="D172" s="3">
        <v>1906022712</v>
      </c>
      <c r="E172" s="5">
        <v>60.5</v>
      </c>
      <c r="F172" s="4">
        <f t="shared" si="11"/>
        <v>36.299999999999997</v>
      </c>
      <c r="G172" s="4">
        <v>78.599999999999994</v>
      </c>
      <c r="H172" s="4">
        <f t="shared" si="12"/>
        <v>31.44</v>
      </c>
      <c r="I172" s="4">
        <f t="shared" si="13"/>
        <v>67.739999999999995</v>
      </c>
      <c r="J172" s="4"/>
    </row>
    <row r="173" spans="1:10" s="2" customFormat="1" ht="24" customHeight="1">
      <c r="A173" s="7">
        <v>171</v>
      </c>
      <c r="B173" s="1" t="s">
        <v>75</v>
      </c>
      <c r="C173" s="1" t="s">
        <v>27</v>
      </c>
      <c r="D173" s="3">
        <v>1906022415</v>
      </c>
      <c r="E173" s="5">
        <v>60.75</v>
      </c>
      <c r="F173" s="4">
        <f t="shared" si="11"/>
        <v>36.449999999999996</v>
      </c>
      <c r="G173" s="4">
        <v>77.94</v>
      </c>
      <c r="H173" s="4">
        <f t="shared" si="12"/>
        <v>31.18</v>
      </c>
      <c r="I173" s="4">
        <f t="shared" si="13"/>
        <v>67.63</v>
      </c>
      <c r="J173" s="4"/>
    </row>
    <row r="174" spans="1:10" s="2" customFormat="1" ht="24" customHeight="1">
      <c r="A174" s="7">
        <v>172</v>
      </c>
      <c r="B174" s="1" t="s">
        <v>75</v>
      </c>
      <c r="C174" s="1" t="s">
        <v>29</v>
      </c>
      <c r="D174" s="3">
        <v>1906022726</v>
      </c>
      <c r="E174" s="5">
        <v>60.25</v>
      </c>
      <c r="F174" s="4">
        <f t="shared" si="11"/>
        <v>36.15</v>
      </c>
      <c r="G174" s="4">
        <v>78.599999999999994</v>
      </c>
      <c r="H174" s="4">
        <f t="shared" si="12"/>
        <v>31.44</v>
      </c>
      <c r="I174" s="4">
        <f t="shared" si="13"/>
        <v>67.59</v>
      </c>
      <c r="J174" s="4"/>
    </row>
    <row r="175" spans="1:10" s="2" customFormat="1" ht="24" customHeight="1">
      <c r="A175" s="7">
        <v>173</v>
      </c>
      <c r="B175" s="1" t="s">
        <v>75</v>
      </c>
      <c r="C175" s="1" t="s">
        <v>31</v>
      </c>
      <c r="D175" s="3">
        <v>1906022621</v>
      </c>
      <c r="E175" s="5">
        <v>60</v>
      </c>
      <c r="F175" s="4">
        <f t="shared" si="11"/>
        <v>36</v>
      </c>
      <c r="G175" s="4">
        <v>78.02</v>
      </c>
      <c r="H175" s="4">
        <f t="shared" si="12"/>
        <v>31.21</v>
      </c>
      <c r="I175" s="4">
        <f t="shared" si="13"/>
        <v>67.210000000000008</v>
      </c>
      <c r="J175" s="4"/>
    </row>
    <row r="176" spans="1:10" s="2" customFormat="1" ht="24" customHeight="1">
      <c r="A176" s="7">
        <v>174</v>
      </c>
      <c r="B176" s="1" t="s">
        <v>75</v>
      </c>
      <c r="C176" s="1" t="s">
        <v>37</v>
      </c>
      <c r="D176" s="3">
        <v>1906022720</v>
      </c>
      <c r="E176" s="5">
        <v>58</v>
      </c>
      <c r="F176" s="4">
        <f t="shared" si="11"/>
        <v>34.799999999999997</v>
      </c>
      <c r="G176" s="4">
        <v>80.88</v>
      </c>
      <c r="H176" s="4">
        <f t="shared" si="12"/>
        <v>32.35</v>
      </c>
      <c r="I176" s="4">
        <f t="shared" si="13"/>
        <v>67.150000000000006</v>
      </c>
      <c r="J176" s="4"/>
    </row>
    <row r="177" spans="1:10" s="2" customFormat="1" ht="24" customHeight="1">
      <c r="A177" s="7">
        <v>175</v>
      </c>
      <c r="B177" s="1" t="s">
        <v>75</v>
      </c>
      <c r="C177" s="1" t="s">
        <v>30</v>
      </c>
      <c r="D177" s="3">
        <v>1906022402</v>
      </c>
      <c r="E177" s="5">
        <v>60</v>
      </c>
      <c r="F177" s="4">
        <f t="shared" si="11"/>
        <v>36</v>
      </c>
      <c r="G177" s="4">
        <v>77.78</v>
      </c>
      <c r="H177" s="4">
        <f t="shared" si="12"/>
        <v>31.11</v>
      </c>
      <c r="I177" s="4">
        <f t="shared" si="13"/>
        <v>67.11</v>
      </c>
      <c r="J177" s="4"/>
    </row>
    <row r="178" spans="1:10" s="2" customFormat="1" ht="24" customHeight="1">
      <c r="A178" s="7">
        <v>176</v>
      </c>
      <c r="B178" s="1" t="s">
        <v>75</v>
      </c>
      <c r="C178" s="1" t="s">
        <v>33</v>
      </c>
      <c r="D178" s="3">
        <v>1906022514</v>
      </c>
      <c r="E178" s="5">
        <v>59.25</v>
      </c>
      <c r="F178" s="4">
        <f t="shared" si="11"/>
        <v>35.549999999999997</v>
      </c>
      <c r="G178" s="4">
        <v>78.16</v>
      </c>
      <c r="H178" s="4">
        <f t="shared" si="12"/>
        <v>31.26</v>
      </c>
      <c r="I178" s="4">
        <f t="shared" si="13"/>
        <v>66.81</v>
      </c>
      <c r="J178" s="4"/>
    </row>
    <row r="179" spans="1:10" s="2" customFormat="1" ht="24" customHeight="1">
      <c r="A179" s="7">
        <v>177</v>
      </c>
      <c r="B179" s="1" t="s">
        <v>75</v>
      </c>
      <c r="C179" s="1" t="s">
        <v>32</v>
      </c>
      <c r="D179" s="3">
        <v>1906022705</v>
      </c>
      <c r="E179" s="5">
        <v>59.5</v>
      </c>
      <c r="F179" s="4">
        <f t="shared" si="11"/>
        <v>35.699999999999996</v>
      </c>
      <c r="G179" s="4">
        <v>77.22</v>
      </c>
      <c r="H179" s="4">
        <f t="shared" si="12"/>
        <v>30.89</v>
      </c>
      <c r="I179" s="4">
        <f t="shared" si="13"/>
        <v>66.59</v>
      </c>
      <c r="J179" s="4"/>
    </row>
    <row r="180" spans="1:10" s="2" customFormat="1" ht="24" customHeight="1">
      <c r="A180" s="7">
        <v>178</v>
      </c>
      <c r="B180" s="1" t="s">
        <v>75</v>
      </c>
      <c r="C180" s="1" t="s">
        <v>34</v>
      </c>
      <c r="D180" s="3">
        <v>1906022513</v>
      </c>
      <c r="E180" s="5">
        <v>58.75</v>
      </c>
      <c r="F180" s="4">
        <f t="shared" si="11"/>
        <v>35.25</v>
      </c>
      <c r="G180" s="4">
        <v>78.239999999999995</v>
      </c>
      <c r="H180" s="4">
        <f t="shared" si="12"/>
        <v>31.3</v>
      </c>
      <c r="I180" s="4">
        <f t="shared" si="13"/>
        <v>66.55</v>
      </c>
      <c r="J180" s="4"/>
    </row>
    <row r="181" spans="1:10" s="2" customFormat="1" ht="24" customHeight="1">
      <c r="A181" s="7">
        <v>179</v>
      </c>
      <c r="B181" s="1" t="s">
        <v>75</v>
      </c>
      <c r="C181" s="1" t="s">
        <v>36</v>
      </c>
      <c r="D181" s="3">
        <v>1906022706</v>
      </c>
      <c r="E181" s="5">
        <v>58</v>
      </c>
      <c r="F181" s="4">
        <f t="shared" si="11"/>
        <v>34.799999999999997</v>
      </c>
      <c r="G181" s="4">
        <v>79.319999999999993</v>
      </c>
      <c r="H181" s="4">
        <f t="shared" si="12"/>
        <v>31.73</v>
      </c>
      <c r="I181" s="4">
        <f t="shared" si="13"/>
        <v>66.53</v>
      </c>
      <c r="J181" s="4"/>
    </row>
    <row r="182" spans="1:10" s="2" customFormat="1" ht="24" customHeight="1">
      <c r="A182" s="7">
        <v>180</v>
      </c>
      <c r="B182" s="1" t="s">
        <v>75</v>
      </c>
      <c r="C182" s="1" t="s">
        <v>38</v>
      </c>
      <c r="D182" s="3">
        <v>1906022703</v>
      </c>
      <c r="E182" s="5">
        <v>57.75</v>
      </c>
      <c r="F182" s="4">
        <f t="shared" si="11"/>
        <v>34.65</v>
      </c>
      <c r="G182" s="4">
        <v>79.36</v>
      </c>
      <c r="H182" s="4">
        <f t="shared" si="12"/>
        <v>31.74</v>
      </c>
      <c r="I182" s="4">
        <f t="shared" si="13"/>
        <v>66.39</v>
      </c>
      <c r="J182" s="4"/>
    </row>
    <row r="183" spans="1:10" s="2" customFormat="1" ht="24" customHeight="1">
      <c r="A183" s="7">
        <v>181</v>
      </c>
      <c r="B183" s="1" t="s">
        <v>75</v>
      </c>
      <c r="C183" s="1" t="s">
        <v>35</v>
      </c>
      <c r="D183" s="3">
        <v>1906022710</v>
      </c>
      <c r="E183" s="5">
        <v>58.75</v>
      </c>
      <c r="F183" s="4">
        <f t="shared" si="11"/>
        <v>35.25</v>
      </c>
      <c r="G183" s="4">
        <v>76.900000000000006</v>
      </c>
      <c r="H183" s="4">
        <f t="shared" si="12"/>
        <v>30.76</v>
      </c>
      <c r="I183" s="4">
        <f t="shared" si="13"/>
        <v>66.010000000000005</v>
      </c>
      <c r="J183" s="4"/>
    </row>
    <row r="184" spans="1:10" s="2" customFormat="1" ht="24" customHeight="1">
      <c r="A184" s="7">
        <v>182</v>
      </c>
      <c r="B184" s="1" t="s">
        <v>75</v>
      </c>
      <c r="C184" s="1" t="s">
        <v>41</v>
      </c>
      <c r="D184" s="3">
        <v>1906022701</v>
      </c>
      <c r="E184" s="5">
        <v>57</v>
      </c>
      <c r="F184" s="4">
        <f t="shared" si="11"/>
        <v>34.199999999999996</v>
      </c>
      <c r="G184" s="4">
        <v>78.42</v>
      </c>
      <c r="H184" s="4">
        <f t="shared" si="12"/>
        <v>31.37</v>
      </c>
      <c r="I184" s="4">
        <f t="shared" si="13"/>
        <v>65.569999999999993</v>
      </c>
      <c r="J184" s="4"/>
    </row>
    <row r="185" spans="1:10" s="2" customFormat="1" ht="24" customHeight="1">
      <c r="A185" s="7">
        <v>183</v>
      </c>
      <c r="B185" s="1" t="s">
        <v>75</v>
      </c>
      <c r="C185" s="1" t="s">
        <v>39</v>
      </c>
      <c r="D185" s="3">
        <v>1906022713</v>
      </c>
      <c r="E185" s="5">
        <v>57.5</v>
      </c>
      <c r="F185" s="4">
        <f t="shared" si="11"/>
        <v>34.5</v>
      </c>
      <c r="G185" s="4">
        <v>77.64</v>
      </c>
      <c r="H185" s="4">
        <f t="shared" si="12"/>
        <v>31.06</v>
      </c>
      <c r="I185" s="4">
        <f t="shared" si="13"/>
        <v>65.56</v>
      </c>
      <c r="J185" s="4"/>
    </row>
    <row r="186" spans="1:10" s="2" customFormat="1" ht="24" customHeight="1">
      <c r="A186" s="7">
        <v>184</v>
      </c>
      <c r="B186" s="1" t="s">
        <v>75</v>
      </c>
      <c r="C186" s="1" t="s">
        <v>40</v>
      </c>
      <c r="D186" s="3">
        <v>1906022618</v>
      </c>
      <c r="E186" s="5">
        <v>57.25</v>
      </c>
      <c r="F186" s="4">
        <f t="shared" si="11"/>
        <v>34.35</v>
      </c>
      <c r="G186" s="4">
        <v>77.819999999999993</v>
      </c>
      <c r="H186" s="4">
        <f t="shared" si="12"/>
        <v>31.13</v>
      </c>
      <c r="I186" s="4">
        <f t="shared" si="13"/>
        <v>65.48</v>
      </c>
      <c r="J186" s="4"/>
    </row>
    <row r="187" spans="1:10" s="2" customFormat="1" ht="24" customHeight="1">
      <c r="A187" s="7">
        <v>185</v>
      </c>
      <c r="B187" s="1" t="s">
        <v>75</v>
      </c>
      <c r="C187" s="1" t="s">
        <v>44</v>
      </c>
      <c r="D187" s="3">
        <v>1906022407</v>
      </c>
      <c r="E187" s="5">
        <v>55.25</v>
      </c>
      <c r="F187" s="4">
        <f t="shared" si="11"/>
        <v>33.15</v>
      </c>
      <c r="G187" s="4">
        <v>78.86</v>
      </c>
      <c r="H187" s="4">
        <f t="shared" si="12"/>
        <v>31.54</v>
      </c>
      <c r="I187" s="4">
        <f t="shared" si="13"/>
        <v>64.69</v>
      </c>
      <c r="J187" s="4"/>
    </row>
    <row r="188" spans="1:10" s="2" customFormat="1" ht="24" customHeight="1">
      <c r="A188" s="7">
        <v>186</v>
      </c>
      <c r="B188" s="1" t="s">
        <v>75</v>
      </c>
      <c r="C188" s="1" t="s">
        <v>43</v>
      </c>
      <c r="D188" s="3">
        <v>1906022510</v>
      </c>
      <c r="E188" s="5">
        <v>55.75</v>
      </c>
      <c r="F188" s="4">
        <f t="shared" si="11"/>
        <v>33.449999999999996</v>
      </c>
      <c r="G188" s="4">
        <v>76.02</v>
      </c>
      <c r="H188" s="4">
        <f t="shared" si="12"/>
        <v>30.41</v>
      </c>
      <c r="I188" s="4">
        <f t="shared" si="13"/>
        <v>63.86</v>
      </c>
      <c r="J188" s="4"/>
    </row>
    <row r="189" spans="1:10" s="2" customFormat="1" ht="24" customHeight="1">
      <c r="A189" s="7">
        <v>187</v>
      </c>
      <c r="B189" s="1" t="s">
        <v>75</v>
      </c>
      <c r="C189" s="1" t="s">
        <v>47</v>
      </c>
      <c r="D189" s="3">
        <v>1906022424</v>
      </c>
      <c r="E189" s="5">
        <v>52.25</v>
      </c>
      <c r="F189" s="4">
        <f t="shared" si="11"/>
        <v>31.349999999999998</v>
      </c>
      <c r="G189" s="4">
        <v>77.72</v>
      </c>
      <c r="H189" s="4">
        <f t="shared" si="12"/>
        <v>31.09</v>
      </c>
      <c r="I189" s="4">
        <f t="shared" si="13"/>
        <v>62.44</v>
      </c>
      <c r="J189" s="4"/>
    </row>
    <row r="190" spans="1:10" s="2" customFormat="1" ht="24" customHeight="1">
      <c r="A190" s="7">
        <v>188</v>
      </c>
      <c r="B190" s="1" t="s">
        <v>75</v>
      </c>
      <c r="C190" s="1" t="s">
        <v>46</v>
      </c>
      <c r="D190" s="3">
        <v>1906022409</v>
      </c>
      <c r="E190" s="5">
        <v>52.75</v>
      </c>
      <c r="F190" s="4">
        <f t="shared" si="11"/>
        <v>31.65</v>
      </c>
      <c r="G190" s="4">
        <v>76.599999999999994</v>
      </c>
      <c r="H190" s="4">
        <f t="shared" si="12"/>
        <v>30.64</v>
      </c>
      <c r="I190" s="4">
        <f t="shared" si="13"/>
        <v>62.29</v>
      </c>
      <c r="J190" s="4"/>
    </row>
    <row r="191" spans="1:10" s="2" customFormat="1" ht="24" customHeight="1">
      <c r="A191" s="7">
        <v>189</v>
      </c>
      <c r="B191" s="1" t="s">
        <v>75</v>
      </c>
      <c r="C191" s="1" t="s">
        <v>49</v>
      </c>
      <c r="D191" s="3">
        <v>1906022405</v>
      </c>
      <c r="E191" s="5">
        <v>49.75</v>
      </c>
      <c r="F191" s="4">
        <f t="shared" si="11"/>
        <v>29.849999999999998</v>
      </c>
      <c r="G191" s="4">
        <v>77.94</v>
      </c>
      <c r="H191" s="4">
        <f t="shared" si="12"/>
        <v>31.18</v>
      </c>
      <c r="I191" s="4">
        <f t="shared" si="13"/>
        <v>61.03</v>
      </c>
      <c r="J191" s="4"/>
    </row>
    <row r="192" spans="1:10" s="2" customFormat="1" ht="24" customHeight="1">
      <c r="A192" s="7">
        <v>190</v>
      </c>
      <c r="B192" s="1" t="s">
        <v>75</v>
      </c>
      <c r="C192" s="1" t="s">
        <v>51</v>
      </c>
      <c r="D192" s="3">
        <v>1906022509</v>
      </c>
      <c r="E192" s="5">
        <v>49.5</v>
      </c>
      <c r="F192" s="4">
        <f t="shared" si="11"/>
        <v>29.7</v>
      </c>
      <c r="G192" s="4">
        <v>78.08</v>
      </c>
      <c r="H192" s="4">
        <f t="shared" si="12"/>
        <v>31.23</v>
      </c>
      <c r="I192" s="4">
        <f t="shared" si="13"/>
        <v>60.93</v>
      </c>
      <c r="J192" s="4"/>
    </row>
    <row r="193" spans="1:10" s="2" customFormat="1" ht="24" customHeight="1">
      <c r="A193" s="7">
        <v>191</v>
      </c>
      <c r="B193" s="1" t="s">
        <v>75</v>
      </c>
      <c r="C193" s="1" t="s">
        <v>50</v>
      </c>
      <c r="D193" s="3">
        <v>1906022428</v>
      </c>
      <c r="E193" s="5">
        <v>49.5</v>
      </c>
      <c r="F193" s="4">
        <f t="shared" si="11"/>
        <v>29.7</v>
      </c>
      <c r="G193" s="4">
        <v>77.739999999999995</v>
      </c>
      <c r="H193" s="4">
        <f t="shared" si="12"/>
        <v>31.1</v>
      </c>
      <c r="I193" s="4">
        <f t="shared" si="13"/>
        <v>60.8</v>
      </c>
      <c r="J193" s="4"/>
    </row>
    <row r="194" spans="1:10" s="2" customFormat="1" ht="24" customHeight="1">
      <c r="A194" s="7">
        <v>192</v>
      </c>
      <c r="B194" s="1" t="s">
        <v>75</v>
      </c>
      <c r="C194" s="1" t="s">
        <v>52</v>
      </c>
      <c r="D194" s="3">
        <v>1906022626</v>
      </c>
      <c r="E194" s="5">
        <v>47.75</v>
      </c>
      <c r="F194" s="4">
        <f t="shared" si="11"/>
        <v>28.65</v>
      </c>
      <c r="G194" s="4">
        <v>77.92</v>
      </c>
      <c r="H194" s="4">
        <f t="shared" si="12"/>
        <v>31.17</v>
      </c>
      <c r="I194" s="4">
        <f t="shared" si="13"/>
        <v>59.82</v>
      </c>
      <c r="J194" s="4"/>
    </row>
    <row r="195" spans="1:10" s="2" customFormat="1" ht="24" customHeight="1">
      <c r="A195" s="7">
        <v>193</v>
      </c>
      <c r="B195" s="1" t="s">
        <v>75</v>
      </c>
      <c r="C195" s="1" t="s">
        <v>15</v>
      </c>
      <c r="D195" s="3">
        <v>1906022425</v>
      </c>
      <c r="E195" s="5">
        <v>72.75</v>
      </c>
      <c r="F195" s="4">
        <f t="shared" si="11"/>
        <v>43.65</v>
      </c>
      <c r="G195" s="4">
        <v>10</v>
      </c>
      <c r="H195" s="4">
        <f t="shared" si="12"/>
        <v>4</v>
      </c>
      <c r="I195" s="4">
        <f t="shared" si="13"/>
        <v>47.65</v>
      </c>
      <c r="J195" s="4"/>
    </row>
    <row r="196" spans="1:10" s="2" customFormat="1" ht="24" customHeight="1">
      <c r="A196" s="7">
        <v>194</v>
      </c>
      <c r="B196" s="1" t="s">
        <v>75</v>
      </c>
      <c r="C196" s="1" t="s">
        <v>42</v>
      </c>
      <c r="D196" s="3">
        <v>1906022602</v>
      </c>
      <c r="E196" s="5">
        <v>56</v>
      </c>
      <c r="F196" s="4">
        <f t="shared" si="11"/>
        <v>33.6</v>
      </c>
      <c r="G196" s="4">
        <v>0</v>
      </c>
      <c r="H196" s="4">
        <f t="shared" si="12"/>
        <v>0</v>
      </c>
      <c r="I196" s="4">
        <f t="shared" si="13"/>
        <v>33.6</v>
      </c>
      <c r="J196" s="4" t="s">
        <v>5</v>
      </c>
    </row>
    <row r="197" spans="1:10" s="2" customFormat="1" ht="24" customHeight="1">
      <c r="A197" s="7">
        <v>195</v>
      </c>
      <c r="B197" s="1" t="s">
        <v>75</v>
      </c>
      <c r="C197" s="1" t="s">
        <v>45</v>
      </c>
      <c r="D197" s="3">
        <v>1906022412</v>
      </c>
      <c r="E197" s="5">
        <v>54.75</v>
      </c>
      <c r="F197" s="4">
        <f t="shared" si="11"/>
        <v>32.85</v>
      </c>
      <c r="G197" s="4">
        <v>0</v>
      </c>
      <c r="H197" s="4">
        <f t="shared" si="12"/>
        <v>0</v>
      </c>
      <c r="I197" s="4">
        <f t="shared" si="13"/>
        <v>32.85</v>
      </c>
      <c r="J197" s="4" t="s">
        <v>5</v>
      </c>
    </row>
    <row r="198" spans="1:10" s="2" customFormat="1" ht="24" customHeight="1">
      <c r="A198" s="7">
        <v>196</v>
      </c>
      <c r="B198" s="1" t="s">
        <v>75</v>
      </c>
      <c r="C198" s="1" t="s">
        <v>48</v>
      </c>
      <c r="D198" s="3">
        <v>1906022411</v>
      </c>
      <c r="E198" s="5">
        <v>50.5</v>
      </c>
      <c r="F198" s="4">
        <f t="shared" si="11"/>
        <v>30.299999999999997</v>
      </c>
      <c r="G198" s="4">
        <v>0</v>
      </c>
      <c r="H198" s="4">
        <f t="shared" si="12"/>
        <v>0</v>
      </c>
      <c r="I198" s="4">
        <f t="shared" si="13"/>
        <v>30.299999999999997</v>
      </c>
      <c r="J198" s="4" t="s">
        <v>5</v>
      </c>
    </row>
    <row r="199" spans="1:10" s="2" customFormat="1" ht="24" customHeight="1">
      <c r="A199" s="7">
        <v>197</v>
      </c>
      <c r="B199" s="1" t="s">
        <v>76</v>
      </c>
      <c r="C199" s="1" t="str">
        <f>"周不舍"</f>
        <v>周不舍</v>
      </c>
      <c r="D199" s="3">
        <v>1906022928</v>
      </c>
      <c r="E199" s="5">
        <v>79.5</v>
      </c>
      <c r="F199" s="4">
        <f t="shared" si="11"/>
        <v>47.699999999999996</v>
      </c>
      <c r="G199" s="4">
        <v>75</v>
      </c>
      <c r="H199" s="4">
        <f t="shared" si="12"/>
        <v>30</v>
      </c>
      <c r="I199" s="4">
        <f t="shared" si="13"/>
        <v>77.699999999999989</v>
      </c>
      <c r="J199" s="4"/>
    </row>
    <row r="200" spans="1:10" s="2" customFormat="1" ht="24" customHeight="1">
      <c r="A200" s="7">
        <v>198</v>
      </c>
      <c r="B200" s="1" t="s">
        <v>76</v>
      </c>
      <c r="C200" s="1" t="str">
        <f>"陈容容"</f>
        <v>陈容容</v>
      </c>
      <c r="D200" s="3">
        <v>1906022809</v>
      </c>
      <c r="E200" s="5">
        <v>79.25</v>
      </c>
      <c r="F200" s="4">
        <f t="shared" si="11"/>
        <v>47.55</v>
      </c>
      <c r="G200" s="4">
        <v>74.5</v>
      </c>
      <c r="H200" s="4">
        <f t="shared" si="12"/>
        <v>29.8</v>
      </c>
      <c r="I200" s="4">
        <f t="shared" si="13"/>
        <v>77.349999999999994</v>
      </c>
      <c r="J200" s="4"/>
    </row>
    <row r="201" spans="1:10" s="2" customFormat="1" ht="24" customHeight="1">
      <c r="A201" s="7">
        <v>199</v>
      </c>
      <c r="B201" s="1" t="s">
        <v>76</v>
      </c>
      <c r="C201" s="1" t="str">
        <f>"陈屿霞"</f>
        <v>陈屿霞</v>
      </c>
      <c r="D201" s="3">
        <v>1906023015</v>
      </c>
      <c r="E201" s="5">
        <v>78</v>
      </c>
      <c r="F201" s="4">
        <f t="shared" si="11"/>
        <v>46.8</v>
      </c>
      <c r="G201" s="4">
        <v>75.760000000000005</v>
      </c>
      <c r="H201" s="4">
        <f t="shared" si="12"/>
        <v>30.3</v>
      </c>
      <c r="I201" s="4">
        <f t="shared" si="13"/>
        <v>77.099999999999994</v>
      </c>
      <c r="J201" s="4"/>
    </row>
    <row r="202" spans="1:10" s="2" customFormat="1" ht="24" customHeight="1">
      <c r="A202" s="7">
        <v>200</v>
      </c>
      <c r="B202" s="1" t="s">
        <v>76</v>
      </c>
      <c r="C202" s="1" t="str">
        <f>"吴斌"</f>
        <v>吴斌</v>
      </c>
      <c r="D202" s="3">
        <v>1906022929</v>
      </c>
      <c r="E202" s="5">
        <v>79.5</v>
      </c>
      <c r="F202" s="4">
        <f t="shared" si="11"/>
        <v>47.699999999999996</v>
      </c>
      <c r="G202" s="4">
        <v>71.239999999999995</v>
      </c>
      <c r="H202" s="4">
        <f t="shared" si="12"/>
        <v>28.5</v>
      </c>
      <c r="I202" s="4">
        <f t="shared" si="13"/>
        <v>76.199999999999989</v>
      </c>
      <c r="J202" s="4"/>
    </row>
    <row r="203" spans="1:10" s="2" customFormat="1" ht="24" customHeight="1">
      <c r="A203" s="7">
        <v>201</v>
      </c>
      <c r="B203" s="1" t="s">
        <v>76</v>
      </c>
      <c r="C203" s="1" t="str">
        <f>"龙静"</f>
        <v>龙静</v>
      </c>
      <c r="D203" s="3">
        <v>1906022931</v>
      </c>
      <c r="E203" s="5">
        <v>74.25</v>
      </c>
      <c r="F203" s="4">
        <f t="shared" si="11"/>
        <v>44.55</v>
      </c>
      <c r="G203" s="4">
        <v>77.14</v>
      </c>
      <c r="H203" s="4">
        <f t="shared" si="12"/>
        <v>30.86</v>
      </c>
      <c r="I203" s="4">
        <f t="shared" si="13"/>
        <v>75.41</v>
      </c>
      <c r="J203" s="4"/>
    </row>
    <row r="204" spans="1:10" s="2" customFormat="1" ht="24" customHeight="1">
      <c r="A204" s="7">
        <v>202</v>
      </c>
      <c r="B204" s="1" t="s">
        <v>76</v>
      </c>
      <c r="C204" s="1" t="str">
        <f>"刘文超"</f>
        <v>刘文超</v>
      </c>
      <c r="D204" s="3">
        <v>1906023008</v>
      </c>
      <c r="E204" s="5">
        <v>75.25</v>
      </c>
      <c r="F204" s="4">
        <f t="shared" si="11"/>
        <v>45.15</v>
      </c>
      <c r="G204" s="4">
        <v>72.12</v>
      </c>
      <c r="H204" s="4">
        <f t="shared" si="12"/>
        <v>28.85</v>
      </c>
      <c r="I204" s="4">
        <f t="shared" si="13"/>
        <v>74</v>
      </c>
      <c r="J204" s="4"/>
    </row>
    <row r="205" spans="1:10" s="2" customFormat="1" ht="24" customHeight="1">
      <c r="A205" s="7">
        <v>203</v>
      </c>
      <c r="B205" s="1" t="s">
        <v>76</v>
      </c>
      <c r="C205" s="1" t="str">
        <f>"刘露露"</f>
        <v>刘露露</v>
      </c>
      <c r="D205" s="3">
        <v>1906023123</v>
      </c>
      <c r="E205" s="5">
        <v>71.25</v>
      </c>
      <c r="F205" s="4">
        <f t="shared" si="11"/>
        <v>42.75</v>
      </c>
      <c r="G205" s="4">
        <v>74.88</v>
      </c>
      <c r="H205" s="4">
        <f t="shared" si="12"/>
        <v>29.95</v>
      </c>
      <c r="I205" s="4">
        <f t="shared" si="13"/>
        <v>72.7</v>
      </c>
      <c r="J205" s="4"/>
    </row>
    <row r="206" spans="1:10" s="2" customFormat="1" ht="24" customHeight="1">
      <c r="A206" s="7">
        <v>204</v>
      </c>
      <c r="B206" s="1" t="s">
        <v>76</v>
      </c>
      <c r="C206" s="1" t="str">
        <f>"姜夙素"</f>
        <v>姜夙素</v>
      </c>
      <c r="D206" s="3">
        <v>1906022811</v>
      </c>
      <c r="E206" s="5">
        <v>71.75</v>
      </c>
      <c r="F206" s="4">
        <f t="shared" si="11"/>
        <v>43.05</v>
      </c>
      <c r="G206" s="4">
        <v>73.52</v>
      </c>
      <c r="H206" s="4">
        <f t="shared" si="12"/>
        <v>29.41</v>
      </c>
      <c r="I206" s="4">
        <f t="shared" si="13"/>
        <v>72.459999999999994</v>
      </c>
      <c r="J206" s="4"/>
    </row>
    <row r="207" spans="1:10" s="2" customFormat="1" ht="24" customHeight="1">
      <c r="A207" s="7">
        <v>205</v>
      </c>
      <c r="B207" s="1" t="s">
        <v>76</v>
      </c>
      <c r="C207" s="1" t="str">
        <f>"康罗夫"</f>
        <v>康罗夫</v>
      </c>
      <c r="D207" s="3">
        <v>1906023033</v>
      </c>
      <c r="E207" s="5">
        <v>71.25</v>
      </c>
      <c r="F207" s="4">
        <f t="shared" si="11"/>
        <v>42.75</v>
      </c>
      <c r="G207" s="4">
        <v>74.260000000000005</v>
      </c>
      <c r="H207" s="4">
        <f t="shared" si="12"/>
        <v>29.7</v>
      </c>
      <c r="I207" s="4">
        <f t="shared" si="13"/>
        <v>72.45</v>
      </c>
      <c r="J207" s="4"/>
    </row>
    <row r="208" spans="1:10" s="2" customFormat="1" ht="24" customHeight="1">
      <c r="A208" s="7">
        <v>206</v>
      </c>
      <c r="B208" s="1" t="s">
        <v>76</v>
      </c>
      <c r="C208" s="1" t="str">
        <f>"吴旭旭"</f>
        <v>吴旭旭</v>
      </c>
      <c r="D208" s="3">
        <v>1906023107</v>
      </c>
      <c r="E208" s="5">
        <v>69</v>
      </c>
      <c r="F208" s="4">
        <f t="shared" si="11"/>
        <v>41.4</v>
      </c>
      <c r="G208" s="4">
        <v>77.58</v>
      </c>
      <c r="H208" s="4">
        <f t="shared" si="12"/>
        <v>31.03</v>
      </c>
      <c r="I208" s="4">
        <f t="shared" si="13"/>
        <v>72.430000000000007</v>
      </c>
      <c r="J208" s="4"/>
    </row>
    <row r="209" spans="1:10" s="2" customFormat="1" ht="24" customHeight="1">
      <c r="A209" s="7">
        <v>207</v>
      </c>
      <c r="B209" s="1" t="s">
        <v>76</v>
      </c>
      <c r="C209" s="1" t="str">
        <f>"钟科珂"</f>
        <v>钟科珂</v>
      </c>
      <c r="D209" s="3">
        <v>1906023014</v>
      </c>
      <c r="E209" s="5">
        <v>74</v>
      </c>
      <c r="F209" s="4">
        <f t="shared" si="11"/>
        <v>44.4</v>
      </c>
      <c r="G209" s="4">
        <v>70</v>
      </c>
      <c r="H209" s="4">
        <f t="shared" si="12"/>
        <v>28</v>
      </c>
      <c r="I209" s="4">
        <f t="shared" si="13"/>
        <v>72.400000000000006</v>
      </c>
      <c r="J209" s="4"/>
    </row>
    <row r="210" spans="1:10" s="2" customFormat="1" ht="24" customHeight="1">
      <c r="A210" s="7">
        <v>208</v>
      </c>
      <c r="B210" s="1" t="s">
        <v>76</v>
      </c>
      <c r="C210" s="1" t="str">
        <f>"石艳慧"</f>
        <v>石艳慧</v>
      </c>
      <c r="D210" s="3">
        <v>1906022933</v>
      </c>
      <c r="E210" s="5">
        <v>69.5</v>
      </c>
      <c r="F210" s="4">
        <f t="shared" si="11"/>
        <v>41.699999999999996</v>
      </c>
      <c r="G210" s="4">
        <v>75.84</v>
      </c>
      <c r="H210" s="4">
        <f t="shared" si="12"/>
        <v>30.34</v>
      </c>
      <c r="I210" s="4">
        <f t="shared" si="13"/>
        <v>72.039999999999992</v>
      </c>
      <c r="J210" s="4"/>
    </row>
    <row r="211" spans="1:10" s="2" customFormat="1" ht="24" customHeight="1">
      <c r="A211" s="7">
        <v>209</v>
      </c>
      <c r="B211" s="1" t="s">
        <v>76</v>
      </c>
      <c r="C211" s="1" t="str">
        <f>"龙雅琴"</f>
        <v>龙雅琴</v>
      </c>
      <c r="D211" s="3">
        <v>1906023122</v>
      </c>
      <c r="E211" s="5">
        <v>69.75</v>
      </c>
      <c r="F211" s="4">
        <f t="shared" si="11"/>
        <v>41.85</v>
      </c>
      <c r="G211" s="4">
        <v>75.459999999999994</v>
      </c>
      <c r="H211" s="4">
        <f t="shared" si="12"/>
        <v>30.18</v>
      </c>
      <c r="I211" s="4">
        <f t="shared" si="13"/>
        <v>72.03</v>
      </c>
      <c r="J211" s="4"/>
    </row>
    <row r="212" spans="1:10" s="2" customFormat="1" ht="24" customHeight="1">
      <c r="A212" s="7">
        <v>210</v>
      </c>
      <c r="B212" s="1" t="s">
        <v>76</v>
      </c>
      <c r="C212" s="1" t="str">
        <f>"王文芳"</f>
        <v>王文芳</v>
      </c>
      <c r="D212" s="3">
        <v>1906022922</v>
      </c>
      <c r="E212" s="5">
        <v>68.5</v>
      </c>
      <c r="F212" s="4">
        <f t="shared" si="11"/>
        <v>41.1</v>
      </c>
      <c r="G212" s="4">
        <v>76.400000000000006</v>
      </c>
      <c r="H212" s="4">
        <f t="shared" si="12"/>
        <v>30.56</v>
      </c>
      <c r="I212" s="4">
        <f t="shared" si="13"/>
        <v>71.66</v>
      </c>
      <c r="J212" s="4"/>
    </row>
    <row r="213" spans="1:10" s="2" customFormat="1" ht="24" customHeight="1">
      <c r="A213" s="7">
        <v>211</v>
      </c>
      <c r="B213" s="1" t="s">
        <v>76</v>
      </c>
      <c r="C213" s="1" t="str">
        <f>"陈标"</f>
        <v>陈标</v>
      </c>
      <c r="D213" s="3">
        <v>1906022804</v>
      </c>
      <c r="E213" s="5">
        <v>70</v>
      </c>
      <c r="F213" s="4">
        <f t="shared" si="11"/>
        <v>42</v>
      </c>
      <c r="G213" s="4">
        <v>73.900000000000006</v>
      </c>
      <c r="H213" s="4">
        <f t="shared" si="12"/>
        <v>29.56</v>
      </c>
      <c r="I213" s="4">
        <f t="shared" si="13"/>
        <v>71.56</v>
      </c>
      <c r="J213" s="4"/>
    </row>
    <row r="214" spans="1:10" s="2" customFormat="1" ht="24" customHeight="1">
      <c r="A214" s="7">
        <v>212</v>
      </c>
      <c r="B214" s="1" t="s">
        <v>76</v>
      </c>
      <c r="C214" s="1" t="str">
        <f>"田琪"</f>
        <v>田琪</v>
      </c>
      <c r="D214" s="3">
        <v>1906023108</v>
      </c>
      <c r="E214" s="5">
        <v>68</v>
      </c>
      <c r="F214" s="4">
        <f t="shared" si="11"/>
        <v>40.799999999999997</v>
      </c>
      <c r="G214" s="4">
        <v>75.36</v>
      </c>
      <c r="H214" s="4">
        <f t="shared" si="12"/>
        <v>30.14</v>
      </c>
      <c r="I214" s="4">
        <f t="shared" si="13"/>
        <v>70.94</v>
      </c>
      <c r="J214" s="4"/>
    </row>
    <row r="215" spans="1:10" s="2" customFormat="1" ht="24" customHeight="1">
      <c r="A215" s="7">
        <v>213</v>
      </c>
      <c r="B215" s="1" t="s">
        <v>76</v>
      </c>
      <c r="C215" s="1" t="str">
        <f>"费骁骁"</f>
        <v>费骁骁</v>
      </c>
      <c r="D215" s="3">
        <v>1906022822</v>
      </c>
      <c r="E215" s="5">
        <v>68.75</v>
      </c>
      <c r="F215" s="4">
        <f t="shared" si="11"/>
        <v>41.25</v>
      </c>
      <c r="G215" s="4">
        <v>73.52</v>
      </c>
      <c r="H215" s="4">
        <f t="shared" si="12"/>
        <v>29.41</v>
      </c>
      <c r="I215" s="4">
        <f t="shared" si="13"/>
        <v>70.66</v>
      </c>
      <c r="J215" s="4"/>
    </row>
    <row r="216" spans="1:10" s="2" customFormat="1" ht="24" customHeight="1">
      <c r="A216" s="7">
        <v>214</v>
      </c>
      <c r="B216" s="1" t="s">
        <v>76</v>
      </c>
      <c r="C216" s="1" t="str">
        <f>"邓旭芝"</f>
        <v>邓旭芝</v>
      </c>
      <c r="D216" s="3">
        <v>1906022821</v>
      </c>
      <c r="E216" s="5">
        <v>65.5</v>
      </c>
      <c r="F216" s="4">
        <f t="shared" si="11"/>
        <v>39.299999999999997</v>
      </c>
      <c r="G216" s="4">
        <v>78.400000000000006</v>
      </c>
      <c r="H216" s="4">
        <f t="shared" si="12"/>
        <v>31.36</v>
      </c>
      <c r="I216" s="4">
        <f t="shared" si="13"/>
        <v>70.66</v>
      </c>
      <c r="J216" s="4"/>
    </row>
    <row r="217" spans="1:10" s="2" customFormat="1" ht="24" customHeight="1">
      <c r="A217" s="7">
        <v>215</v>
      </c>
      <c r="B217" s="1" t="s">
        <v>76</v>
      </c>
      <c r="C217" s="1" t="str">
        <f>"贺飘飘"</f>
        <v>贺飘飘</v>
      </c>
      <c r="D217" s="3">
        <v>1906023029</v>
      </c>
      <c r="E217" s="4">
        <v>66.75</v>
      </c>
      <c r="F217" s="4">
        <f t="shared" si="11"/>
        <v>40.049999999999997</v>
      </c>
      <c r="G217" s="4">
        <v>75.2</v>
      </c>
      <c r="H217" s="4">
        <f t="shared" si="12"/>
        <v>30.08</v>
      </c>
      <c r="I217" s="4">
        <f t="shared" si="13"/>
        <v>70.13</v>
      </c>
      <c r="J217" s="4"/>
    </row>
    <row r="218" spans="1:10" s="2" customFormat="1" ht="24" customHeight="1">
      <c r="A218" s="7">
        <v>216</v>
      </c>
      <c r="B218" s="1" t="s">
        <v>76</v>
      </c>
      <c r="C218" s="1" t="str">
        <f>"刘友凤"</f>
        <v>刘友凤</v>
      </c>
      <c r="D218" s="3">
        <v>1906022801</v>
      </c>
      <c r="E218" s="4">
        <v>66.5</v>
      </c>
      <c r="F218" s="4">
        <f t="shared" si="11"/>
        <v>39.9</v>
      </c>
      <c r="G218" s="4">
        <v>74.8</v>
      </c>
      <c r="H218" s="4">
        <f t="shared" si="12"/>
        <v>29.92</v>
      </c>
      <c r="I218" s="4">
        <f t="shared" si="13"/>
        <v>69.819999999999993</v>
      </c>
      <c r="J218" s="4"/>
    </row>
    <row r="219" spans="1:10" s="2" customFormat="1" ht="24" customHeight="1">
      <c r="A219" s="7">
        <v>217</v>
      </c>
      <c r="B219" s="1" t="s">
        <v>76</v>
      </c>
      <c r="C219" s="1" t="str">
        <f>"吴佳娟"</f>
        <v>吴佳娟</v>
      </c>
      <c r="D219" s="3">
        <v>1906022910</v>
      </c>
      <c r="E219" s="4">
        <v>66</v>
      </c>
      <c r="F219" s="4">
        <f t="shared" si="11"/>
        <v>39.6</v>
      </c>
      <c r="G219" s="4">
        <v>75.02</v>
      </c>
      <c r="H219" s="4">
        <f t="shared" si="12"/>
        <v>30.01</v>
      </c>
      <c r="I219" s="4">
        <f t="shared" si="13"/>
        <v>69.61</v>
      </c>
      <c r="J219" s="4"/>
    </row>
    <row r="220" spans="1:10" s="2" customFormat="1" ht="24" customHeight="1">
      <c r="A220" s="7">
        <v>218</v>
      </c>
      <c r="B220" s="1" t="s">
        <v>76</v>
      </c>
      <c r="C220" s="1" t="str">
        <f>"谭姝慧"</f>
        <v>谭姝慧</v>
      </c>
      <c r="D220" s="3">
        <v>1906023125</v>
      </c>
      <c r="E220" s="4">
        <v>65.5</v>
      </c>
      <c r="F220" s="4">
        <f t="shared" si="11"/>
        <v>39.299999999999997</v>
      </c>
      <c r="G220" s="4">
        <v>75.5</v>
      </c>
      <c r="H220" s="4">
        <f t="shared" si="12"/>
        <v>30.2</v>
      </c>
      <c r="I220" s="4">
        <f t="shared" si="13"/>
        <v>69.5</v>
      </c>
      <c r="J220" s="4"/>
    </row>
    <row r="221" spans="1:10" s="2" customFormat="1" ht="24" customHeight="1">
      <c r="A221" s="7">
        <v>219</v>
      </c>
      <c r="B221" s="1" t="s">
        <v>76</v>
      </c>
      <c r="C221" s="1" t="str">
        <f>"谭轶敏"</f>
        <v>谭轶敏</v>
      </c>
      <c r="D221" s="3">
        <v>1906023131</v>
      </c>
      <c r="E221" s="4">
        <v>63.25</v>
      </c>
      <c r="F221" s="4">
        <f t="shared" si="11"/>
        <v>37.949999999999996</v>
      </c>
      <c r="G221" s="4">
        <v>78.7</v>
      </c>
      <c r="H221" s="4">
        <f t="shared" si="12"/>
        <v>31.48</v>
      </c>
      <c r="I221" s="4">
        <f t="shared" si="13"/>
        <v>69.429999999999993</v>
      </c>
      <c r="J221" s="4"/>
    </row>
    <row r="222" spans="1:10" s="2" customFormat="1" ht="24" customHeight="1">
      <c r="A222" s="7">
        <v>220</v>
      </c>
      <c r="B222" s="1" t="s">
        <v>76</v>
      </c>
      <c r="C222" s="1" t="str">
        <f>"陈海琳"</f>
        <v>陈海琳</v>
      </c>
      <c r="D222" s="3">
        <v>1906023104</v>
      </c>
      <c r="E222" s="4">
        <v>64.25</v>
      </c>
      <c r="F222" s="4">
        <f t="shared" si="11"/>
        <v>38.549999999999997</v>
      </c>
      <c r="G222" s="4">
        <v>76.239999999999995</v>
      </c>
      <c r="H222" s="4">
        <f t="shared" si="12"/>
        <v>30.5</v>
      </c>
      <c r="I222" s="4">
        <f t="shared" si="13"/>
        <v>69.05</v>
      </c>
      <c r="J222" s="4"/>
    </row>
    <row r="223" spans="1:10" s="2" customFormat="1" ht="24" customHeight="1">
      <c r="A223" s="7">
        <v>221</v>
      </c>
      <c r="B223" s="1" t="s">
        <v>76</v>
      </c>
      <c r="C223" s="1" t="str">
        <f>"陈程"</f>
        <v>陈程</v>
      </c>
      <c r="D223" s="3">
        <v>1906022923</v>
      </c>
      <c r="E223" s="4">
        <v>65.75</v>
      </c>
      <c r="F223" s="4">
        <f t="shared" si="11"/>
        <v>39.449999999999996</v>
      </c>
      <c r="G223" s="4">
        <v>72.98</v>
      </c>
      <c r="H223" s="4">
        <f t="shared" si="12"/>
        <v>29.19</v>
      </c>
      <c r="I223" s="4">
        <f t="shared" si="13"/>
        <v>68.64</v>
      </c>
      <c r="J223" s="4"/>
    </row>
    <row r="224" spans="1:10" s="2" customFormat="1" ht="24" customHeight="1">
      <c r="A224" s="7">
        <v>222</v>
      </c>
      <c r="B224" s="1" t="s">
        <v>76</v>
      </c>
      <c r="C224" s="1" t="str">
        <f>"莫曼跃"</f>
        <v>莫曼跃</v>
      </c>
      <c r="D224" s="3">
        <v>1906022807</v>
      </c>
      <c r="E224" s="4">
        <v>64</v>
      </c>
      <c r="F224" s="4">
        <f t="shared" si="11"/>
        <v>38.4</v>
      </c>
      <c r="G224" s="4">
        <v>75.260000000000005</v>
      </c>
      <c r="H224" s="4">
        <f t="shared" si="12"/>
        <v>30.1</v>
      </c>
      <c r="I224" s="4">
        <f t="shared" si="13"/>
        <v>68.5</v>
      </c>
      <c r="J224" s="4"/>
    </row>
    <row r="225" spans="1:10" s="2" customFormat="1" ht="24" customHeight="1">
      <c r="A225" s="7">
        <v>223</v>
      </c>
      <c r="B225" s="1" t="s">
        <v>76</v>
      </c>
      <c r="C225" s="1" t="str">
        <f>"谭双六"</f>
        <v>谭双六</v>
      </c>
      <c r="D225" s="3">
        <v>1906022820</v>
      </c>
      <c r="E225" s="4">
        <v>65.25</v>
      </c>
      <c r="F225" s="4">
        <f t="shared" si="11"/>
        <v>39.15</v>
      </c>
      <c r="G225" s="4">
        <v>73.2</v>
      </c>
      <c r="H225" s="4">
        <f t="shared" si="12"/>
        <v>29.28</v>
      </c>
      <c r="I225" s="4">
        <f t="shared" si="13"/>
        <v>68.430000000000007</v>
      </c>
      <c r="J225" s="4"/>
    </row>
    <row r="226" spans="1:10" s="2" customFormat="1" ht="24" customHeight="1">
      <c r="A226" s="7">
        <v>224</v>
      </c>
      <c r="B226" s="1" t="s">
        <v>76</v>
      </c>
      <c r="C226" s="1" t="str">
        <f>"刘胜琼"</f>
        <v>刘胜琼</v>
      </c>
      <c r="D226" s="3">
        <v>1906023120</v>
      </c>
      <c r="E226" s="4">
        <v>63</v>
      </c>
      <c r="F226" s="4">
        <f t="shared" si="11"/>
        <v>37.799999999999997</v>
      </c>
      <c r="G226" s="4">
        <v>76</v>
      </c>
      <c r="H226" s="4">
        <f t="shared" si="12"/>
        <v>30.4</v>
      </c>
      <c r="I226" s="4">
        <f t="shared" si="13"/>
        <v>68.199999999999989</v>
      </c>
      <c r="J226" s="4"/>
    </row>
    <row r="227" spans="1:10" s="2" customFormat="1" ht="24" customHeight="1">
      <c r="A227" s="7">
        <v>225</v>
      </c>
      <c r="B227" s="1" t="s">
        <v>76</v>
      </c>
      <c r="C227" s="1" t="str">
        <f>"颜璟"</f>
        <v>颜璟</v>
      </c>
      <c r="D227" s="3">
        <v>1906022815</v>
      </c>
      <c r="E227" s="4">
        <v>64</v>
      </c>
      <c r="F227" s="4">
        <f t="shared" si="11"/>
        <v>38.4</v>
      </c>
      <c r="G227" s="4">
        <v>73.819999999999993</v>
      </c>
      <c r="H227" s="4">
        <f t="shared" si="12"/>
        <v>29.53</v>
      </c>
      <c r="I227" s="4">
        <f t="shared" si="13"/>
        <v>67.930000000000007</v>
      </c>
      <c r="J227" s="4"/>
    </row>
    <row r="228" spans="1:10" s="2" customFormat="1" ht="24" customHeight="1">
      <c r="A228" s="7">
        <v>226</v>
      </c>
      <c r="B228" s="1" t="s">
        <v>76</v>
      </c>
      <c r="C228" s="1" t="str">
        <f>"谭宇芳"</f>
        <v>谭宇芳</v>
      </c>
      <c r="D228" s="3">
        <v>1906023102</v>
      </c>
      <c r="E228" s="4">
        <v>64.25</v>
      </c>
      <c r="F228" s="4">
        <f t="shared" si="11"/>
        <v>38.549999999999997</v>
      </c>
      <c r="G228" s="4">
        <v>71.86</v>
      </c>
      <c r="H228" s="4">
        <f t="shared" si="12"/>
        <v>28.74</v>
      </c>
      <c r="I228" s="4">
        <f t="shared" si="13"/>
        <v>67.289999999999992</v>
      </c>
      <c r="J228" s="4"/>
    </row>
    <row r="229" spans="1:10" s="2" customFormat="1" ht="24" customHeight="1">
      <c r="A229" s="7">
        <v>227</v>
      </c>
      <c r="B229" s="1" t="s">
        <v>76</v>
      </c>
      <c r="C229" s="1" t="str">
        <f>"陈娟"</f>
        <v>陈娟</v>
      </c>
      <c r="D229" s="3">
        <v>1906022832</v>
      </c>
      <c r="E229" s="4">
        <v>62.75</v>
      </c>
      <c r="F229" s="4">
        <f t="shared" si="11"/>
        <v>37.65</v>
      </c>
      <c r="G229" s="4">
        <v>74.099999999999994</v>
      </c>
      <c r="H229" s="4">
        <f t="shared" si="12"/>
        <v>29.64</v>
      </c>
      <c r="I229" s="4">
        <f t="shared" si="13"/>
        <v>67.289999999999992</v>
      </c>
      <c r="J229" s="4"/>
    </row>
    <row r="230" spans="1:10" s="2" customFormat="1" ht="24" customHeight="1">
      <c r="A230" s="7">
        <v>228</v>
      </c>
      <c r="B230" s="1" t="s">
        <v>76</v>
      </c>
      <c r="C230" s="1" t="str">
        <f>"杜雅青"</f>
        <v>杜雅青</v>
      </c>
      <c r="D230" s="3">
        <v>1906023110</v>
      </c>
      <c r="E230" s="4">
        <v>61.75</v>
      </c>
      <c r="F230" s="4">
        <f t="shared" ref="F230:F293" si="14">E230*0.6</f>
        <v>37.049999999999997</v>
      </c>
      <c r="G230" s="4">
        <v>75.5</v>
      </c>
      <c r="H230" s="4">
        <f t="shared" ref="H230:H293" si="15">ROUND(G230*0.4,2)</f>
        <v>30.2</v>
      </c>
      <c r="I230" s="4">
        <f t="shared" ref="I230:I293" si="16">F230+H230</f>
        <v>67.25</v>
      </c>
      <c r="J230" s="4"/>
    </row>
    <row r="231" spans="1:10" s="2" customFormat="1" ht="24" customHeight="1">
      <c r="A231" s="7">
        <v>229</v>
      </c>
      <c r="B231" s="1" t="s">
        <v>76</v>
      </c>
      <c r="C231" s="1" t="str">
        <f>"贺金金"</f>
        <v>贺金金</v>
      </c>
      <c r="D231" s="3">
        <v>1906022819</v>
      </c>
      <c r="E231" s="4">
        <v>63.5</v>
      </c>
      <c r="F231" s="4">
        <f t="shared" si="14"/>
        <v>38.1</v>
      </c>
      <c r="G231" s="4">
        <v>72.06</v>
      </c>
      <c r="H231" s="4">
        <f t="shared" si="15"/>
        <v>28.82</v>
      </c>
      <c r="I231" s="4">
        <f t="shared" si="16"/>
        <v>66.92</v>
      </c>
      <c r="J231" s="4"/>
    </row>
    <row r="232" spans="1:10" s="2" customFormat="1" ht="24" customHeight="1">
      <c r="A232" s="7">
        <v>230</v>
      </c>
      <c r="B232" s="1" t="s">
        <v>76</v>
      </c>
      <c r="C232" s="1" t="str">
        <f>"段旭晨"</f>
        <v>段旭晨</v>
      </c>
      <c r="D232" s="3">
        <v>1906023128</v>
      </c>
      <c r="E232" s="4">
        <v>61.75</v>
      </c>
      <c r="F232" s="4">
        <f t="shared" si="14"/>
        <v>37.049999999999997</v>
      </c>
      <c r="G232" s="4">
        <v>73</v>
      </c>
      <c r="H232" s="4">
        <f t="shared" si="15"/>
        <v>29.2</v>
      </c>
      <c r="I232" s="4">
        <f t="shared" si="16"/>
        <v>66.25</v>
      </c>
      <c r="J232" s="4"/>
    </row>
    <row r="233" spans="1:10" s="2" customFormat="1" ht="24" customHeight="1">
      <c r="A233" s="7">
        <v>231</v>
      </c>
      <c r="B233" s="1" t="s">
        <v>76</v>
      </c>
      <c r="C233" s="1" t="str">
        <f>"汪培钰"</f>
        <v>汪培钰</v>
      </c>
      <c r="D233" s="3">
        <v>1906022803</v>
      </c>
      <c r="E233" s="4">
        <v>60.25</v>
      </c>
      <c r="F233" s="4">
        <f t="shared" si="14"/>
        <v>36.15</v>
      </c>
      <c r="G233" s="4">
        <v>74.680000000000007</v>
      </c>
      <c r="H233" s="4">
        <f t="shared" si="15"/>
        <v>29.87</v>
      </c>
      <c r="I233" s="4">
        <f t="shared" si="16"/>
        <v>66.02</v>
      </c>
      <c r="J233" s="4"/>
    </row>
    <row r="234" spans="1:10" s="2" customFormat="1" ht="24" customHeight="1">
      <c r="A234" s="7">
        <v>232</v>
      </c>
      <c r="B234" s="1" t="s">
        <v>76</v>
      </c>
      <c r="C234" s="1" t="str">
        <f>"汪琼琦"</f>
        <v>汪琼琦</v>
      </c>
      <c r="D234" s="3">
        <v>1906022825</v>
      </c>
      <c r="E234" s="4">
        <v>60</v>
      </c>
      <c r="F234" s="4">
        <f t="shared" si="14"/>
        <v>36</v>
      </c>
      <c r="G234" s="4">
        <v>74.56</v>
      </c>
      <c r="H234" s="4">
        <f t="shared" si="15"/>
        <v>29.82</v>
      </c>
      <c r="I234" s="4">
        <f t="shared" si="16"/>
        <v>65.819999999999993</v>
      </c>
      <c r="J234" s="4"/>
    </row>
    <row r="235" spans="1:10" s="2" customFormat="1" ht="24" customHeight="1">
      <c r="A235" s="7">
        <v>233</v>
      </c>
      <c r="B235" s="1" t="s">
        <v>76</v>
      </c>
      <c r="C235" s="1" t="str">
        <f>"罗婷婷"</f>
        <v>罗婷婷</v>
      </c>
      <c r="D235" s="3">
        <v>1906022902</v>
      </c>
      <c r="E235" s="4">
        <v>60.5</v>
      </c>
      <c r="F235" s="4">
        <f t="shared" si="14"/>
        <v>36.299999999999997</v>
      </c>
      <c r="G235" s="4">
        <v>73.099999999999994</v>
      </c>
      <c r="H235" s="4">
        <f t="shared" si="15"/>
        <v>29.24</v>
      </c>
      <c r="I235" s="4">
        <f t="shared" si="16"/>
        <v>65.539999999999992</v>
      </c>
      <c r="J235" s="4"/>
    </row>
    <row r="236" spans="1:10" s="2" customFormat="1" ht="24" customHeight="1">
      <c r="A236" s="7">
        <v>234</v>
      </c>
      <c r="B236" s="1" t="s">
        <v>76</v>
      </c>
      <c r="C236" s="1" t="str">
        <f>"陈有智"</f>
        <v>陈有智</v>
      </c>
      <c r="D236" s="3">
        <v>1906023112</v>
      </c>
      <c r="E236" s="4">
        <v>59.5</v>
      </c>
      <c r="F236" s="4">
        <f t="shared" si="14"/>
        <v>35.699999999999996</v>
      </c>
      <c r="G236" s="4">
        <v>71.84</v>
      </c>
      <c r="H236" s="4">
        <f t="shared" si="15"/>
        <v>28.74</v>
      </c>
      <c r="I236" s="4">
        <f t="shared" si="16"/>
        <v>64.44</v>
      </c>
      <c r="J236" s="4"/>
    </row>
    <row r="237" spans="1:10" s="2" customFormat="1" ht="24" customHeight="1">
      <c r="A237" s="7">
        <v>235</v>
      </c>
      <c r="B237" s="1" t="s">
        <v>76</v>
      </c>
      <c r="C237" s="1" t="str">
        <f>"向文佳"</f>
        <v>向文佳</v>
      </c>
      <c r="D237" s="3">
        <v>1906022915</v>
      </c>
      <c r="E237" s="4">
        <v>58</v>
      </c>
      <c r="F237" s="4">
        <f t="shared" si="14"/>
        <v>34.799999999999997</v>
      </c>
      <c r="G237" s="4">
        <v>73.66</v>
      </c>
      <c r="H237" s="4">
        <f t="shared" si="15"/>
        <v>29.46</v>
      </c>
      <c r="I237" s="4">
        <f t="shared" si="16"/>
        <v>64.259999999999991</v>
      </c>
      <c r="J237" s="4"/>
    </row>
    <row r="238" spans="1:10" s="2" customFormat="1" ht="24" customHeight="1">
      <c r="A238" s="7">
        <v>236</v>
      </c>
      <c r="B238" s="1" t="s">
        <v>76</v>
      </c>
      <c r="C238" s="1" t="str">
        <f>"谭文娟"</f>
        <v>谭文娟</v>
      </c>
      <c r="D238" s="3">
        <v>1906023115</v>
      </c>
      <c r="E238" s="4">
        <v>57</v>
      </c>
      <c r="F238" s="4">
        <f t="shared" si="14"/>
        <v>34.199999999999996</v>
      </c>
      <c r="G238" s="4">
        <v>74.260000000000005</v>
      </c>
      <c r="H238" s="4">
        <f t="shared" si="15"/>
        <v>29.7</v>
      </c>
      <c r="I238" s="4">
        <f t="shared" si="16"/>
        <v>63.899999999999991</v>
      </c>
      <c r="J238" s="4"/>
    </row>
    <row r="239" spans="1:10" s="2" customFormat="1" ht="24" customHeight="1">
      <c r="A239" s="7">
        <v>237</v>
      </c>
      <c r="B239" s="1" t="s">
        <v>76</v>
      </c>
      <c r="C239" s="1" t="str">
        <f>"毕珊"</f>
        <v>毕珊</v>
      </c>
      <c r="D239" s="3">
        <v>1906022817</v>
      </c>
      <c r="E239" s="4">
        <v>57.25</v>
      </c>
      <c r="F239" s="4">
        <f t="shared" si="14"/>
        <v>34.35</v>
      </c>
      <c r="G239" s="4">
        <v>73.7</v>
      </c>
      <c r="H239" s="4">
        <f t="shared" si="15"/>
        <v>29.48</v>
      </c>
      <c r="I239" s="4">
        <f t="shared" si="16"/>
        <v>63.83</v>
      </c>
      <c r="J239" s="4"/>
    </row>
    <row r="240" spans="1:10" s="2" customFormat="1" ht="24" customHeight="1">
      <c r="A240" s="7">
        <v>238</v>
      </c>
      <c r="B240" s="1" t="s">
        <v>76</v>
      </c>
      <c r="C240" s="1" t="str">
        <f>"陈栗珍"</f>
        <v>陈栗珍</v>
      </c>
      <c r="D240" s="3">
        <v>1906022913</v>
      </c>
      <c r="E240" s="4">
        <v>56.25</v>
      </c>
      <c r="F240" s="4">
        <f t="shared" si="14"/>
        <v>33.75</v>
      </c>
      <c r="G240" s="4">
        <v>73.900000000000006</v>
      </c>
      <c r="H240" s="4">
        <f t="shared" si="15"/>
        <v>29.56</v>
      </c>
      <c r="I240" s="4">
        <f t="shared" si="16"/>
        <v>63.31</v>
      </c>
      <c r="J240" s="4"/>
    </row>
    <row r="241" spans="1:10" s="2" customFormat="1" ht="24" customHeight="1">
      <c r="A241" s="7">
        <v>239</v>
      </c>
      <c r="B241" s="1" t="s">
        <v>76</v>
      </c>
      <c r="C241" s="1" t="str">
        <f>"谭玲静"</f>
        <v>谭玲静</v>
      </c>
      <c r="D241" s="3">
        <v>1906023009</v>
      </c>
      <c r="E241" s="4">
        <v>55.75</v>
      </c>
      <c r="F241" s="4">
        <f t="shared" si="14"/>
        <v>33.449999999999996</v>
      </c>
      <c r="G241" s="4">
        <v>74.400000000000006</v>
      </c>
      <c r="H241" s="4">
        <f t="shared" si="15"/>
        <v>29.76</v>
      </c>
      <c r="I241" s="4">
        <f t="shared" si="16"/>
        <v>63.209999999999994</v>
      </c>
      <c r="J241" s="4"/>
    </row>
    <row r="242" spans="1:10" s="2" customFormat="1" ht="24" customHeight="1">
      <c r="A242" s="7">
        <v>240</v>
      </c>
      <c r="B242" s="1" t="s">
        <v>76</v>
      </c>
      <c r="C242" s="1" t="str">
        <f>"陈莹"</f>
        <v>陈莹</v>
      </c>
      <c r="D242" s="3">
        <v>1906023018</v>
      </c>
      <c r="E242" s="4">
        <v>55.5</v>
      </c>
      <c r="F242" s="4">
        <f t="shared" si="14"/>
        <v>33.299999999999997</v>
      </c>
      <c r="G242" s="4">
        <v>74.36</v>
      </c>
      <c r="H242" s="4">
        <f t="shared" si="15"/>
        <v>29.74</v>
      </c>
      <c r="I242" s="4">
        <f t="shared" si="16"/>
        <v>63.039999999999992</v>
      </c>
      <c r="J242" s="4"/>
    </row>
    <row r="243" spans="1:10" s="2" customFormat="1" ht="24" customHeight="1">
      <c r="A243" s="7">
        <v>241</v>
      </c>
      <c r="B243" s="1" t="s">
        <v>76</v>
      </c>
      <c r="C243" s="1" t="str">
        <f>"谭苏苏"</f>
        <v>谭苏苏</v>
      </c>
      <c r="D243" s="3">
        <v>1906023113</v>
      </c>
      <c r="E243" s="4">
        <v>53.75</v>
      </c>
      <c r="F243" s="4">
        <f t="shared" si="14"/>
        <v>32.25</v>
      </c>
      <c r="G243" s="4">
        <v>76.08</v>
      </c>
      <c r="H243" s="4">
        <f t="shared" si="15"/>
        <v>30.43</v>
      </c>
      <c r="I243" s="4">
        <f t="shared" si="16"/>
        <v>62.68</v>
      </c>
      <c r="J243" s="4"/>
    </row>
    <row r="244" spans="1:10" s="2" customFormat="1" ht="24" customHeight="1">
      <c r="A244" s="7">
        <v>242</v>
      </c>
      <c r="B244" s="1" t="s">
        <v>76</v>
      </c>
      <c r="C244" s="1" t="str">
        <f>"谭乐奴"</f>
        <v>谭乐奴</v>
      </c>
      <c r="D244" s="3">
        <v>1906022906</v>
      </c>
      <c r="E244" s="4">
        <v>54.75</v>
      </c>
      <c r="F244" s="4">
        <f t="shared" si="14"/>
        <v>32.85</v>
      </c>
      <c r="G244" s="4">
        <v>73.239999999999995</v>
      </c>
      <c r="H244" s="4">
        <f t="shared" si="15"/>
        <v>29.3</v>
      </c>
      <c r="I244" s="4">
        <f t="shared" si="16"/>
        <v>62.150000000000006</v>
      </c>
      <c r="J244" s="4"/>
    </row>
    <row r="245" spans="1:10" s="2" customFormat="1" ht="24" customHeight="1">
      <c r="A245" s="7">
        <v>243</v>
      </c>
      <c r="B245" s="1" t="s">
        <v>76</v>
      </c>
      <c r="C245" s="1" t="str">
        <f>"谭丽"</f>
        <v>谭丽</v>
      </c>
      <c r="D245" s="3">
        <v>1906023132</v>
      </c>
      <c r="E245" s="4">
        <v>54.25</v>
      </c>
      <c r="F245" s="4">
        <f t="shared" si="14"/>
        <v>32.549999999999997</v>
      </c>
      <c r="G245" s="4">
        <v>73.459999999999994</v>
      </c>
      <c r="H245" s="4">
        <f t="shared" si="15"/>
        <v>29.38</v>
      </c>
      <c r="I245" s="4">
        <f t="shared" si="16"/>
        <v>61.929999999999993</v>
      </c>
      <c r="J245" s="4"/>
    </row>
    <row r="246" spans="1:10" s="2" customFormat="1" ht="24" customHeight="1">
      <c r="A246" s="7">
        <v>244</v>
      </c>
      <c r="B246" s="1" t="s">
        <v>76</v>
      </c>
      <c r="C246" s="1" t="str">
        <f>"刘珍珍"</f>
        <v>刘珍珍</v>
      </c>
      <c r="D246" s="3">
        <v>1906022914</v>
      </c>
      <c r="E246" s="4">
        <v>53.5</v>
      </c>
      <c r="F246" s="4">
        <f t="shared" si="14"/>
        <v>32.1</v>
      </c>
      <c r="G246" s="4">
        <v>74.099999999999994</v>
      </c>
      <c r="H246" s="4">
        <f t="shared" si="15"/>
        <v>29.64</v>
      </c>
      <c r="I246" s="4">
        <f t="shared" si="16"/>
        <v>61.74</v>
      </c>
      <c r="J246" s="4"/>
    </row>
    <row r="247" spans="1:10" s="2" customFormat="1" ht="24" customHeight="1">
      <c r="A247" s="7">
        <v>245</v>
      </c>
      <c r="B247" s="1" t="s">
        <v>76</v>
      </c>
      <c r="C247" s="1" t="str">
        <f>"刘妙芝"</f>
        <v>刘妙芝</v>
      </c>
      <c r="D247" s="3">
        <v>1906022831</v>
      </c>
      <c r="E247" s="4">
        <v>54.5</v>
      </c>
      <c r="F247" s="4">
        <f t="shared" si="14"/>
        <v>32.699999999999996</v>
      </c>
      <c r="G247" s="4">
        <v>71.8</v>
      </c>
      <c r="H247" s="4">
        <f t="shared" si="15"/>
        <v>28.72</v>
      </c>
      <c r="I247" s="4">
        <f t="shared" si="16"/>
        <v>61.419999999999995</v>
      </c>
      <c r="J247" s="4"/>
    </row>
    <row r="248" spans="1:10" s="2" customFormat="1" ht="24" customHeight="1">
      <c r="A248" s="7">
        <v>246</v>
      </c>
      <c r="B248" s="1" t="s">
        <v>76</v>
      </c>
      <c r="C248" s="1" t="str">
        <f>"彭文嵘"</f>
        <v>彭文嵘</v>
      </c>
      <c r="D248" s="3">
        <v>1906022823</v>
      </c>
      <c r="E248" s="4">
        <v>53.75</v>
      </c>
      <c r="F248" s="4">
        <f t="shared" si="14"/>
        <v>32.25</v>
      </c>
      <c r="G248" s="4">
        <v>72.72</v>
      </c>
      <c r="H248" s="4">
        <f t="shared" si="15"/>
        <v>29.09</v>
      </c>
      <c r="I248" s="4">
        <f t="shared" si="16"/>
        <v>61.34</v>
      </c>
      <c r="J248" s="4"/>
    </row>
    <row r="249" spans="1:10" s="2" customFormat="1" ht="24" customHeight="1">
      <c r="A249" s="7">
        <v>247</v>
      </c>
      <c r="B249" s="1" t="s">
        <v>76</v>
      </c>
      <c r="C249" s="1" t="str">
        <f>"蔡雅丽"</f>
        <v>蔡雅丽</v>
      </c>
      <c r="D249" s="3">
        <v>1906022926</v>
      </c>
      <c r="E249" s="4">
        <v>54</v>
      </c>
      <c r="F249" s="4">
        <f t="shared" si="14"/>
        <v>32.4</v>
      </c>
      <c r="G249" s="4">
        <v>71.2</v>
      </c>
      <c r="H249" s="4">
        <f t="shared" si="15"/>
        <v>28.48</v>
      </c>
      <c r="I249" s="4">
        <f t="shared" si="16"/>
        <v>60.879999999999995</v>
      </c>
      <c r="J249" s="4"/>
    </row>
    <row r="250" spans="1:10" s="2" customFormat="1" ht="24" customHeight="1">
      <c r="A250" s="7">
        <v>248</v>
      </c>
      <c r="B250" s="1" t="s">
        <v>76</v>
      </c>
      <c r="C250" s="1" t="str">
        <f>"周婷婷"</f>
        <v>周婷婷</v>
      </c>
      <c r="D250" s="3">
        <v>1906023127</v>
      </c>
      <c r="E250" s="4">
        <v>57.25</v>
      </c>
      <c r="F250" s="4">
        <f t="shared" si="14"/>
        <v>34.35</v>
      </c>
      <c r="G250" s="4">
        <v>0</v>
      </c>
      <c r="H250" s="4">
        <f t="shared" si="15"/>
        <v>0</v>
      </c>
      <c r="I250" s="4">
        <f t="shared" si="16"/>
        <v>34.35</v>
      </c>
      <c r="J250" s="4" t="s">
        <v>5</v>
      </c>
    </row>
    <row r="251" spans="1:10" s="2" customFormat="1" ht="24" customHeight="1">
      <c r="A251" s="7">
        <v>249</v>
      </c>
      <c r="B251" s="1" t="s">
        <v>76</v>
      </c>
      <c r="C251" s="1" t="str">
        <f>"彭慧慧"</f>
        <v>彭慧慧</v>
      </c>
      <c r="D251" s="3">
        <v>1906022907</v>
      </c>
      <c r="E251" s="4">
        <v>53.75</v>
      </c>
      <c r="F251" s="4">
        <f t="shared" si="14"/>
        <v>32.25</v>
      </c>
      <c r="G251" s="4">
        <v>0</v>
      </c>
      <c r="H251" s="4">
        <f t="shared" si="15"/>
        <v>0</v>
      </c>
      <c r="I251" s="4">
        <f t="shared" si="16"/>
        <v>32.25</v>
      </c>
      <c r="J251" s="4" t="s">
        <v>5</v>
      </c>
    </row>
    <row r="252" spans="1:10" s="2" customFormat="1" ht="24" customHeight="1">
      <c r="A252" s="7">
        <v>250</v>
      </c>
      <c r="B252" s="1" t="s">
        <v>77</v>
      </c>
      <c r="C252" s="1" t="str">
        <f>"肖慧红"</f>
        <v>肖慧红</v>
      </c>
      <c r="D252" s="3">
        <v>1906023311</v>
      </c>
      <c r="E252" s="4">
        <v>77.75</v>
      </c>
      <c r="F252" s="4">
        <f t="shared" si="14"/>
        <v>46.65</v>
      </c>
      <c r="G252" s="4">
        <v>77.2</v>
      </c>
      <c r="H252" s="4">
        <f t="shared" si="15"/>
        <v>30.88</v>
      </c>
      <c r="I252" s="4">
        <f t="shared" si="16"/>
        <v>77.53</v>
      </c>
      <c r="J252" s="4"/>
    </row>
    <row r="253" spans="1:10" s="2" customFormat="1" ht="24" customHeight="1">
      <c r="A253" s="7">
        <v>251</v>
      </c>
      <c r="B253" s="1" t="s">
        <v>77</v>
      </c>
      <c r="C253" s="1" t="str">
        <f>"贺燕锋"</f>
        <v>贺燕锋</v>
      </c>
      <c r="D253" s="3">
        <v>1906023218</v>
      </c>
      <c r="E253" s="4">
        <v>76</v>
      </c>
      <c r="F253" s="4">
        <f t="shared" si="14"/>
        <v>45.6</v>
      </c>
      <c r="G253" s="4">
        <v>74.400000000000006</v>
      </c>
      <c r="H253" s="4">
        <f t="shared" si="15"/>
        <v>29.76</v>
      </c>
      <c r="I253" s="4">
        <f t="shared" si="16"/>
        <v>75.36</v>
      </c>
      <c r="J253" s="4"/>
    </row>
    <row r="254" spans="1:10" s="2" customFormat="1" ht="24" customHeight="1">
      <c r="A254" s="7">
        <v>252</v>
      </c>
      <c r="B254" s="1" t="s">
        <v>77</v>
      </c>
      <c r="C254" s="1" t="str">
        <f>"阳媚"</f>
        <v>阳媚</v>
      </c>
      <c r="D254" s="3">
        <v>1906023415</v>
      </c>
      <c r="E254" s="4">
        <v>74</v>
      </c>
      <c r="F254" s="4">
        <f t="shared" si="14"/>
        <v>44.4</v>
      </c>
      <c r="G254" s="4">
        <v>74.8</v>
      </c>
      <c r="H254" s="4">
        <f t="shared" si="15"/>
        <v>29.92</v>
      </c>
      <c r="I254" s="4">
        <f t="shared" si="16"/>
        <v>74.319999999999993</v>
      </c>
      <c r="J254" s="4"/>
    </row>
    <row r="255" spans="1:10" s="2" customFormat="1" ht="24" customHeight="1">
      <c r="A255" s="7">
        <v>253</v>
      </c>
      <c r="B255" s="1" t="s">
        <v>77</v>
      </c>
      <c r="C255" s="1" t="str">
        <f>"殷婵"</f>
        <v>殷婵</v>
      </c>
      <c r="D255" s="3">
        <v>1906023318</v>
      </c>
      <c r="E255" s="4">
        <v>72.75</v>
      </c>
      <c r="F255" s="4">
        <f t="shared" si="14"/>
        <v>43.65</v>
      </c>
      <c r="G255" s="4">
        <v>75</v>
      </c>
      <c r="H255" s="4">
        <f t="shared" si="15"/>
        <v>30</v>
      </c>
      <c r="I255" s="4">
        <f t="shared" si="16"/>
        <v>73.650000000000006</v>
      </c>
      <c r="J255" s="4"/>
    </row>
    <row r="256" spans="1:10" s="2" customFormat="1" ht="24" customHeight="1">
      <c r="A256" s="7">
        <v>254</v>
      </c>
      <c r="B256" s="1" t="s">
        <v>77</v>
      </c>
      <c r="C256" s="1" t="str">
        <f>"尹丽芳"</f>
        <v>尹丽芳</v>
      </c>
      <c r="D256" s="3">
        <v>1906023225</v>
      </c>
      <c r="E256" s="4">
        <v>72</v>
      </c>
      <c r="F256" s="4">
        <f t="shared" si="14"/>
        <v>43.199999999999996</v>
      </c>
      <c r="G256" s="4">
        <v>75.8</v>
      </c>
      <c r="H256" s="4">
        <f t="shared" si="15"/>
        <v>30.32</v>
      </c>
      <c r="I256" s="4">
        <f t="shared" si="16"/>
        <v>73.52</v>
      </c>
      <c r="J256" s="4"/>
    </row>
    <row r="257" spans="1:10" s="2" customFormat="1" ht="24" customHeight="1">
      <c r="A257" s="7">
        <v>255</v>
      </c>
      <c r="B257" s="1" t="s">
        <v>77</v>
      </c>
      <c r="C257" s="1" t="str">
        <f>"戚易苹"</f>
        <v>戚易苹</v>
      </c>
      <c r="D257" s="3">
        <v>1906023221</v>
      </c>
      <c r="E257" s="4">
        <v>72</v>
      </c>
      <c r="F257" s="4">
        <f t="shared" si="14"/>
        <v>43.199999999999996</v>
      </c>
      <c r="G257" s="4">
        <v>75</v>
      </c>
      <c r="H257" s="4">
        <f t="shared" si="15"/>
        <v>30</v>
      </c>
      <c r="I257" s="4">
        <f t="shared" si="16"/>
        <v>73.199999999999989</v>
      </c>
      <c r="J257" s="4"/>
    </row>
    <row r="258" spans="1:10" s="2" customFormat="1" ht="24" customHeight="1">
      <c r="A258" s="7">
        <v>256</v>
      </c>
      <c r="B258" s="1" t="s">
        <v>77</v>
      </c>
      <c r="C258" s="1" t="str">
        <f>"李娟"</f>
        <v>李娟</v>
      </c>
      <c r="D258" s="3">
        <v>1906023227</v>
      </c>
      <c r="E258" s="4">
        <v>71</v>
      </c>
      <c r="F258" s="4">
        <f t="shared" si="14"/>
        <v>42.6</v>
      </c>
      <c r="G258" s="4">
        <v>76.400000000000006</v>
      </c>
      <c r="H258" s="4">
        <f t="shared" si="15"/>
        <v>30.56</v>
      </c>
      <c r="I258" s="4">
        <f t="shared" si="16"/>
        <v>73.16</v>
      </c>
      <c r="J258" s="4"/>
    </row>
    <row r="259" spans="1:10" s="2" customFormat="1" ht="24" customHeight="1">
      <c r="A259" s="7">
        <v>257</v>
      </c>
      <c r="B259" s="1" t="s">
        <v>77</v>
      </c>
      <c r="C259" s="1" t="str">
        <f>"刘华玲"</f>
        <v>刘华玲</v>
      </c>
      <c r="D259" s="3">
        <v>1906023325</v>
      </c>
      <c r="E259" s="4">
        <v>71.75</v>
      </c>
      <c r="F259" s="4">
        <f t="shared" si="14"/>
        <v>43.05</v>
      </c>
      <c r="G259" s="4">
        <v>73.8</v>
      </c>
      <c r="H259" s="4">
        <f t="shared" si="15"/>
        <v>29.52</v>
      </c>
      <c r="I259" s="4">
        <f t="shared" si="16"/>
        <v>72.569999999999993</v>
      </c>
      <c r="J259" s="4"/>
    </row>
    <row r="260" spans="1:10" s="2" customFormat="1" ht="24" customHeight="1">
      <c r="A260" s="7">
        <v>258</v>
      </c>
      <c r="B260" s="1" t="s">
        <v>77</v>
      </c>
      <c r="C260" s="1" t="str">
        <f>"梁正梅"</f>
        <v>梁正梅</v>
      </c>
      <c r="D260" s="3">
        <v>1906023231</v>
      </c>
      <c r="E260" s="4">
        <v>70.25</v>
      </c>
      <c r="F260" s="4">
        <f t="shared" si="14"/>
        <v>42.15</v>
      </c>
      <c r="G260" s="4">
        <v>74.599999999999994</v>
      </c>
      <c r="H260" s="4">
        <f t="shared" si="15"/>
        <v>29.84</v>
      </c>
      <c r="I260" s="4">
        <f t="shared" si="16"/>
        <v>71.989999999999995</v>
      </c>
      <c r="J260" s="4"/>
    </row>
    <row r="261" spans="1:10" s="2" customFormat="1" ht="24" customHeight="1">
      <c r="A261" s="7">
        <v>259</v>
      </c>
      <c r="B261" s="1" t="s">
        <v>77</v>
      </c>
      <c r="C261" s="1" t="str">
        <f>"贺海莉"</f>
        <v>贺海莉</v>
      </c>
      <c r="D261" s="3">
        <v>1906023204</v>
      </c>
      <c r="E261" s="4">
        <v>70</v>
      </c>
      <c r="F261" s="4">
        <f t="shared" si="14"/>
        <v>42</v>
      </c>
      <c r="G261" s="4">
        <v>74</v>
      </c>
      <c r="H261" s="4">
        <f t="shared" si="15"/>
        <v>29.6</v>
      </c>
      <c r="I261" s="4">
        <f t="shared" si="16"/>
        <v>71.599999999999994</v>
      </c>
      <c r="J261" s="4"/>
    </row>
    <row r="262" spans="1:10" s="2" customFormat="1" ht="24" customHeight="1">
      <c r="A262" s="7">
        <v>260</v>
      </c>
      <c r="B262" s="1" t="s">
        <v>77</v>
      </c>
      <c r="C262" s="1" t="str">
        <f>"黄群"</f>
        <v>黄群</v>
      </c>
      <c r="D262" s="3">
        <v>1906023315</v>
      </c>
      <c r="E262" s="4">
        <v>68.5</v>
      </c>
      <c r="F262" s="4">
        <f t="shared" si="14"/>
        <v>41.1</v>
      </c>
      <c r="G262" s="4">
        <v>74.400000000000006</v>
      </c>
      <c r="H262" s="4">
        <f t="shared" si="15"/>
        <v>29.76</v>
      </c>
      <c r="I262" s="4">
        <f t="shared" si="16"/>
        <v>70.86</v>
      </c>
      <c r="J262" s="4"/>
    </row>
    <row r="263" spans="1:10" s="2" customFormat="1" ht="24" customHeight="1">
      <c r="A263" s="7">
        <v>261</v>
      </c>
      <c r="B263" s="1" t="s">
        <v>77</v>
      </c>
      <c r="C263" s="1" t="str">
        <f>"刘平"</f>
        <v>刘平</v>
      </c>
      <c r="D263" s="3">
        <v>1906023212</v>
      </c>
      <c r="E263" s="4">
        <v>68</v>
      </c>
      <c r="F263" s="4">
        <f t="shared" si="14"/>
        <v>40.799999999999997</v>
      </c>
      <c r="G263" s="4">
        <v>74.599999999999994</v>
      </c>
      <c r="H263" s="4">
        <f t="shared" si="15"/>
        <v>29.84</v>
      </c>
      <c r="I263" s="4">
        <f t="shared" si="16"/>
        <v>70.64</v>
      </c>
      <c r="J263" s="4"/>
    </row>
    <row r="264" spans="1:10" s="2" customFormat="1" ht="24" customHeight="1">
      <c r="A264" s="7">
        <v>262</v>
      </c>
      <c r="B264" s="1" t="s">
        <v>77</v>
      </c>
      <c r="C264" s="1" t="str">
        <f>"段利群"</f>
        <v>段利群</v>
      </c>
      <c r="D264" s="3">
        <v>1906023210</v>
      </c>
      <c r="E264" s="4">
        <v>67.25</v>
      </c>
      <c r="F264" s="4">
        <f t="shared" si="14"/>
        <v>40.35</v>
      </c>
      <c r="G264" s="4">
        <v>75.599999999999994</v>
      </c>
      <c r="H264" s="4">
        <f t="shared" si="15"/>
        <v>30.24</v>
      </c>
      <c r="I264" s="4">
        <f t="shared" si="16"/>
        <v>70.59</v>
      </c>
      <c r="J264" s="4"/>
    </row>
    <row r="265" spans="1:10" s="2" customFormat="1" ht="24" customHeight="1">
      <c r="A265" s="7">
        <v>263</v>
      </c>
      <c r="B265" s="1" t="s">
        <v>77</v>
      </c>
      <c r="C265" s="1" t="str">
        <f>"单雪玲"</f>
        <v>单雪玲</v>
      </c>
      <c r="D265" s="3">
        <v>1906023404</v>
      </c>
      <c r="E265" s="4">
        <v>67.25</v>
      </c>
      <c r="F265" s="4">
        <f t="shared" si="14"/>
        <v>40.35</v>
      </c>
      <c r="G265" s="4">
        <v>75.599999999999994</v>
      </c>
      <c r="H265" s="4">
        <f t="shared" si="15"/>
        <v>30.24</v>
      </c>
      <c r="I265" s="4">
        <f t="shared" si="16"/>
        <v>70.59</v>
      </c>
      <c r="J265" s="4"/>
    </row>
    <row r="266" spans="1:10" s="2" customFormat="1" ht="24" customHeight="1">
      <c r="A266" s="7">
        <v>264</v>
      </c>
      <c r="B266" s="1" t="s">
        <v>77</v>
      </c>
      <c r="C266" s="1" t="str">
        <f>"肖阳"</f>
        <v>肖阳</v>
      </c>
      <c r="D266" s="3">
        <v>1906023223</v>
      </c>
      <c r="E266" s="4">
        <v>67.25</v>
      </c>
      <c r="F266" s="4">
        <f t="shared" si="14"/>
        <v>40.35</v>
      </c>
      <c r="G266" s="4">
        <v>74.8</v>
      </c>
      <c r="H266" s="4">
        <f t="shared" si="15"/>
        <v>29.92</v>
      </c>
      <c r="I266" s="4">
        <f t="shared" si="16"/>
        <v>70.27000000000001</v>
      </c>
      <c r="J266" s="4"/>
    </row>
    <row r="267" spans="1:10" s="2" customFormat="1" ht="24" customHeight="1">
      <c r="A267" s="7">
        <v>265</v>
      </c>
      <c r="B267" s="1" t="s">
        <v>77</v>
      </c>
      <c r="C267" s="1" t="str">
        <f>"周雅雯"</f>
        <v>周雅雯</v>
      </c>
      <c r="D267" s="3">
        <v>1906023306</v>
      </c>
      <c r="E267" s="4">
        <v>68.5</v>
      </c>
      <c r="F267" s="4">
        <f t="shared" si="14"/>
        <v>41.1</v>
      </c>
      <c r="G267" s="4">
        <v>72.8</v>
      </c>
      <c r="H267" s="4">
        <f t="shared" si="15"/>
        <v>29.12</v>
      </c>
      <c r="I267" s="4">
        <f t="shared" si="16"/>
        <v>70.22</v>
      </c>
      <c r="J267" s="4"/>
    </row>
    <row r="268" spans="1:10" s="2" customFormat="1" ht="24" customHeight="1">
      <c r="A268" s="7">
        <v>266</v>
      </c>
      <c r="B268" s="1" t="s">
        <v>77</v>
      </c>
      <c r="C268" s="1" t="str">
        <f>"彭园"</f>
        <v>彭园</v>
      </c>
      <c r="D268" s="3">
        <v>1906023319</v>
      </c>
      <c r="E268" s="4">
        <v>67.5</v>
      </c>
      <c r="F268" s="4">
        <f t="shared" si="14"/>
        <v>40.5</v>
      </c>
      <c r="G268" s="4">
        <v>73.2</v>
      </c>
      <c r="H268" s="4">
        <f t="shared" si="15"/>
        <v>29.28</v>
      </c>
      <c r="I268" s="4">
        <f t="shared" si="16"/>
        <v>69.78</v>
      </c>
      <c r="J268" s="4"/>
    </row>
    <row r="269" spans="1:10" s="2" customFormat="1" ht="24" customHeight="1">
      <c r="A269" s="7">
        <v>267</v>
      </c>
      <c r="B269" s="1" t="s">
        <v>77</v>
      </c>
      <c r="C269" s="1" t="str">
        <f>"欧阳婷"</f>
        <v>欧阳婷</v>
      </c>
      <c r="D269" s="3">
        <v>1906023334</v>
      </c>
      <c r="E269" s="4">
        <v>65.25</v>
      </c>
      <c r="F269" s="4">
        <f t="shared" si="14"/>
        <v>39.15</v>
      </c>
      <c r="G269" s="4">
        <v>75.8</v>
      </c>
      <c r="H269" s="4">
        <f t="shared" si="15"/>
        <v>30.32</v>
      </c>
      <c r="I269" s="4">
        <f t="shared" si="16"/>
        <v>69.47</v>
      </c>
      <c r="J269" s="4"/>
    </row>
    <row r="270" spans="1:10" s="2" customFormat="1" ht="24" customHeight="1">
      <c r="A270" s="7">
        <v>268</v>
      </c>
      <c r="B270" s="1" t="s">
        <v>77</v>
      </c>
      <c r="C270" s="1" t="str">
        <f>"贺蓓"</f>
        <v>贺蓓</v>
      </c>
      <c r="D270" s="3">
        <v>1906023302</v>
      </c>
      <c r="E270" s="4">
        <v>65</v>
      </c>
      <c r="F270" s="4">
        <f t="shared" si="14"/>
        <v>39</v>
      </c>
      <c r="G270" s="4">
        <v>75.400000000000006</v>
      </c>
      <c r="H270" s="4">
        <f t="shared" si="15"/>
        <v>30.16</v>
      </c>
      <c r="I270" s="4">
        <f t="shared" si="16"/>
        <v>69.16</v>
      </c>
      <c r="J270" s="4"/>
    </row>
    <row r="271" spans="1:10" s="2" customFormat="1" ht="24" customHeight="1">
      <c r="A271" s="7">
        <v>269</v>
      </c>
      <c r="B271" s="1" t="s">
        <v>77</v>
      </c>
      <c r="C271" s="1" t="str">
        <f>"严兰"</f>
        <v>严兰</v>
      </c>
      <c r="D271" s="3">
        <v>1906023403</v>
      </c>
      <c r="E271" s="4">
        <v>64</v>
      </c>
      <c r="F271" s="4">
        <f t="shared" si="14"/>
        <v>38.4</v>
      </c>
      <c r="G271" s="4">
        <v>76.8</v>
      </c>
      <c r="H271" s="4">
        <f t="shared" si="15"/>
        <v>30.72</v>
      </c>
      <c r="I271" s="4">
        <f t="shared" si="16"/>
        <v>69.12</v>
      </c>
      <c r="J271" s="4"/>
    </row>
    <row r="272" spans="1:10" s="2" customFormat="1" ht="24" customHeight="1">
      <c r="A272" s="7">
        <v>270</v>
      </c>
      <c r="B272" s="1" t="s">
        <v>77</v>
      </c>
      <c r="C272" s="1" t="str">
        <f>"李沙沙"</f>
        <v>李沙沙</v>
      </c>
      <c r="D272" s="3">
        <v>1906023314</v>
      </c>
      <c r="E272" s="4">
        <v>66.5</v>
      </c>
      <c r="F272" s="4">
        <f t="shared" si="14"/>
        <v>39.9</v>
      </c>
      <c r="G272" s="4">
        <v>72.8</v>
      </c>
      <c r="H272" s="4">
        <f t="shared" si="15"/>
        <v>29.12</v>
      </c>
      <c r="I272" s="4">
        <f t="shared" si="16"/>
        <v>69.02</v>
      </c>
      <c r="J272" s="4"/>
    </row>
    <row r="273" spans="1:10" s="2" customFormat="1" ht="24" customHeight="1">
      <c r="A273" s="7">
        <v>271</v>
      </c>
      <c r="B273" s="1" t="s">
        <v>77</v>
      </c>
      <c r="C273" s="1" t="str">
        <f>"谭青青"</f>
        <v>谭青青</v>
      </c>
      <c r="D273" s="3">
        <v>1906023303</v>
      </c>
      <c r="E273" s="4">
        <v>66.5</v>
      </c>
      <c r="F273" s="4">
        <f t="shared" si="14"/>
        <v>39.9</v>
      </c>
      <c r="G273" s="4">
        <v>72.599999999999994</v>
      </c>
      <c r="H273" s="4">
        <f t="shared" si="15"/>
        <v>29.04</v>
      </c>
      <c r="I273" s="4">
        <f t="shared" si="16"/>
        <v>68.94</v>
      </c>
      <c r="J273" s="4"/>
    </row>
    <row r="274" spans="1:10" s="2" customFormat="1" ht="24" customHeight="1">
      <c r="A274" s="7">
        <v>272</v>
      </c>
      <c r="B274" s="1" t="s">
        <v>77</v>
      </c>
      <c r="C274" s="1" t="str">
        <f>"刘晓俊"</f>
        <v>刘晓俊</v>
      </c>
      <c r="D274" s="3">
        <v>1906023234</v>
      </c>
      <c r="E274" s="4">
        <v>64</v>
      </c>
      <c r="F274" s="4">
        <f t="shared" si="14"/>
        <v>38.4</v>
      </c>
      <c r="G274" s="4">
        <v>76</v>
      </c>
      <c r="H274" s="4">
        <f t="shared" si="15"/>
        <v>30.4</v>
      </c>
      <c r="I274" s="4">
        <f t="shared" si="16"/>
        <v>68.8</v>
      </c>
      <c r="J274" s="4"/>
    </row>
    <row r="275" spans="1:10" s="2" customFormat="1" ht="24" customHeight="1">
      <c r="A275" s="7">
        <v>273</v>
      </c>
      <c r="B275" s="1" t="s">
        <v>77</v>
      </c>
      <c r="C275" s="1" t="str">
        <f>"夏攀"</f>
        <v>夏攀</v>
      </c>
      <c r="D275" s="3">
        <v>1906023226</v>
      </c>
      <c r="E275" s="4">
        <v>62.5</v>
      </c>
      <c r="F275" s="4">
        <f t="shared" si="14"/>
        <v>37.5</v>
      </c>
      <c r="G275" s="4">
        <v>76.599999999999994</v>
      </c>
      <c r="H275" s="4">
        <f t="shared" si="15"/>
        <v>30.64</v>
      </c>
      <c r="I275" s="4">
        <f t="shared" si="16"/>
        <v>68.14</v>
      </c>
      <c r="J275" s="4"/>
    </row>
    <row r="276" spans="1:10" s="2" customFormat="1" ht="24" customHeight="1">
      <c r="A276" s="7">
        <v>274</v>
      </c>
      <c r="B276" s="1" t="s">
        <v>77</v>
      </c>
      <c r="C276" s="1" t="str">
        <f>"谭发伟"</f>
        <v>谭发伟</v>
      </c>
      <c r="D276" s="3">
        <v>1906023331</v>
      </c>
      <c r="E276" s="4">
        <v>64.75</v>
      </c>
      <c r="F276" s="4">
        <f t="shared" si="14"/>
        <v>38.85</v>
      </c>
      <c r="G276" s="4">
        <v>73</v>
      </c>
      <c r="H276" s="4">
        <f t="shared" si="15"/>
        <v>29.2</v>
      </c>
      <c r="I276" s="4">
        <f t="shared" si="16"/>
        <v>68.05</v>
      </c>
      <c r="J276" s="4"/>
    </row>
    <row r="277" spans="1:10" s="2" customFormat="1" ht="24" customHeight="1">
      <c r="A277" s="7">
        <v>275</v>
      </c>
      <c r="B277" s="1" t="s">
        <v>77</v>
      </c>
      <c r="C277" s="1" t="str">
        <f>"易频"</f>
        <v>易频</v>
      </c>
      <c r="D277" s="3">
        <v>1906023229</v>
      </c>
      <c r="E277" s="4">
        <v>62.75</v>
      </c>
      <c r="F277" s="4">
        <f t="shared" si="14"/>
        <v>37.65</v>
      </c>
      <c r="G277" s="4">
        <v>75.599999999999994</v>
      </c>
      <c r="H277" s="4">
        <f t="shared" si="15"/>
        <v>30.24</v>
      </c>
      <c r="I277" s="4">
        <f t="shared" si="16"/>
        <v>67.89</v>
      </c>
      <c r="J277" s="4"/>
    </row>
    <row r="278" spans="1:10" s="2" customFormat="1" ht="24" customHeight="1">
      <c r="A278" s="7">
        <v>276</v>
      </c>
      <c r="B278" s="1" t="s">
        <v>77</v>
      </c>
      <c r="C278" s="1" t="str">
        <f>"郭美娟"</f>
        <v>郭美娟</v>
      </c>
      <c r="D278" s="3">
        <v>1906023208</v>
      </c>
      <c r="E278" s="4">
        <v>60.75</v>
      </c>
      <c r="F278" s="4">
        <f t="shared" si="14"/>
        <v>36.449999999999996</v>
      </c>
      <c r="G278" s="4">
        <v>77.2</v>
      </c>
      <c r="H278" s="4">
        <f t="shared" si="15"/>
        <v>30.88</v>
      </c>
      <c r="I278" s="4">
        <f t="shared" si="16"/>
        <v>67.33</v>
      </c>
      <c r="J278" s="4"/>
    </row>
    <row r="279" spans="1:10" s="2" customFormat="1" ht="24" customHeight="1">
      <c r="A279" s="7">
        <v>277</v>
      </c>
      <c r="B279" s="1" t="s">
        <v>77</v>
      </c>
      <c r="C279" s="1" t="str">
        <f>"彭英杰"</f>
        <v>彭英杰</v>
      </c>
      <c r="D279" s="3">
        <v>1906023405</v>
      </c>
      <c r="E279" s="4">
        <v>63.75</v>
      </c>
      <c r="F279" s="4">
        <f t="shared" si="14"/>
        <v>38.25</v>
      </c>
      <c r="G279" s="4">
        <v>71.400000000000006</v>
      </c>
      <c r="H279" s="4">
        <f t="shared" si="15"/>
        <v>28.56</v>
      </c>
      <c r="I279" s="4">
        <f t="shared" si="16"/>
        <v>66.81</v>
      </c>
      <c r="J279" s="4"/>
    </row>
    <row r="280" spans="1:10" s="2" customFormat="1" ht="24" customHeight="1">
      <c r="A280" s="7">
        <v>278</v>
      </c>
      <c r="B280" s="1" t="s">
        <v>77</v>
      </c>
      <c r="C280" s="1" t="str">
        <f>"王欢"</f>
        <v>王欢</v>
      </c>
      <c r="D280" s="3">
        <v>1906023423</v>
      </c>
      <c r="E280" s="4">
        <v>62.5</v>
      </c>
      <c r="F280" s="4">
        <f t="shared" si="14"/>
        <v>37.5</v>
      </c>
      <c r="G280" s="4">
        <v>72.599999999999994</v>
      </c>
      <c r="H280" s="4">
        <f t="shared" si="15"/>
        <v>29.04</v>
      </c>
      <c r="I280" s="4">
        <f t="shared" si="16"/>
        <v>66.539999999999992</v>
      </c>
      <c r="J280" s="4"/>
    </row>
    <row r="281" spans="1:10" s="2" customFormat="1" ht="24" customHeight="1">
      <c r="A281" s="7">
        <v>279</v>
      </c>
      <c r="B281" s="1" t="s">
        <v>77</v>
      </c>
      <c r="C281" s="1" t="str">
        <f>"曾海丽"</f>
        <v>曾海丽</v>
      </c>
      <c r="D281" s="3">
        <v>1906023230</v>
      </c>
      <c r="E281" s="4">
        <v>60.5</v>
      </c>
      <c r="F281" s="4">
        <f t="shared" si="14"/>
        <v>36.299999999999997</v>
      </c>
      <c r="G281" s="4">
        <v>75</v>
      </c>
      <c r="H281" s="4">
        <f t="shared" si="15"/>
        <v>30</v>
      </c>
      <c r="I281" s="4">
        <f t="shared" si="16"/>
        <v>66.3</v>
      </c>
      <c r="J281" s="4"/>
    </row>
    <row r="282" spans="1:10" s="2" customFormat="1" ht="24" customHeight="1">
      <c r="A282" s="7">
        <v>280</v>
      </c>
      <c r="B282" s="1" t="s">
        <v>77</v>
      </c>
      <c r="C282" s="1" t="str">
        <f>"杨意"</f>
        <v>杨意</v>
      </c>
      <c r="D282" s="3">
        <v>1906023203</v>
      </c>
      <c r="E282" s="4">
        <v>60</v>
      </c>
      <c r="F282" s="4">
        <f t="shared" si="14"/>
        <v>36</v>
      </c>
      <c r="G282" s="4">
        <v>75.400000000000006</v>
      </c>
      <c r="H282" s="4">
        <f t="shared" si="15"/>
        <v>30.16</v>
      </c>
      <c r="I282" s="4">
        <f t="shared" si="16"/>
        <v>66.16</v>
      </c>
      <c r="J282" s="4"/>
    </row>
    <row r="283" spans="1:10" s="2" customFormat="1" ht="24" customHeight="1">
      <c r="A283" s="7">
        <v>281</v>
      </c>
      <c r="B283" s="1" t="s">
        <v>77</v>
      </c>
      <c r="C283" s="1" t="str">
        <f>"胡刘霞"</f>
        <v>胡刘霞</v>
      </c>
      <c r="D283" s="3">
        <v>1906023407</v>
      </c>
      <c r="E283" s="4">
        <v>60.75</v>
      </c>
      <c r="F283" s="4">
        <f t="shared" si="14"/>
        <v>36.449999999999996</v>
      </c>
      <c r="G283" s="4">
        <v>73</v>
      </c>
      <c r="H283" s="4">
        <f t="shared" si="15"/>
        <v>29.2</v>
      </c>
      <c r="I283" s="4">
        <f t="shared" si="16"/>
        <v>65.649999999999991</v>
      </c>
      <c r="J283" s="4"/>
    </row>
    <row r="284" spans="1:10" s="2" customFormat="1" ht="24" customHeight="1">
      <c r="A284" s="7">
        <v>282</v>
      </c>
      <c r="B284" s="1" t="s">
        <v>77</v>
      </c>
      <c r="C284" s="1" t="str">
        <f>"凌欢"</f>
        <v>凌欢</v>
      </c>
      <c r="D284" s="3">
        <v>1906023308</v>
      </c>
      <c r="E284" s="4">
        <v>57.75</v>
      </c>
      <c r="F284" s="4">
        <f t="shared" si="14"/>
        <v>34.65</v>
      </c>
      <c r="G284" s="4">
        <v>74.8</v>
      </c>
      <c r="H284" s="4">
        <f t="shared" si="15"/>
        <v>29.92</v>
      </c>
      <c r="I284" s="4">
        <f t="shared" si="16"/>
        <v>64.569999999999993</v>
      </c>
      <c r="J284" s="4"/>
    </row>
    <row r="285" spans="1:10" s="2" customFormat="1" ht="24" customHeight="1">
      <c r="A285" s="7">
        <v>283</v>
      </c>
      <c r="B285" s="1" t="s">
        <v>77</v>
      </c>
      <c r="C285" s="1" t="str">
        <f>"刘雪华"</f>
        <v>刘雪华</v>
      </c>
      <c r="D285" s="3">
        <v>1906023307</v>
      </c>
      <c r="E285" s="4">
        <v>57</v>
      </c>
      <c r="F285" s="4">
        <f t="shared" si="14"/>
        <v>34.199999999999996</v>
      </c>
      <c r="G285" s="4">
        <v>73</v>
      </c>
      <c r="H285" s="4">
        <f t="shared" si="15"/>
        <v>29.2</v>
      </c>
      <c r="I285" s="4">
        <f t="shared" si="16"/>
        <v>63.399999999999991</v>
      </c>
      <c r="J285" s="4"/>
    </row>
    <row r="286" spans="1:10" s="2" customFormat="1" ht="24" customHeight="1">
      <c r="A286" s="7">
        <v>284</v>
      </c>
      <c r="B286" s="1" t="s">
        <v>77</v>
      </c>
      <c r="C286" s="1" t="str">
        <f>"张星星"</f>
        <v>张星星</v>
      </c>
      <c r="D286" s="3">
        <v>1906023219</v>
      </c>
      <c r="E286" s="4">
        <v>49.75</v>
      </c>
      <c r="F286" s="4">
        <f t="shared" si="14"/>
        <v>29.849999999999998</v>
      </c>
      <c r="G286" s="4">
        <v>69</v>
      </c>
      <c r="H286" s="4">
        <f t="shared" si="15"/>
        <v>27.6</v>
      </c>
      <c r="I286" s="4">
        <f t="shared" si="16"/>
        <v>57.45</v>
      </c>
      <c r="J286" s="4"/>
    </row>
    <row r="287" spans="1:10" s="2" customFormat="1" ht="24" customHeight="1">
      <c r="A287" s="7">
        <v>285</v>
      </c>
      <c r="B287" s="1" t="s">
        <v>77</v>
      </c>
      <c r="C287" s="1" t="str">
        <f>"贺玲玲"</f>
        <v>贺玲玲</v>
      </c>
      <c r="D287" s="3">
        <v>1906023220</v>
      </c>
      <c r="E287" s="4">
        <v>67.25</v>
      </c>
      <c r="F287" s="4">
        <f t="shared" si="14"/>
        <v>40.35</v>
      </c>
      <c r="G287" s="4">
        <v>0</v>
      </c>
      <c r="H287" s="4">
        <f t="shared" si="15"/>
        <v>0</v>
      </c>
      <c r="I287" s="4">
        <f t="shared" si="16"/>
        <v>40.35</v>
      </c>
      <c r="J287" s="4" t="s">
        <v>5</v>
      </c>
    </row>
    <row r="288" spans="1:10" s="2" customFormat="1" ht="24" customHeight="1">
      <c r="A288" s="7">
        <v>286</v>
      </c>
      <c r="B288" s="1" t="s">
        <v>77</v>
      </c>
      <c r="C288" s="1" t="str">
        <f>"刘艺"</f>
        <v>刘艺</v>
      </c>
      <c r="D288" s="3">
        <v>1906023333</v>
      </c>
      <c r="E288" s="4">
        <v>62</v>
      </c>
      <c r="F288" s="4">
        <f t="shared" si="14"/>
        <v>37.199999999999996</v>
      </c>
      <c r="G288" s="4">
        <v>0</v>
      </c>
      <c r="H288" s="4">
        <f t="shared" si="15"/>
        <v>0</v>
      </c>
      <c r="I288" s="4">
        <f t="shared" si="16"/>
        <v>37.199999999999996</v>
      </c>
      <c r="J288" s="4" t="s">
        <v>5</v>
      </c>
    </row>
    <row r="289" spans="1:10" s="2" customFormat="1" ht="24" customHeight="1">
      <c r="A289" s="7">
        <v>287</v>
      </c>
      <c r="B289" s="1" t="s">
        <v>77</v>
      </c>
      <c r="C289" s="1" t="str">
        <f>"杨洁"</f>
        <v>杨洁</v>
      </c>
      <c r="D289" s="3">
        <v>1906023312</v>
      </c>
      <c r="E289" s="4">
        <v>61.5</v>
      </c>
      <c r="F289" s="4">
        <f t="shared" si="14"/>
        <v>36.9</v>
      </c>
      <c r="G289" s="4">
        <v>0</v>
      </c>
      <c r="H289" s="4">
        <f t="shared" si="15"/>
        <v>0</v>
      </c>
      <c r="I289" s="4">
        <f t="shared" si="16"/>
        <v>36.9</v>
      </c>
      <c r="J289" s="4" t="s">
        <v>5</v>
      </c>
    </row>
    <row r="290" spans="1:10" s="2" customFormat="1" ht="24" customHeight="1">
      <c r="A290" s="7">
        <v>288</v>
      </c>
      <c r="B290" s="1" t="s">
        <v>77</v>
      </c>
      <c r="C290" s="1" t="str">
        <f>"邹宜思"</f>
        <v>邹宜思</v>
      </c>
      <c r="D290" s="3">
        <v>1906023412</v>
      </c>
      <c r="E290" s="4">
        <v>61.5</v>
      </c>
      <c r="F290" s="4">
        <f t="shared" si="14"/>
        <v>36.9</v>
      </c>
      <c r="G290" s="4">
        <v>0</v>
      </c>
      <c r="H290" s="4">
        <f t="shared" si="15"/>
        <v>0</v>
      </c>
      <c r="I290" s="4">
        <f t="shared" si="16"/>
        <v>36.9</v>
      </c>
      <c r="J290" s="4" t="s">
        <v>5</v>
      </c>
    </row>
    <row r="291" spans="1:10" s="2" customFormat="1" ht="24" customHeight="1">
      <c r="A291" s="7">
        <v>289</v>
      </c>
      <c r="B291" s="1" t="s">
        <v>77</v>
      </c>
      <c r="C291" s="1" t="str">
        <f>"陈发琼"</f>
        <v>陈发琼</v>
      </c>
      <c r="D291" s="3">
        <v>1906023430</v>
      </c>
      <c r="E291" s="4">
        <v>56.5</v>
      </c>
      <c r="F291" s="4">
        <f t="shared" si="14"/>
        <v>33.9</v>
      </c>
      <c r="G291" s="4">
        <v>0</v>
      </c>
      <c r="H291" s="4">
        <f t="shared" si="15"/>
        <v>0</v>
      </c>
      <c r="I291" s="4">
        <f t="shared" si="16"/>
        <v>33.9</v>
      </c>
      <c r="J291" s="4" t="s">
        <v>5</v>
      </c>
    </row>
    <row r="292" spans="1:10" s="2" customFormat="1" ht="24" customHeight="1">
      <c r="A292" s="7">
        <v>290</v>
      </c>
      <c r="B292" s="1" t="s">
        <v>78</v>
      </c>
      <c r="C292" s="1" t="str">
        <f>"张姚鑫"</f>
        <v>张姚鑫</v>
      </c>
      <c r="D292" s="3">
        <v>1906023524</v>
      </c>
      <c r="E292" s="4">
        <v>78.75</v>
      </c>
      <c r="F292" s="4">
        <f t="shared" si="14"/>
        <v>47.25</v>
      </c>
      <c r="G292" s="4">
        <v>75.599999999999994</v>
      </c>
      <c r="H292" s="4">
        <f t="shared" si="15"/>
        <v>30.24</v>
      </c>
      <c r="I292" s="4">
        <f t="shared" si="16"/>
        <v>77.489999999999995</v>
      </c>
      <c r="J292" s="4"/>
    </row>
    <row r="293" spans="1:10" s="2" customFormat="1" ht="24" customHeight="1">
      <c r="A293" s="7">
        <v>291</v>
      </c>
      <c r="B293" s="1" t="s">
        <v>78</v>
      </c>
      <c r="C293" s="1" t="str">
        <f>"谭妍妍"</f>
        <v>谭妍妍</v>
      </c>
      <c r="D293" s="3">
        <v>1906023528</v>
      </c>
      <c r="E293" s="4">
        <v>74</v>
      </c>
      <c r="F293" s="4">
        <f t="shared" si="14"/>
        <v>44.4</v>
      </c>
      <c r="G293" s="4">
        <v>78</v>
      </c>
      <c r="H293" s="4">
        <f t="shared" si="15"/>
        <v>31.2</v>
      </c>
      <c r="I293" s="4">
        <f t="shared" si="16"/>
        <v>75.599999999999994</v>
      </c>
      <c r="J293" s="4"/>
    </row>
    <row r="294" spans="1:10" s="2" customFormat="1" ht="24" customHeight="1">
      <c r="A294" s="7">
        <v>292</v>
      </c>
      <c r="B294" s="1" t="s">
        <v>78</v>
      </c>
      <c r="C294" s="1" t="str">
        <f>"谭丽红"</f>
        <v>谭丽红</v>
      </c>
      <c r="D294" s="3">
        <v>1906023510</v>
      </c>
      <c r="E294" s="4">
        <v>69</v>
      </c>
      <c r="F294" s="4">
        <f t="shared" ref="F294:F310" si="17">E294*0.6</f>
        <v>41.4</v>
      </c>
      <c r="G294" s="4">
        <v>78.599999999999994</v>
      </c>
      <c r="H294" s="4">
        <f t="shared" ref="H294:H310" si="18">ROUND(G294*0.4,2)</f>
        <v>31.44</v>
      </c>
      <c r="I294" s="4">
        <f t="shared" ref="I294:I310" si="19">F294+H294</f>
        <v>72.84</v>
      </c>
      <c r="J294" s="4"/>
    </row>
    <row r="295" spans="1:10" s="2" customFormat="1" ht="24" customHeight="1">
      <c r="A295" s="7">
        <v>293</v>
      </c>
      <c r="B295" s="1" t="s">
        <v>78</v>
      </c>
      <c r="C295" s="1" t="str">
        <f>"周旭敏"</f>
        <v>周旭敏</v>
      </c>
      <c r="D295" s="3">
        <v>1906023514</v>
      </c>
      <c r="E295" s="4">
        <v>72.75</v>
      </c>
      <c r="F295" s="4">
        <f t="shared" si="17"/>
        <v>43.65</v>
      </c>
      <c r="G295" s="4">
        <v>70.599999999999994</v>
      </c>
      <c r="H295" s="4">
        <f t="shared" si="18"/>
        <v>28.24</v>
      </c>
      <c r="I295" s="4">
        <f t="shared" si="19"/>
        <v>71.89</v>
      </c>
      <c r="J295" s="4"/>
    </row>
    <row r="296" spans="1:10" s="2" customFormat="1" ht="24" customHeight="1">
      <c r="A296" s="7">
        <v>294</v>
      </c>
      <c r="B296" s="1" t="s">
        <v>78</v>
      </c>
      <c r="C296" s="1" t="str">
        <f>"谭淑琴"</f>
        <v>谭淑琴</v>
      </c>
      <c r="D296" s="3">
        <v>1906023517</v>
      </c>
      <c r="E296" s="4">
        <v>67</v>
      </c>
      <c r="F296" s="4">
        <f t="shared" si="17"/>
        <v>40.199999999999996</v>
      </c>
      <c r="G296" s="4">
        <v>75.400000000000006</v>
      </c>
      <c r="H296" s="4">
        <f t="shared" si="18"/>
        <v>30.16</v>
      </c>
      <c r="I296" s="4">
        <f t="shared" si="19"/>
        <v>70.36</v>
      </c>
      <c r="J296" s="4"/>
    </row>
    <row r="297" spans="1:10" s="2" customFormat="1" ht="24" customHeight="1">
      <c r="A297" s="7">
        <v>295</v>
      </c>
      <c r="B297" s="1" t="s">
        <v>78</v>
      </c>
      <c r="C297" s="1" t="str">
        <f>"陈敏霞"</f>
        <v>陈敏霞</v>
      </c>
      <c r="D297" s="3">
        <v>1906023504</v>
      </c>
      <c r="E297" s="4">
        <v>63.25</v>
      </c>
      <c r="F297" s="4">
        <f t="shared" si="17"/>
        <v>37.949999999999996</v>
      </c>
      <c r="G297" s="4">
        <v>77.400000000000006</v>
      </c>
      <c r="H297" s="4">
        <f t="shared" si="18"/>
        <v>30.96</v>
      </c>
      <c r="I297" s="4">
        <f t="shared" si="19"/>
        <v>68.91</v>
      </c>
      <c r="J297" s="4"/>
    </row>
    <row r="298" spans="1:10" s="2" customFormat="1" ht="24" customHeight="1">
      <c r="A298" s="7">
        <v>296</v>
      </c>
      <c r="B298" s="1" t="s">
        <v>78</v>
      </c>
      <c r="C298" s="1" t="str">
        <f>"陈梅平"</f>
        <v>陈梅平</v>
      </c>
      <c r="D298" s="3">
        <v>1906023515</v>
      </c>
      <c r="E298" s="4">
        <v>65.5</v>
      </c>
      <c r="F298" s="4">
        <f t="shared" si="17"/>
        <v>39.299999999999997</v>
      </c>
      <c r="G298" s="4">
        <v>73.8</v>
      </c>
      <c r="H298" s="4">
        <f t="shared" si="18"/>
        <v>29.52</v>
      </c>
      <c r="I298" s="4">
        <f t="shared" si="19"/>
        <v>68.819999999999993</v>
      </c>
      <c r="J298" s="4"/>
    </row>
    <row r="299" spans="1:10" s="2" customFormat="1" ht="24" customHeight="1">
      <c r="A299" s="7">
        <v>297</v>
      </c>
      <c r="B299" s="1" t="s">
        <v>78</v>
      </c>
      <c r="C299" s="1" t="str">
        <f>"沈帅"</f>
        <v>沈帅</v>
      </c>
      <c r="D299" s="3">
        <v>1906023503</v>
      </c>
      <c r="E299" s="4">
        <v>64</v>
      </c>
      <c r="F299" s="4">
        <f t="shared" si="17"/>
        <v>38.4</v>
      </c>
      <c r="G299" s="4">
        <v>75.2</v>
      </c>
      <c r="H299" s="4">
        <f t="shared" si="18"/>
        <v>30.08</v>
      </c>
      <c r="I299" s="4">
        <f t="shared" si="19"/>
        <v>68.47999999999999</v>
      </c>
      <c r="J299" s="4"/>
    </row>
    <row r="300" spans="1:10" s="2" customFormat="1" ht="24" customHeight="1">
      <c r="A300" s="7">
        <v>298</v>
      </c>
      <c r="B300" s="1" t="s">
        <v>78</v>
      </c>
      <c r="C300" s="1" t="str">
        <f>"谭美姣"</f>
        <v>谭美姣</v>
      </c>
      <c r="D300" s="3">
        <v>1906023526</v>
      </c>
      <c r="E300" s="4">
        <v>66</v>
      </c>
      <c r="F300" s="4">
        <f t="shared" si="17"/>
        <v>39.6</v>
      </c>
      <c r="G300" s="4">
        <v>71.2</v>
      </c>
      <c r="H300" s="4">
        <f t="shared" si="18"/>
        <v>28.48</v>
      </c>
      <c r="I300" s="4">
        <f t="shared" si="19"/>
        <v>68.08</v>
      </c>
      <c r="J300" s="4"/>
    </row>
    <row r="301" spans="1:10" s="2" customFormat="1" ht="24" customHeight="1">
      <c r="A301" s="7">
        <v>299</v>
      </c>
      <c r="B301" s="1" t="s">
        <v>78</v>
      </c>
      <c r="C301" s="1" t="str">
        <f>"段美容"</f>
        <v>段美容</v>
      </c>
      <c r="D301" s="3">
        <v>1906023502</v>
      </c>
      <c r="E301" s="4">
        <v>65</v>
      </c>
      <c r="F301" s="4">
        <f t="shared" si="17"/>
        <v>39</v>
      </c>
      <c r="G301" s="4">
        <v>71</v>
      </c>
      <c r="H301" s="4">
        <f t="shared" si="18"/>
        <v>28.4</v>
      </c>
      <c r="I301" s="4">
        <f t="shared" si="19"/>
        <v>67.400000000000006</v>
      </c>
      <c r="J301" s="4"/>
    </row>
    <row r="302" spans="1:10" s="2" customFormat="1" ht="24" customHeight="1">
      <c r="A302" s="7">
        <v>300</v>
      </c>
      <c r="B302" s="1" t="s">
        <v>78</v>
      </c>
      <c r="C302" s="1" t="str">
        <f>"谭淑华"</f>
        <v>谭淑华</v>
      </c>
      <c r="D302" s="3">
        <v>1906023513</v>
      </c>
      <c r="E302" s="4">
        <v>60</v>
      </c>
      <c r="F302" s="4">
        <f t="shared" si="17"/>
        <v>36</v>
      </c>
      <c r="G302" s="4">
        <v>77.2</v>
      </c>
      <c r="H302" s="4">
        <f t="shared" si="18"/>
        <v>30.88</v>
      </c>
      <c r="I302" s="4">
        <f t="shared" si="19"/>
        <v>66.88</v>
      </c>
      <c r="J302" s="4"/>
    </row>
    <row r="303" spans="1:10" s="2" customFormat="1" ht="24" customHeight="1">
      <c r="A303" s="7">
        <v>301</v>
      </c>
      <c r="B303" s="1" t="s">
        <v>78</v>
      </c>
      <c r="C303" s="1" t="str">
        <f>"陈霜霜"</f>
        <v>陈霜霜</v>
      </c>
      <c r="D303" s="3">
        <v>1906023518</v>
      </c>
      <c r="E303" s="4">
        <v>62</v>
      </c>
      <c r="F303" s="4">
        <f t="shared" si="17"/>
        <v>37.199999999999996</v>
      </c>
      <c r="G303" s="4">
        <v>74</v>
      </c>
      <c r="H303" s="4">
        <f t="shared" si="18"/>
        <v>29.6</v>
      </c>
      <c r="I303" s="4">
        <f t="shared" si="19"/>
        <v>66.8</v>
      </c>
      <c r="J303" s="4"/>
    </row>
    <row r="304" spans="1:10" s="2" customFormat="1" ht="24" customHeight="1">
      <c r="A304" s="7">
        <v>302</v>
      </c>
      <c r="B304" s="1" t="s">
        <v>78</v>
      </c>
      <c r="C304" s="1" t="str">
        <f>"陈美清"</f>
        <v>陈美清</v>
      </c>
      <c r="D304" s="3">
        <v>1906023501</v>
      </c>
      <c r="E304" s="4">
        <v>62.25</v>
      </c>
      <c r="F304" s="4">
        <f t="shared" si="17"/>
        <v>37.35</v>
      </c>
      <c r="G304" s="4">
        <v>71.599999999999994</v>
      </c>
      <c r="H304" s="4">
        <f t="shared" si="18"/>
        <v>28.64</v>
      </c>
      <c r="I304" s="4">
        <f t="shared" si="19"/>
        <v>65.990000000000009</v>
      </c>
      <c r="J304" s="4"/>
    </row>
    <row r="305" spans="1:10" s="2" customFormat="1" ht="24" customHeight="1">
      <c r="A305" s="7">
        <v>303</v>
      </c>
      <c r="B305" s="1" t="s">
        <v>78</v>
      </c>
      <c r="C305" s="1" t="str">
        <f>"谭桂芳"</f>
        <v>谭桂芳</v>
      </c>
      <c r="D305" s="3">
        <v>1906023522</v>
      </c>
      <c r="E305" s="4">
        <v>61.25</v>
      </c>
      <c r="F305" s="4">
        <f t="shared" si="17"/>
        <v>36.75</v>
      </c>
      <c r="G305" s="4">
        <v>71.8</v>
      </c>
      <c r="H305" s="4">
        <f t="shared" si="18"/>
        <v>28.72</v>
      </c>
      <c r="I305" s="4">
        <f t="shared" si="19"/>
        <v>65.47</v>
      </c>
      <c r="J305" s="4"/>
    </row>
    <row r="306" spans="1:10" s="2" customFormat="1" ht="24" customHeight="1">
      <c r="A306" s="7">
        <v>304</v>
      </c>
      <c r="B306" s="1" t="s">
        <v>78</v>
      </c>
      <c r="C306" s="1" t="str">
        <f>"王徐娟"</f>
        <v>王徐娟</v>
      </c>
      <c r="D306" s="3">
        <v>1906023520</v>
      </c>
      <c r="E306" s="4">
        <v>61.5</v>
      </c>
      <c r="F306" s="4">
        <f t="shared" si="17"/>
        <v>36.9</v>
      </c>
      <c r="G306" s="4">
        <v>71.400000000000006</v>
      </c>
      <c r="H306" s="4">
        <f t="shared" si="18"/>
        <v>28.56</v>
      </c>
      <c r="I306" s="4">
        <f t="shared" si="19"/>
        <v>65.459999999999994</v>
      </c>
      <c r="J306" s="4"/>
    </row>
    <row r="307" spans="1:10" s="2" customFormat="1" ht="24" customHeight="1">
      <c r="A307" s="7">
        <v>305</v>
      </c>
      <c r="B307" s="1" t="s">
        <v>78</v>
      </c>
      <c r="C307" s="1" t="str">
        <f>"刘芳"</f>
        <v>刘芳</v>
      </c>
      <c r="D307" s="3">
        <v>1906023512</v>
      </c>
      <c r="E307" s="4">
        <v>57</v>
      </c>
      <c r="F307" s="4">
        <f t="shared" si="17"/>
        <v>34.199999999999996</v>
      </c>
      <c r="G307" s="4">
        <v>73.2</v>
      </c>
      <c r="H307" s="4">
        <f t="shared" si="18"/>
        <v>29.28</v>
      </c>
      <c r="I307" s="4">
        <f t="shared" si="19"/>
        <v>63.48</v>
      </c>
      <c r="J307" s="4"/>
    </row>
    <row r="308" spans="1:10" s="2" customFormat="1" ht="24" customHeight="1">
      <c r="A308" s="7">
        <v>306</v>
      </c>
      <c r="B308" s="1" t="s">
        <v>78</v>
      </c>
      <c r="C308" s="1" t="str">
        <f>"刘红瑛"</f>
        <v>刘红瑛</v>
      </c>
      <c r="D308" s="3">
        <v>1906023521</v>
      </c>
      <c r="E308" s="4">
        <v>56</v>
      </c>
      <c r="F308" s="4">
        <f t="shared" si="17"/>
        <v>33.6</v>
      </c>
      <c r="G308" s="4">
        <v>72.599999999999994</v>
      </c>
      <c r="H308" s="4">
        <f t="shared" si="18"/>
        <v>29.04</v>
      </c>
      <c r="I308" s="4">
        <f t="shared" si="19"/>
        <v>62.64</v>
      </c>
      <c r="J308" s="4"/>
    </row>
    <row r="309" spans="1:10" s="2" customFormat="1" ht="24" customHeight="1">
      <c r="A309" s="7">
        <v>307</v>
      </c>
      <c r="B309" s="1" t="s">
        <v>78</v>
      </c>
      <c r="C309" s="1" t="str">
        <f>"刘婧"</f>
        <v>刘婧</v>
      </c>
      <c r="D309" s="3">
        <v>1906023527</v>
      </c>
      <c r="E309" s="4">
        <v>54.75</v>
      </c>
      <c r="F309" s="4">
        <f t="shared" si="17"/>
        <v>32.85</v>
      </c>
      <c r="G309" s="4">
        <v>73.2</v>
      </c>
      <c r="H309" s="4">
        <f t="shared" si="18"/>
        <v>29.28</v>
      </c>
      <c r="I309" s="4">
        <f t="shared" si="19"/>
        <v>62.13</v>
      </c>
      <c r="J309" s="4"/>
    </row>
    <row r="310" spans="1:10" s="2" customFormat="1" ht="24" customHeight="1">
      <c r="A310" s="7">
        <v>308</v>
      </c>
      <c r="B310" s="1" t="s">
        <v>78</v>
      </c>
      <c r="C310" s="1" t="str">
        <f>"邱凡慧"</f>
        <v>邱凡慧</v>
      </c>
      <c r="D310" s="3">
        <v>1906023507</v>
      </c>
      <c r="E310" s="4">
        <v>57.5</v>
      </c>
      <c r="F310" s="4">
        <f t="shared" si="17"/>
        <v>34.5</v>
      </c>
      <c r="G310" s="4">
        <v>0</v>
      </c>
      <c r="H310" s="4">
        <f t="shared" si="18"/>
        <v>0</v>
      </c>
      <c r="I310" s="4">
        <f t="shared" si="19"/>
        <v>34.5</v>
      </c>
      <c r="J310" s="4" t="s">
        <v>5</v>
      </c>
    </row>
  </sheetData>
  <sortState ref="A292:J310">
    <sortCondition descending="1" ref="I292:I310"/>
  </sortState>
  <mergeCells count="1">
    <mergeCell ref="A1:J1"/>
  </mergeCells>
  <phoneticPr fontId="2" type="noConversion"/>
  <pageMargins left="0.31496062992125984" right="0.19685039370078741" top="0.35433070866141736" bottom="0.31496062992125984" header="7.874015748031496E-2" footer="7.874015748031496E-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2019-07-01T02:39:09Z</cp:lastPrinted>
  <dcterms:created xsi:type="dcterms:W3CDTF">2019-06-05T12:01:42Z</dcterms:created>
  <dcterms:modified xsi:type="dcterms:W3CDTF">2019-07-01T06:59:47Z</dcterms:modified>
</cp:coreProperties>
</file>