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4" i="1"/>
  <c r="A714"/>
  <c r="D713"/>
  <c r="A713"/>
  <c r="D712"/>
  <c r="A712"/>
  <c r="D711"/>
  <c r="A711"/>
  <c r="D710"/>
  <c r="A710"/>
  <c r="D709"/>
  <c r="A709"/>
  <c r="D708"/>
  <c r="A708"/>
  <c r="D707"/>
  <c r="A707"/>
  <c r="D706"/>
  <c r="A706"/>
  <c r="D705"/>
  <c r="A705"/>
  <c r="D704"/>
  <c r="A704"/>
  <c r="D703"/>
  <c r="A703"/>
  <c r="D702"/>
  <c r="A702"/>
  <c r="D701"/>
  <c r="A701"/>
  <c r="D700"/>
  <c r="A700"/>
  <c r="D699"/>
  <c r="A699"/>
  <c r="D698"/>
  <c r="A698"/>
  <c r="D697"/>
  <c r="A697"/>
  <c r="D696"/>
  <c r="A696"/>
  <c r="D695"/>
  <c r="A695"/>
  <c r="D694"/>
  <c r="A694"/>
  <c r="D693"/>
  <c r="A693"/>
  <c r="D692"/>
  <c r="A692"/>
  <c r="D691"/>
  <c r="A691"/>
  <c r="D690"/>
  <c r="A690"/>
  <c r="D689"/>
  <c r="A689"/>
  <c r="D688"/>
  <c r="A688"/>
  <c r="D687"/>
  <c r="A687"/>
  <c r="D686"/>
  <c r="A686"/>
  <c r="D685"/>
  <c r="A685"/>
  <c r="D684"/>
  <c r="A684"/>
  <c r="D683"/>
  <c r="A683"/>
  <c r="D682"/>
  <c r="A682"/>
  <c r="D681"/>
  <c r="A681"/>
  <c r="D680"/>
  <c r="A680"/>
  <c r="D679"/>
  <c r="A679"/>
  <c r="D678"/>
  <c r="A678"/>
  <c r="D677"/>
  <c r="A677"/>
  <c r="D676"/>
  <c r="A676"/>
  <c r="D675"/>
  <c r="A675"/>
  <c r="D674"/>
  <c r="A674"/>
  <c r="D673"/>
  <c r="A673"/>
  <c r="D672"/>
  <c r="A672"/>
  <c r="D671"/>
  <c r="A671"/>
  <c r="D670"/>
  <c r="A670"/>
  <c r="D669"/>
  <c r="A669"/>
  <c r="D668"/>
  <c r="A668"/>
  <c r="D667"/>
  <c r="A667"/>
  <c r="D666"/>
  <c r="A666"/>
  <c r="D665"/>
  <c r="A665"/>
  <c r="D664"/>
  <c r="A664"/>
  <c r="D663"/>
  <c r="A663"/>
  <c r="D662"/>
  <c r="A662"/>
  <c r="D661"/>
  <c r="A661"/>
  <c r="D660"/>
  <c r="A660"/>
  <c r="D659"/>
  <c r="A659"/>
  <c r="D658"/>
  <c r="A658"/>
  <c r="D657"/>
  <c r="A657"/>
  <c r="D656"/>
  <c r="A656"/>
  <c r="D655"/>
  <c r="A655"/>
  <c r="D654"/>
  <c r="A654"/>
  <c r="D653"/>
  <c r="A653"/>
  <c r="D652"/>
  <c r="A652"/>
  <c r="D651"/>
  <c r="A651"/>
  <c r="D650"/>
  <c r="A650"/>
  <c r="D649"/>
  <c r="A649"/>
  <c r="D648"/>
  <c r="A648"/>
  <c r="D647"/>
  <c r="A647"/>
  <c r="D646"/>
  <c r="A646"/>
  <c r="D645"/>
  <c r="A645"/>
  <c r="D644"/>
  <c r="A644"/>
  <c r="D643"/>
  <c r="A643"/>
  <c r="D642"/>
  <c r="A642"/>
  <c r="D641"/>
  <c r="A641"/>
  <c r="D640"/>
  <c r="A640"/>
  <c r="D639"/>
  <c r="A639"/>
  <c r="D638"/>
  <c r="A638"/>
  <c r="D637"/>
  <c r="A637"/>
  <c r="D636"/>
  <c r="A636"/>
  <c r="D635"/>
  <c r="A635"/>
  <c r="D634"/>
  <c r="A634"/>
  <c r="D633"/>
  <c r="A633"/>
  <c r="D632"/>
  <c r="A632"/>
  <c r="D631"/>
  <c r="A631"/>
  <c r="D630"/>
  <c r="A630"/>
  <c r="D629"/>
  <c r="A629"/>
  <c r="D628"/>
  <c r="A628"/>
  <c r="D627"/>
  <c r="A627"/>
  <c r="D626"/>
  <c r="A626"/>
  <c r="D625"/>
  <c r="A625"/>
  <c r="D624"/>
  <c r="A624"/>
  <c r="D623"/>
  <c r="A623"/>
  <c r="D622"/>
  <c r="A622"/>
  <c r="D621"/>
  <c r="A621"/>
  <c r="D620"/>
  <c r="A620"/>
  <c r="D619"/>
  <c r="A619"/>
  <c r="D618"/>
  <c r="A618"/>
  <c r="D617"/>
  <c r="A617"/>
  <c r="D616"/>
  <c r="A616"/>
  <c r="D615"/>
  <c r="A615"/>
  <c r="D614"/>
  <c r="A614"/>
  <c r="D613"/>
  <c r="A613"/>
  <c r="D612"/>
  <c r="A612"/>
  <c r="D611"/>
  <c r="A611"/>
  <c r="D610"/>
  <c r="A610"/>
  <c r="D609"/>
  <c r="A609"/>
  <c r="D608"/>
  <c r="A608"/>
  <c r="D607"/>
  <c r="A607"/>
  <c r="D606"/>
  <c r="A606"/>
  <c r="D605"/>
  <c r="A605"/>
  <c r="D604"/>
  <c r="A604"/>
  <c r="D603"/>
  <c r="A603"/>
  <c r="D602"/>
  <c r="A602"/>
  <c r="D601"/>
  <c r="A601"/>
  <c r="D600"/>
  <c r="A600"/>
  <c r="D599"/>
  <c r="A599"/>
  <c r="D598"/>
  <c r="A598"/>
  <c r="D597"/>
  <c r="A597"/>
  <c r="D596"/>
  <c r="A596"/>
  <c r="D595"/>
  <c r="A595"/>
  <c r="D594"/>
  <c r="A594"/>
  <c r="D593"/>
  <c r="A593"/>
  <c r="D592"/>
  <c r="A592"/>
  <c r="D591"/>
  <c r="A591"/>
  <c r="D590"/>
  <c r="A590"/>
  <c r="D589"/>
  <c r="A589"/>
  <c r="D588"/>
  <c r="A588"/>
  <c r="D587"/>
  <c r="A587"/>
  <c r="D586"/>
  <c r="A586"/>
  <c r="D585"/>
  <c r="A585"/>
  <c r="D584"/>
  <c r="A584"/>
  <c r="D583"/>
  <c r="A583"/>
  <c r="D582"/>
  <c r="A582"/>
  <c r="D581"/>
  <c r="A581"/>
  <c r="D580"/>
  <c r="A580"/>
  <c r="D579"/>
  <c r="A579"/>
  <c r="D578"/>
  <c r="A578"/>
  <c r="D577"/>
  <c r="A577"/>
  <c r="D576"/>
  <c r="A576"/>
  <c r="D575"/>
  <c r="A575"/>
  <c r="D574"/>
  <c r="A574"/>
  <c r="D573"/>
  <c r="A573"/>
  <c r="D572"/>
  <c r="A572"/>
  <c r="D571"/>
  <c r="A571"/>
  <c r="D570"/>
  <c r="A570"/>
  <c r="D569"/>
  <c r="A569"/>
  <c r="D568"/>
  <c r="A568"/>
  <c r="D567"/>
  <c r="A567"/>
  <c r="D566"/>
  <c r="A566"/>
  <c r="D565"/>
  <c r="A565"/>
  <c r="D564"/>
  <c r="A564"/>
  <c r="D563"/>
  <c r="A563"/>
  <c r="D562"/>
  <c r="A562"/>
  <c r="D561"/>
  <c r="A561"/>
  <c r="D560"/>
  <c r="A560"/>
  <c r="D559"/>
  <c r="A559"/>
  <c r="D558"/>
  <c r="A558"/>
  <c r="D557"/>
  <c r="A557"/>
  <c r="D556"/>
  <c r="A556"/>
  <c r="D555"/>
  <c r="A555"/>
  <c r="D554"/>
  <c r="A554"/>
  <c r="D553"/>
  <c r="A553"/>
  <c r="D552"/>
  <c r="A552"/>
  <c r="D551"/>
  <c r="A551"/>
  <c r="D550"/>
  <c r="A550"/>
  <c r="D549"/>
  <c r="A549"/>
  <c r="D548"/>
  <c r="A548"/>
  <c r="D547"/>
  <c r="A547"/>
  <c r="D546"/>
  <c r="A546"/>
  <c r="D545"/>
  <c r="A545"/>
  <c r="D544"/>
  <c r="A544"/>
  <c r="D543"/>
  <c r="A543"/>
  <c r="D542"/>
  <c r="A542"/>
  <c r="D541"/>
  <c r="A541"/>
  <c r="D540"/>
  <c r="A540"/>
  <c r="D539"/>
  <c r="A539"/>
  <c r="D538"/>
  <c r="A538"/>
  <c r="D537"/>
  <c r="A537"/>
  <c r="D536"/>
  <c r="A536"/>
  <c r="D535"/>
  <c r="A535"/>
  <c r="D534"/>
  <c r="A534"/>
  <c r="D533"/>
  <c r="A533"/>
  <c r="D532"/>
  <c r="A532"/>
  <c r="D531"/>
  <c r="A531"/>
  <c r="D530"/>
  <c r="A530"/>
  <c r="D529"/>
  <c r="A529"/>
  <c r="D528"/>
  <c r="A528"/>
  <c r="D527"/>
  <c r="A527"/>
  <c r="D526"/>
  <c r="A526"/>
  <c r="D525"/>
  <c r="A525"/>
  <c r="D524"/>
  <c r="A524"/>
  <c r="D523"/>
  <c r="A523"/>
  <c r="D522"/>
  <c r="A522"/>
  <c r="D521"/>
  <c r="A521"/>
  <c r="D520"/>
  <c r="A520"/>
  <c r="D519"/>
  <c r="A519"/>
  <c r="D518"/>
  <c r="A518"/>
  <c r="D517"/>
  <c r="A517"/>
  <c r="D516"/>
  <c r="A516"/>
  <c r="D515"/>
  <c r="A515"/>
  <c r="D514"/>
  <c r="A514"/>
  <c r="D513"/>
  <c r="A513"/>
  <c r="D512"/>
  <c r="A512"/>
  <c r="D511"/>
  <c r="A511"/>
  <c r="D510"/>
  <c r="A510"/>
  <c r="D509"/>
  <c r="A509"/>
  <c r="D508"/>
  <c r="A508"/>
  <c r="D507"/>
  <c r="A507"/>
  <c r="D506"/>
  <c r="A506"/>
  <c r="D505"/>
  <c r="A505"/>
  <c r="D504"/>
  <c r="A504"/>
  <c r="D503"/>
  <c r="A503"/>
  <c r="D502"/>
  <c r="A502"/>
  <c r="D501"/>
  <c r="A501"/>
  <c r="D500"/>
  <c r="A500"/>
  <c r="D499"/>
  <c r="A499"/>
  <c r="D498"/>
  <c r="A498"/>
  <c r="D497"/>
  <c r="A497"/>
  <c r="D496"/>
  <c r="A496"/>
  <c r="D495"/>
  <c r="A495"/>
  <c r="D494"/>
  <c r="A494"/>
  <c r="D493"/>
  <c r="A493"/>
  <c r="D492"/>
  <c r="A492"/>
  <c r="D491"/>
  <c r="A491"/>
  <c r="D490"/>
  <c r="A490"/>
  <c r="D489"/>
  <c r="A489"/>
  <c r="D488"/>
  <c r="A488"/>
  <c r="D487"/>
  <c r="A487"/>
  <c r="D486"/>
  <c r="A486"/>
  <c r="D485"/>
  <c r="A485"/>
  <c r="D484"/>
  <c r="A484"/>
  <c r="D483"/>
  <c r="A483"/>
  <c r="D482"/>
  <c r="A482"/>
  <c r="D481"/>
  <c r="A481"/>
  <c r="D480"/>
  <c r="A480"/>
  <c r="D479"/>
  <c r="A479"/>
  <c r="D478"/>
  <c r="A478"/>
  <c r="D477"/>
  <c r="A477"/>
  <c r="D476"/>
  <c r="A476"/>
  <c r="D475"/>
  <c r="A475"/>
  <c r="D474"/>
  <c r="A474"/>
  <c r="D473"/>
  <c r="A473"/>
  <c r="D472"/>
  <c r="A472"/>
  <c r="D471"/>
  <c r="A471"/>
  <c r="D470"/>
  <c r="A470"/>
  <c r="D469"/>
  <c r="A469"/>
  <c r="D468"/>
  <c r="A468"/>
  <c r="D467"/>
  <c r="A467"/>
  <c r="D466"/>
  <c r="A466"/>
  <c r="D465"/>
  <c r="A465"/>
  <c r="D464"/>
  <c r="A464"/>
  <c r="D463"/>
  <c r="A463"/>
  <c r="D462"/>
  <c r="A462"/>
  <c r="D461"/>
  <c r="A461"/>
  <c r="D460"/>
  <c r="A460"/>
  <c r="D459"/>
  <c r="A459"/>
  <c r="D458"/>
  <c r="A458"/>
  <c r="D457"/>
  <c r="A457"/>
  <c r="D456"/>
  <c r="A456"/>
  <c r="D455"/>
  <c r="A455"/>
  <c r="D454"/>
  <c r="A454"/>
  <c r="D453"/>
  <c r="A453"/>
  <c r="D452"/>
  <c r="A452"/>
  <c r="D451"/>
  <c r="A451"/>
  <c r="D450"/>
  <c r="A450"/>
  <c r="D449"/>
  <c r="A449"/>
  <c r="D448"/>
  <c r="A448"/>
  <c r="D447"/>
  <c r="A447"/>
  <c r="D446"/>
  <c r="A446"/>
  <c r="D445"/>
  <c r="A445"/>
  <c r="D444"/>
  <c r="A444"/>
  <c r="D443"/>
  <c r="A443"/>
  <c r="D442"/>
  <c r="A442"/>
  <c r="D441"/>
  <c r="A441"/>
  <c r="D440"/>
  <c r="A440"/>
  <c r="D439"/>
  <c r="A439"/>
  <c r="D438"/>
  <c r="A438"/>
  <c r="D437"/>
  <c r="A437"/>
  <c r="D436"/>
  <c r="A436"/>
  <c r="D435"/>
  <c r="A435"/>
  <c r="D434"/>
  <c r="A434"/>
  <c r="D433"/>
  <c r="A433"/>
  <c r="D432"/>
  <c r="A432"/>
  <c r="D431"/>
  <c r="A431"/>
  <c r="D430"/>
  <c r="A430"/>
  <c r="D429"/>
  <c r="A429"/>
  <c r="D428"/>
  <c r="A428"/>
  <c r="D427"/>
  <c r="A427"/>
  <c r="D426"/>
  <c r="A426"/>
  <c r="D425"/>
  <c r="A425"/>
  <c r="D424"/>
  <c r="A424"/>
  <c r="D423"/>
  <c r="A423"/>
  <c r="D422"/>
  <c r="A422"/>
  <c r="D421"/>
  <c r="A421"/>
  <c r="D420"/>
  <c r="A420"/>
  <c r="D419"/>
  <c r="A419"/>
  <c r="D418"/>
  <c r="A418"/>
  <c r="D417"/>
  <c r="A417"/>
  <c r="D416"/>
  <c r="A416"/>
  <c r="D415"/>
  <c r="A415"/>
  <c r="D414"/>
  <c r="A414"/>
  <c r="D413"/>
  <c r="A413"/>
  <c r="D412"/>
  <c r="A412"/>
  <c r="D411"/>
  <c r="A411"/>
  <c r="D410"/>
  <c r="A410"/>
  <c r="D409"/>
  <c r="A409"/>
  <c r="D408"/>
  <c r="A408"/>
  <c r="D407"/>
  <c r="A407"/>
  <c r="D406"/>
  <c r="A406"/>
  <c r="D405"/>
  <c r="A405"/>
  <c r="D404"/>
  <c r="A404"/>
  <c r="D403"/>
  <c r="A403"/>
  <c r="D402"/>
  <c r="A402"/>
  <c r="D401"/>
  <c r="A401"/>
  <c r="D400"/>
  <c r="A400"/>
  <c r="D399"/>
  <c r="A399"/>
  <c r="D398"/>
  <c r="A398"/>
  <c r="D397"/>
  <c r="A397"/>
  <c r="D396"/>
  <c r="A396"/>
  <c r="D395"/>
  <c r="A395"/>
  <c r="D394"/>
  <c r="A394"/>
  <c r="D393"/>
  <c r="A393"/>
  <c r="D392"/>
  <c r="A392"/>
  <c r="D391"/>
  <c r="A391"/>
  <c r="D390"/>
  <c r="A390"/>
  <c r="D389"/>
  <c r="A389"/>
  <c r="D388"/>
  <c r="A388"/>
  <c r="D387"/>
  <c r="A387"/>
  <c r="D386"/>
  <c r="A386"/>
  <c r="D385"/>
  <c r="A385"/>
  <c r="D384"/>
  <c r="A384"/>
  <c r="D383"/>
  <c r="A383"/>
  <c r="D382"/>
  <c r="A382"/>
  <c r="D381"/>
  <c r="A381"/>
  <c r="D380"/>
  <c r="A380"/>
  <c r="D379"/>
  <c r="A379"/>
  <c r="D378"/>
  <c r="A378"/>
  <c r="D377"/>
  <c r="A377"/>
  <c r="D376"/>
  <c r="A376"/>
  <c r="D375"/>
  <c r="A375"/>
  <c r="D374"/>
  <c r="A374"/>
  <c r="D373"/>
  <c r="A373"/>
  <c r="D372"/>
  <c r="A372"/>
  <c r="D371"/>
  <c r="A371"/>
  <c r="D370"/>
  <c r="A370"/>
  <c r="D369"/>
  <c r="A369"/>
  <c r="D368"/>
  <c r="A368"/>
  <c r="D367"/>
  <c r="A367"/>
  <c r="D366"/>
  <c r="A366"/>
  <c r="D365"/>
  <c r="A365"/>
  <c r="D364"/>
  <c r="A364"/>
  <c r="D363"/>
  <c r="A363"/>
  <c r="D362"/>
  <c r="A362"/>
  <c r="D361"/>
  <c r="A361"/>
  <c r="D360"/>
  <c r="A360"/>
  <c r="D359"/>
  <c r="A359"/>
  <c r="D358"/>
  <c r="A358"/>
  <c r="D357"/>
  <c r="A357"/>
  <c r="D356"/>
  <c r="A356"/>
  <c r="D355"/>
  <c r="A355"/>
  <c r="D354"/>
  <c r="A354"/>
  <c r="D353"/>
  <c r="A353"/>
  <c r="D352"/>
  <c r="A352"/>
  <c r="D351"/>
  <c r="A351"/>
  <c r="D350"/>
  <c r="A350"/>
  <c r="D349"/>
  <c r="A349"/>
  <c r="D348"/>
  <c r="A348"/>
  <c r="D347"/>
  <c r="A347"/>
  <c r="D346"/>
  <c r="A346"/>
  <c r="D345"/>
  <c r="A345"/>
  <c r="D344"/>
  <c r="A344"/>
  <c r="D343"/>
  <c r="A343"/>
  <c r="D342"/>
  <c r="A342"/>
  <c r="D341"/>
  <c r="A341"/>
  <c r="D340"/>
  <c r="A340"/>
  <c r="D339"/>
  <c r="A339"/>
  <c r="D338"/>
  <c r="A338"/>
  <c r="D337"/>
  <c r="A337"/>
  <c r="D336"/>
  <c r="A336"/>
  <c r="D335"/>
  <c r="A335"/>
  <c r="D334"/>
  <c r="A334"/>
  <c r="D333"/>
  <c r="A333"/>
  <c r="D332"/>
  <c r="A332"/>
  <c r="D331"/>
  <c r="A331"/>
  <c r="D330"/>
  <c r="A330"/>
  <c r="D329"/>
  <c r="A329"/>
  <c r="D328"/>
  <c r="A328"/>
  <c r="D327"/>
  <c r="A327"/>
  <c r="D326"/>
  <c r="A326"/>
  <c r="D325"/>
  <c r="A325"/>
  <c r="D324"/>
  <c r="A324"/>
  <c r="D323"/>
  <c r="A323"/>
  <c r="D322"/>
  <c r="A322"/>
  <c r="D321"/>
  <c r="A321"/>
  <c r="D320"/>
  <c r="A320"/>
  <c r="D319"/>
  <c r="A319"/>
  <c r="D318"/>
  <c r="A318"/>
  <c r="D317"/>
  <c r="A317"/>
  <c r="D316"/>
  <c r="A316"/>
  <c r="D315"/>
  <c r="A315"/>
  <c r="D314"/>
  <c r="A314"/>
  <c r="D313"/>
  <c r="A313"/>
  <c r="D312"/>
  <c r="A312"/>
  <c r="D311"/>
  <c r="A311"/>
  <c r="D310"/>
  <c r="A310"/>
  <c r="D309"/>
  <c r="A309"/>
  <c r="D308"/>
  <c r="A308"/>
  <c r="D307"/>
  <c r="A307"/>
  <c r="D306"/>
  <c r="A306"/>
  <c r="D305"/>
  <c r="A305"/>
  <c r="D304"/>
  <c r="A304"/>
  <c r="D303"/>
  <c r="A303"/>
  <c r="D302"/>
  <c r="A302"/>
  <c r="D301"/>
  <c r="A301"/>
  <c r="D300"/>
  <c r="A300"/>
  <c r="D299"/>
  <c r="A299"/>
  <c r="D298"/>
  <c r="A298"/>
  <c r="D297"/>
  <c r="A297"/>
  <c r="D296"/>
  <c r="A296"/>
  <c r="D295"/>
  <c r="A295"/>
  <c r="D294"/>
  <c r="A294"/>
  <c r="D293"/>
  <c r="A293"/>
  <c r="D292"/>
  <c r="A292"/>
  <c r="D291"/>
  <c r="A291"/>
  <c r="D290"/>
  <c r="A290"/>
  <c r="D289"/>
  <c r="A289"/>
  <c r="D288"/>
  <c r="A288"/>
  <c r="D287"/>
  <c r="A287"/>
  <c r="D286"/>
  <c r="A286"/>
  <c r="D285"/>
  <c r="A285"/>
  <c r="D284"/>
  <c r="A284"/>
  <c r="D283"/>
  <c r="A283"/>
  <c r="D282"/>
  <c r="A282"/>
  <c r="D281"/>
  <c r="A281"/>
  <c r="D280"/>
  <c r="A280"/>
  <c r="D279"/>
  <c r="A279"/>
  <c r="D278"/>
  <c r="A278"/>
  <c r="D277"/>
  <c r="A277"/>
  <c r="D276"/>
  <c r="A276"/>
  <c r="D275"/>
  <c r="A275"/>
  <c r="D274"/>
  <c r="A274"/>
  <c r="D273"/>
  <c r="A273"/>
  <c r="D272"/>
  <c r="A272"/>
  <c r="D271"/>
  <c r="A271"/>
  <c r="D270"/>
  <c r="A270"/>
  <c r="D269"/>
  <c r="A269"/>
  <c r="D268"/>
  <c r="A268"/>
  <c r="D267"/>
  <c r="A267"/>
  <c r="D266"/>
  <c r="A266"/>
  <c r="D265"/>
  <c r="A265"/>
  <c r="D264"/>
  <c r="A264"/>
  <c r="D263"/>
  <c r="A263"/>
  <c r="D262"/>
  <c r="A262"/>
  <c r="D261"/>
  <c r="A261"/>
  <c r="D260"/>
  <c r="A260"/>
  <c r="D259"/>
  <c r="A259"/>
  <c r="D258"/>
  <c r="A258"/>
  <c r="D257"/>
  <c r="A257"/>
  <c r="D256"/>
  <c r="A256"/>
  <c r="D255"/>
  <c r="A255"/>
  <c r="D254"/>
  <c r="A254"/>
  <c r="D253"/>
  <c r="A253"/>
  <c r="D252"/>
  <c r="A252"/>
  <c r="D251"/>
  <c r="A251"/>
  <c r="D250"/>
  <c r="A250"/>
  <c r="D249"/>
  <c r="A249"/>
  <c r="D248"/>
  <c r="A248"/>
  <c r="D247"/>
  <c r="A247"/>
  <c r="D246"/>
  <c r="A246"/>
  <c r="D245"/>
  <c r="A245"/>
  <c r="D244"/>
  <c r="A244"/>
  <c r="D243"/>
  <c r="A243"/>
  <c r="D242"/>
  <c r="A242"/>
  <c r="D241"/>
  <c r="A241"/>
  <c r="D240"/>
  <c r="A240"/>
  <c r="D239"/>
  <c r="A239"/>
  <c r="D238"/>
  <c r="A238"/>
  <c r="D237"/>
  <c r="A237"/>
  <c r="D236"/>
  <c r="A236"/>
  <c r="D235"/>
  <c r="A235"/>
  <c r="D234"/>
  <c r="A234"/>
  <c r="D233"/>
  <c r="A233"/>
  <c r="D232"/>
  <c r="A232"/>
  <c r="D231"/>
  <c r="A231"/>
  <c r="D230"/>
  <c r="A230"/>
  <c r="D229"/>
  <c r="A229"/>
  <c r="D228"/>
  <c r="A228"/>
  <c r="D227"/>
  <c r="A227"/>
  <c r="D226"/>
  <c r="A226"/>
  <c r="D225"/>
  <c r="A225"/>
  <c r="D224"/>
  <c r="A224"/>
  <c r="D223"/>
  <c r="A223"/>
  <c r="D222"/>
  <c r="A222"/>
  <c r="D221"/>
  <c r="A221"/>
  <c r="D220"/>
  <c r="A220"/>
  <c r="D219"/>
  <c r="A219"/>
  <c r="D218"/>
  <c r="A218"/>
  <c r="D217"/>
  <c r="A217"/>
  <c r="D216"/>
  <c r="A216"/>
  <c r="D215"/>
  <c r="A215"/>
  <c r="D214"/>
  <c r="A214"/>
  <c r="D213"/>
  <c r="A213"/>
  <c r="D212"/>
  <c r="A212"/>
  <c r="D211"/>
  <c r="A211"/>
  <c r="D210"/>
  <c r="A210"/>
  <c r="D209"/>
  <c r="A209"/>
  <c r="D208"/>
  <c r="A208"/>
  <c r="D207"/>
  <c r="A207"/>
  <c r="D206"/>
  <c r="A206"/>
  <c r="D205"/>
  <c r="A205"/>
  <c r="D204"/>
  <c r="A204"/>
  <c r="D203"/>
  <c r="A203"/>
  <c r="D202"/>
  <c r="A202"/>
  <c r="D201"/>
  <c r="A201"/>
  <c r="D200"/>
  <c r="A200"/>
  <c r="D199"/>
  <c r="A199"/>
  <c r="D198"/>
  <c r="A198"/>
  <c r="D197"/>
  <c r="A197"/>
  <c r="D196"/>
  <c r="A196"/>
  <c r="D195"/>
  <c r="A195"/>
  <c r="D194"/>
  <c r="A194"/>
  <c r="D193"/>
  <c r="A193"/>
  <c r="D192"/>
  <c r="A192"/>
  <c r="D191"/>
  <c r="A191"/>
  <c r="D190"/>
  <c r="A190"/>
  <c r="D189"/>
  <c r="A189"/>
  <c r="D188"/>
  <c r="A188"/>
  <c r="D187"/>
  <c r="A187"/>
  <c r="D186"/>
  <c r="A186"/>
  <c r="D185"/>
  <c r="A185"/>
  <c r="D184"/>
  <c r="A184"/>
  <c r="D183"/>
  <c r="A183"/>
  <c r="D182"/>
  <c r="A182"/>
  <c r="D181"/>
  <c r="A181"/>
  <c r="D180"/>
  <c r="A180"/>
  <c r="D179"/>
  <c r="A179"/>
  <c r="D178"/>
  <c r="A178"/>
  <c r="D177"/>
  <c r="A177"/>
  <c r="D176"/>
  <c r="A176"/>
  <c r="D175"/>
  <c r="A175"/>
  <c r="D174"/>
  <c r="A174"/>
  <c r="D173"/>
  <c r="A173"/>
  <c r="D172"/>
  <c r="A172"/>
  <c r="D171"/>
  <c r="A171"/>
  <c r="D170"/>
  <c r="A170"/>
  <c r="D169"/>
  <c r="A169"/>
  <c r="D168"/>
  <c r="A168"/>
  <c r="D167"/>
  <c r="A167"/>
  <c r="D166"/>
  <c r="A166"/>
  <c r="D165"/>
  <c r="A165"/>
  <c r="D164"/>
  <c r="A164"/>
  <c r="D163"/>
  <c r="A163"/>
  <c r="D162"/>
  <c r="A162"/>
  <c r="D161"/>
  <c r="A161"/>
  <c r="D160"/>
  <c r="A160"/>
  <c r="D159"/>
  <c r="A159"/>
  <c r="D158"/>
  <c r="A158"/>
  <c r="D157"/>
  <c r="A157"/>
  <c r="D156"/>
  <c r="A156"/>
  <c r="D155"/>
  <c r="A155"/>
  <c r="D154"/>
  <c r="A154"/>
  <c r="D153"/>
  <c r="A153"/>
  <c r="D152"/>
  <c r="A152"/>
  <c r="D151"/>
  <c r="A151"/>
  <c r="D150"/>
  <c r="A150"/>
  <c r="D149"/>
  <c r="A149"/>
  <c r="D148"/>
  <c r="A148"/>
  <c r="D147"/>
  <c r="A147"/>
  <c r="D146"/>
  <c r="A146"/>
  <c r="D145"/>
  <c r="A145"/>
  <c r="D144"/>
  <c r="A144"/>
  <c r="D143"/>
  <c r="A143"/>
  <c r="D142"/>
  <c r="A142"/>
  <c r="D141"/>
  <c r="A141"/>
  <c r="D140"/>
  <c r="A140"/>
  <c r="D139"/>
  <c r="A139"/>
  <c r="D138"/>
  <c r="A138"/>
  <c r="D137"/>
  <c r="A137"/>
  <c r="D136"/>
  <c r="A136"/>
  <c r="D135"/>
  <c r="A135"/>
  <c r="D134"/>
  <c r="A134"/>
  <c r="D133"/>
  <c r="A133"/>
  <c r="D132"/>
  <c r="A132"/>
  <c r="D131"/>
  <c r="A131"/>
  <c r="D130"/>
  <c r="A130"/>
  <c r="D129"/>
  <c r="A129"/>
  <c r="D128"/>
  <c r="A128"/>
  <c r="D127"/>
  <c r="A127"/>
  <c r="D126"/>
  <c r="A126"/>
  <c r="D125"/>
  <c r="A125"/>
  <c r="D124"/>
  <c r="A124"/>
  <c r="D123"/>
  <c r="A123"/>
  <c r="D122"/>
  <c r="A122"/>
  <c r="D121"/>
  <c r="A121"/>
  <c r="D120"/>
  <c r="A120"/>
  <c r="D119"/>
  <c r="A119"/>
  <c r="D118"/>
  <c r="A118"/>
  <c r="D117"/>
  <c r="A117"/>
  <c r="D116"/>
  <c r="A116"/>
  <c r="D115"/>
  <c r="A115"/>
  <c r="D114"/>
  <c r="A114"/>
  <c r="D113"/>
  <c r="A113"/>
  <c r="D112"/>
  <c r="A112"/>
  <c r="D111"/>
  <c r="A111"/>
  <c r="D110"/>
  <c r="A110"/>
  <c r="D109"/>
  <c r="A109"/>
  <c r="D108"/>
  <c r="A108"/>
  <c r="D107"/>
  <c r="A107"/>
  <c r="D106"/>
  <c r="A106"/>
  <c r="D105"/>
  <c r="A105"/>
  <c r="D104"/>
  <c r="A104"/>
  <c r="D103"/>
  <c r="A103"/>
  <c r="D102"/>
  <c r="A102"/>
  <c r="D101"/>
  <c r="A101"/>
  <c r="D100"/>
  <c r="A100"/>
  <c r="D99"/>
  <c r="A99"/>
  <c r="D98"/>
  <c r="A98"/>
  <c r="D97"/>
  <c r="A97"/>
  <c r="D96"/>
  <c r="A96"/>
  <c r="D95"/>
  <c r="A95"/>
  <c r="D94"/>
  <c r="A94"/>
  <c r="D93"/>
  <c r="A93"/>
  <c r="D92"/>
  <c r="A92"/>
  <c r="D91"/>
  <c r="A91"/>
  <c r="D90"/>
  <c r="A90"/>
  <c r="D89"/>
  <c r="A89"/>
  <c r="D88"/>
  <c r="A88"/>
  <c r="D87"/>
  <c r="A87"/>
  <c r="D86"/>
  <c r="A86"/>
  <c r="D85"/>
  <c r="A85"/>
  <c r="D84"/>
  <c r="A84"/>
  <c r="D83"/>
  <c r="A83"/>
  <c r="D82"/>
  <c r="A82"/>
  <c r="D81"/>
  <c r="A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A68"/>
  <c r="D67"/>
  <c r="A67"/>
  <c r="D66"/>
  <c r="A66"/>
  <c r="D65"/>
  <c r="A65"/>
  <c r="D64"/>
  <c r="A64"/>
  <c r="D63"/>
  <c r="A63"/>
  <c r="D62"/>
  <c r="A62"/>
  <c r="D61"/>
  <c r="A61"/>
  <c r="D60"/>
  <c r="A60"/>
  <c r="D59"/>
  <c r="A59"/>
  <c r="D58"/>
  <c r="A58"/>
  <c r="D57"/>
  <c r="A57"/>
  <c r="D56"/>
  <c r="A56"/>
  <c r="D55"/>
  <c r="A55"/>
  <c r="D54"/>
  <c r="A54"/>
  <c r="D53"/>
  <c r="A53"/>
  <c r="D52"/>
  <c r="A52"/>
  <c r="D51"/>
  <c r="A51"/>
  <c r="D50"/>
  <c r="A50"/>
  <c r="D49"/>
  <c r="A49"/>
  <c r="D48"/>
  <c r="A48"/>
  <c r="D47"/>
  <c r="A47"/>
  <c r="D46"/>
  <c r="A46"/>
  <c r="D45"/>
  <c r="A45"/>
  <c r="D44"/>
  <c r="A44"/>
  <c r="D43"/>
  <c r="A43"/>
  <c r="D42"/>
  <c r="A42"/>
  <c r="D41"/>
  <c r="A41"/>
  <c r="D40"/>
  <c r="A40"/>
  <c r="D39"/>
  <c r="A39"/>
  <c r="D38"/>
  <c r="A38"/>
  <c r="D37"/>
  <c r="A37"/>
  <c r="D36"/>
  <c r="A36"/>
  <c r="D35"/>
  <c r="A35"/>
  <c r="D34"/>
  <c r="A34"/>
  <c r="D33"/>
  <c r="A33"/>
  <c r="D32"/>
  <c r="A32"/>
  <c r="D31"/>
  <c r="A31"/>
  <c r="D30"/>
  <c r="A30"/>
  <c r="D29"/>
  <c r="A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A17"/>
  <c r="D16"/>
  <c r="A16"/>
  <c r="D15"/>
  <c r="A15"/>
  <c r="D14"/>
  <c r="A14"/>
  <c r="D13"/>
  <c r="A13"/>
  <c r="D12"/>
  <c r="A12"/>
  <c r="D11"/>
  <c r="A11"/>
  <c r="D10"/>
  <c r="A10"/>
  <c r="D9"/>
  <c r="A9"/>
  <c r="D8"/>
  <c r="A8"/>
  <c r="D7"/>
  <c r="A7"/>
  <c r="D6"/>
  <c r="A6"/>
  <c r="D5"/>
  <c r="A5"/>
  <c r="D4"/>
  <c r="A4"/>
  <c r="D3"/>
  <c r="A3"/>
</calcChain>
</file>

<file path=xl/sharedStrings.xml><?xml version="1.0" encoding="utf-8"?>
<sst xmlns="http://schemas.openxmlformats.org/spreadsheetml/2006/main" count="1433" uniqueCount="34">
  <si>
    <t>2025年颍东区中小学新任教师公开招聘总成绩</t>
  </si>
  <si>
    <t>岗位代码</t>
  </si>
  <si>
    <t>岗位名称</t>
  </si>
  <si>
    <t>招聘单位</t>
  </si>
  <si>
    <t>准考证号</t>
  </si>
  <si>
    <t>学科专业知识成绩</t>
  </si>
  <si>
    <t>教育综合知识成绩</t>
  </si>
  <si>
    <t>加分</t>
  </si>
  <si>
    <t>总分</t>
  </si>
  <si>
    <t>高中语文</t>
  </si>
  <si>
    <t>阜阳市城郊中学</t>
  </si>
  <si>
    <t>高中物理</t>
  </si>
  <si>
    <t>高中政治</t>
  </si>
  <si>
    <t>高中历史</t>
  </si>
  <si>
    <t>高中生物</t>
  </si>
  <si>
    <t>高中化学</t>
  </si>
  <si>
    <t>初中体育</t>
  </si>
  <si>
    <t>阜阳市第二十八中学</t>
  </si>
  <si>
    <t>初中道德与法治</t>
  </si>
  <si>
    <t>初中历史</t>
  </si>
  <si>
    <t>初中数学</t>
  </si>
  <si>
    <t>阜阳市第十中学教育集团</t>
  </si>
  <si>
    <t>高中数学</t>
  </si>
  <si>
    <t>初中物理</t>
  </si>
  <si>
    <t>阜阳市第十一中学</t>
  </si>
  <si>
    <t>高中英语</t>
  </si>
  <si>
    <t>高中地理</t>
  </si>
  <si>
    <t>初中语文</t>
  </si>
  <si>
    <t>阜阳市第二十一中学</t>
  </si>
  <si>
    <t>阜阳市第二十六中学</t>
  </si>
  <si>
    <t>初中英语</t>
  </si>
  <si>
    <t>阜阳市第二十九中学</t>
  </si>
  <si>
    <t>初中化学</t>
  </si>
  <si>
    <t>阜阳市插花中学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</si>
</sst>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747"/>
  <sheetViews>
    <sheetView tabSelected="1" workbookViewId="0">
      <selection activeCell="L716" sqref="L716"/>
    </sheetView>
  </sheetViews>
  <sheetFormatPr defaultColWidth="9" defaultRowHeight="14.4"/>
  <cols>
    <col min="1" max="1" width="10.6640625" style="1" customWidth="1"/>
    <col min="2" max="2" width="15" style="1" customWidth="1"/>
    <col min="3" max="3" width="27.21875" style="1" customWidth="1"/>
    <col min="4" max="4" width="16.88671875" style="1" customWidth="1"/>
    <col min="5" max="6" width="19.44140625" style="1" customWidth="1"/>
    <col min="7" max="16324" width="9" style="1"/>
    <col min="16325" max="16384" width="9" style="4"/>
  </cols>
  <sheetData>
    <row r="1" spans="1:8 16325:16384" s="1" customFormat="1" ht="36" customHeight="1">
      <c r="A1" s="10" t="s">
        <v>0</v>
      </c>
      <c r="B1" s="10"/>
      <c r="C1" s="10"/>
      <c r="D1" s="10"/>
      <c r="E1" s="10"/>
      <c r="F1" s="10"/>
      <c r="G1" s="10"/>
      <c r="H1" s="10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8 16325:16384" s="2" customFormat="1" ht="19.9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pans="1:8 16325:16384" s="3" customFormat="1" ht="19.95" customHeight="1">
      <c r="A3" s="6" t="str">
        <f t="shared" ref="A3:A46" si="0">"040001"</f>
        <v>040001</v>
      </c>
      <c r="B3" s="6" t="s">
        <v>9</v>
      </c>
      <c r="C3" s="6" t="s">
        <v>10</v>
      </c>
      <c r="D3" s="6" t="str">
        <f>"512417627"</f>
        <v>512417627</v>
      </c>
      <c r="E3" s="7">
        <v>86</v>
      </c>
      <c r="F3" s="7">
        <v>88</v>
      </c>
      <c r="G3" s="7"/>
      <c r="H3" s="7">
        <v>86.8</v>
      </c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8 16325:16384" s="3" customFormat="1" ht="19.95" customHeight="1">
      <c r="A4" s="6" t="str">
        <f t="shared" si="0"/>
        <v>040001</v>
      </c>
      <c r="B4" s="6" t="s">
        <v>9</v>
      </c>
      <c r="C4" s="6" t="s">
        <v>10</v>
      </c>
      <c r="D4" s="6" t="str">
        <f>"512417617"</f>
        <v>512417617</v>
      </c>
      <c r="E4" s="7">
        <v>82</v>
      </c>
      <c r="F4" s="7">
        <v>80</v>
      </c>
      <c r="G4" s="7"/>
      <c r="H4" s="7">
        <v>81.2</v>
      </c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8 16325:16384" s="3" customFormat="1" ht="19.95" customHeight="1">
      <c r="A5" s="6" t="str">
        <f t="shared" si="0"/>
        <v>040001</v>
      </c>
      <c r="B5" s="6" t="s">
        <v>9</v>
      </c>
      <c r="C5" s="6" t="s">
        <v>10</v>
      </c>
      <c r="D5" s="6" t="str">
        <f>"512417526"</f>
        <v>512417526</v>
      </c>
      <c r="E5" s="7">
        <v>0</v>
      </c>
      <c r="F5" s="7">
        <v>0</v>
      </c>
      <c r="G5" s="7"/>
      <c r="H5" s="7">
        <v>0</v>
      </c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8 16325:16384" s="3" customFormat="1" ht="19.95" customHeight="1">
      <c r="A6" s="6" t="str">
        <f t="shared" si="0"/>
        <v>040001</v>
      </c>
      <c r="B6" s="6" t="s">
        <v>9</v>
      </c>
      <c r="C6" s="6" t="s">
        <v>10</v>
      </c>
      <c r="D6" s="6" t="str">
        <f>"512417524"</f>
        <v>512417524</v>
      </c>
      <c r="E6" s="7">
        <v>0</v>
      </c>
      <c r="F6" s="7">
        <v>0</v>
      </c>
      <c r="G6" s="7"/>
      <c r="H6" s="7">
        <v>0</v>
      </c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8 16325:16384" s="3" customFormat="1" ht="19.95" customHeight="1">
      <c r="A7" s="6" t="str">
        <f t="shared" si="0"/>
        <v>040001</v>
      </c>
      <c r="B7" s="6" t="s">
        <v>9</v>
      </c>
      <c r="C7" s="6" t="s">
        <v>10</v>
      </c>
      <c r="D7" s="6" t="str">
        <f>"512417603"</f>
        <v>512417603</v>
      </c>
      <c r="E7" s="7">
        <v>72.5</v>
      </c>
      <c r="F7" s="7">
        <v>67</v>
      </c>
      <c r="G7" s="7"/>
      <c r="H7" s="7">
        <v>70.3</v>
      </c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8 16325:16384" s="3" customFormat="1" ht="19.95" customHeight="1">
      <c r="A8" s="6" t="str">
        <f t="shared" si="0"/>
        <v>040001</v>
      </c>
      <c r="B8" s="6" t="s">
        <v>9</v>
      </c>
      <c r="C8" s="6" t="s">
        <v>10</v>
      </c>
      <c r="D8" s="6" t="str">
        <f>"512417611"</f>
        <v>512417611</v>
      </c>
      <c r="E8" s="7">
        <v>80</v>
      </c>
      <c r="F8" s="7">
        <v>96.5</v>
      </c>
      <c r="G8" s="7"/>
      <c r="H8" s="7">
        <v>86.6</v>
      </c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pans="1:8 16325:16384" s="3" customFormat="1" ht="19.95" customHeight="1">
      <c r="A9" s="6" t="str">
        <f t="shared" si="0"/>
        <v>040001</v>
      </c>
      <c r="B9" s="6" t="s">
        <v>9</v>
      </c>
      <c r="C9" s="6" t="s">
        <v>10</v>
      </c>
      <c r="D9" s="6" t="str">
        <f>"512417528"</f>
        <v>512417528</v>
      </c>
      <c r="E9" s="7">
        <v>92</v>
      </c>
      <c r="F9" s="7">
        <v>71</v>
      </c>
      <c r="G9" s="7"/>
      <c r="H9" s="7">
        <v>83.6</v>
      </c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pans="1:8 16325:16384" s="3" customFormat="1" ht="19.95" customHeight="1">
      <c r="A10" s="6" t="str">
        <f t="shared" si="0"/>
        <v>040001</v>
      </c>
      <c r="B10" s="6" t="s">
        <v>9</v>
      </c>
      <c r="C10" s="6" t="s">
        <v>10</v>
      </c>
      <c r="D10" s="6" t="str">
        <f>"512417529"</f>
        <v>512417529</v>
      </c>
      <c r="E10" s="7">
        <v>80</v>
      </c>
      <c r="F10" s="7">
        <v>58.5</v>
      </c>
      <c r="G10" s="7"/>
      <c r="H10" s="7">
        <v>71.400000000000006</v>
      </c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pans="1:8 16325:16384" s="3" customFormat="1" ht="19.95" customHeight="1">
      <c r="A11" s="6" t="str">
        <f t="shared" si="0"/>
        <v>040001</v>
      </c>
      <c r="B11" s="6" t="s">
        <v>9</v>
      </c>
      <c r="C11" s="6" t="s">
        <v>10</v>
      </c>
      <c r="D11" s="6" t="str">
        <f>"512417630"</f>
        <v>512417630</v>
      </c>
      <c r="E11" s="7">
        <v>75</v>
      </c>
      <c r="F11" s="7">
        <v>76</v>
      </c>
      <c r="G11" s="7"/>
      <c r="H11" s="7">
        <v>75.400000000000006</v>
      </c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pans="1:8 16325:16384" s="3" customFormat="1" ht="19.95" customHeight="1">
      <c r="A12" s="6" t="str">
        <f t="shared" si="0"/>
        <v>040001</v>
      </c>
      <c r="B12" s="6" t="s">
        <v>9</v>
      </c>
      <c r="C12" s="6" t="s">
        <v>10</v>
      </c>
      <c r="D12" s="6" t="str">
        <f>"512417527"</f>
        <v>512417527</v>
      </c>
      <c r="E12" s="7">
        <v>79.5</v>
      </c>
      <c r="F12" s="7">
        <v>85.5</v>
      </c>
      <c r="G12" s="7"/>
      <c r="H12" s="7">
        <v>81.900000000000006</v>
      </c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  <row r="13" spans="1:8 16325:16384" s="3" customFormat="1" ht="19.95" customHeight="1">
      <c r="A13" s="6" t="str">
        <f t="shared" si="0"/>
        <v>040001</v>
      </c>
      <c r="B13" s="6" t="s">
        <v>9</v>
      </c>
      <c r="C13" s="6" t="s">
        <v>10</v>
      </c>
      <c r="D13" s="6" t="str">
        <f>"512417606"</f>
        <v>512417606</v>
      </c>
      <c r="E13" s="7">
        <v>75</v>
      </c>
      <c r="F13" s="7">
        <v>70</v>
      </c>
      <c r="G13" s="7"/>
      <c r="H13" s="7">
        <v>73</v>
      </c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  <c r="XFD13" s="9"/>
    </row>
    <row r="14" spans="1:8 16325:16384" s="3" customFormat="1" ht="19.95" customHeight="1">
      <c r="A14" s="6" t="str">
        <f t="shared" si="0"/>
        <v>040001</v>
      </c>
      <c r="B14" s="6" t="s">
        <v>9</v>
      </c>
      <c r="C14" s="6" t="s">
        <v>10</v>
      </c>
      <c r="D14" s="6" t="str">
        <f>"512417701"</f>
        <v>512417701</v>
      </c>
      <c r="E14" s="7">
        <v>78</v>
      </c>
      <c r="F14" s="7">
        <v>72.5</v>
      </c>
      <c r="G14" s="7"/>
      <c r="H14" s="7">
        <v>75.8</v>
      </c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pans="1:8 16325:16384" s="3" customFormat="1" ht="19.95" customHeight="1">
      <c r="A15" s="6" t="str">
        <f t="shared" si="0"/>
        <v>040001</v>
      </c>
      <c r="B15" s="6" t="s">
        <v>9</v>
      </c>
      <c r="C15" s="6" t="s">
        <v>10</v>
      </c>
      <c r="D15" s="6" t="str">
        <f>"512417601"</f>
        <v>512417601</v>
      </c>
      <c r="E15" s="7">
        <v>0</v>
      </c>
      <c r="F15" s="7">
        <v>0</v>
      </c>
      <c r="G15" s="7"/>
      <c r="H15" s="7">
        <v>0</v>
      </c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pans="1:8 16325:16384" s="3" customFormat="1" ht="19.95" customHeight="1">
      <c r="A16" s="6" t="str">
        <f t="shared" si="0"/>
        <v>040001</v>
      </c>
      <c r="B16" s="6" t="s">
        <v>9</v>
      </c>
      <c r="C16" s="6" t="s">
        <v>10</v>
      </c>
      <c r="D16" s="6" t="str">
        <f>"512417619"</f>
        <v>512417619</v>
      </c>
      <c r="E16" s="7">
        <v>76</v>
      </c>
      <c r="F16" s="7">
        <v>72.5</v>
      </c>
      <c r="G16" s="7"/>
      <c r="H16" s="7">
        <v>74.599999999999994</v>
      </c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pans="1:8 16325:16384" s="3" customFormat="1" ht="19.95" customHeight="1">
      <c r="A17" s="6" t="str">
        <f t="shared" si="0"/>
        <v>040001</v>
      </c>
      <c r="B17" s="6" t="s">
        <v>9</v>
      </c>
      <c r="C17" s="6" t="s">
        <v>10</v>
      </c>
      <c r="D17" s="6" t="str">
        <f>"512417525"</f>
        <v>512417525</v>
      </c>
      <c r="E17" s="7">
        <v>75.5</v>
      </c>
      <c r="F17" s="7">
        <v>72.5</v>
      </c>
      <c r="G17" s="7"/>
      <c r="H17" s="7">
        <v>74.3</v>
      </c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9"/>
    </row>
    <row r="18" spans="1:8 16325:16384" s="3" customFormat="1" ht="19.95" customHeight="1">
      <c r="A18" s="6" t="str">
        <f t="shared" si="0"/>
        <v>040001</v>
      </c>
      <c r="B18" s="6" t="s">
        <v>9</v>
      </c>
      <c r="C18" s="6" t="s">
        <v>10</v>
      </c>
      <c r="D18" s="6" t="str">
        <f>"512417607"</f>
        <v>512417607</v>
      </c>
      <c r="E18" s="7">
        <v>67.5</v>
      </c>
      <c r="F18" s="7">
        <v>52</v>
      </c>
      <c r="G18" s="7"/>
      <c r="H18" s="7">
        <v>61.3</v>
      </c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9"/>
    </row>
    <row r="19" spans="1:8 16325:16384" s="3" customFormat="1" ht="19.95" customHeight="1">
      <c r="A19" s="6" t="str">
        <f t="shared" si="0"/>
        <v>040001</v>
      </c>
      <c r="B19" s="6" t="s">
        <v>9</v>
      </c>
      <c r="C19" s="6" t="s">
        <v>10</v>
      </c>
      <c r="D19" s="6" t="str">
        <f>"512417705"</f>
        <v>512417705</v>
      </c>
      <c r="E19" s="7">
        <v>0</v>
      </c>
      <c r="F19" s="7">
        <v>0</v>
      </c>
      <c r="G19" s="7"/>
      <c r="H19" s="7">
        <v>0</v>
      </c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1:8 16325:16384" s="3" customFormat="1" ht="19.95" customHeight="1">
      <c r="A20" s="6" t="str">
        <f t="shared" si="0"/>
        <v>040001</v>
      </c>
      <c r="B20" s="6" t="s">
        <v>9</v>
      </c>
      <c r="C20" s="6" t="s">
        <v>10</v>
      </c>
      <c r="D20" s="6" t="str">
        <f>"512417523"</f>
        <v>512417523</v>
      </c>
      <c r="E20" s="7">
        <v>78.5</v>
      </c>
      <c r="F20" s="7">
        <v>78</v>
      </c>
      <c r="G20" s="7"/>
      <c r="H20" s="7">
        <v>78.3</v>
      </c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  <c r="XFB20" s="9"/>
      <c r="XFC20" s="9"/>
      <c r="XFD20" s="9"/>
    </row>
    <row r="21" spans="1:8 16325:16384" s="3" customFormat="1" ht="19.95" customHeight="1">
      <c r="A21" s="6" t="str">
        <f t="shared" si="0"/>
        <v>040001</v>
      </c>
      <c r="B21" s="6" t="s">
        <v>9</v>
      </c>
      <c r="C21" s="6" t="s">
        <v>10</v>
      </c>
      <c r="D21" s="6" t="str">
        <f>"512417614"</f>
        <v>512417614</v>
      </c>
      <c r="E21" s="7">
        <v>0</v>
      </c>
      <c r="F21" s="7">
        <v>0</v>
      </c>
      <c r="G21" s="7"/>
      <c r="H21" s="7">
        <v>0</v>
      </c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pans="1:8 16325:16384" s="3" customFormat="1" ht="19.95" customHeight="1">
      <c r="A22" s="6" t="str">
        <f t="shared" si="0"/>
        <v>040001</v>
      </c>
      <c r="B22" s="6" t="s">
        <v>9</v>
      </c>
      <c r="C22" s="6" t="s">
        <v>10</v>
      </c>
      <c r="D22" s="6" t="str">
        <f>"512417615"</f>
        <v>512417615</v>
      </c>
      <c r="E22" s="7">
        <v>0</v>
      </c>
      <c r="F22" s="7">
        <v>0</v>
      </c>
      <c r="G22" s="7"/>
      <c r="H22" s="7">
        <v>0</v>
      </c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  <c r="XFC22" s="9"/>
      <c r="XFD22" s="9"/>
    </row>
    <row r="23" spans="1:8 16325:16384" s="3" customFormat="1" ht="19.95" customHeight="1">
      <c r="A23" s="6" t="str">
        <f t="shared" si="0"/>
        <v>040001</v>
      </c>
      <c r="B23" s="6" t="s">
        <v>9</v>
      </c>
      <c r="C23" s="6" t="s">
        <v>10</v>
      </c>
      <c r="D23" s="6" t="str">
        <f>"512417624"</f>
        <v>512417624</v>
      </c>
      <c r="E23" s="7">
        <v>0</v>
      </c>
      <c r="F23" s="7">
        <v>0</v>
      </c>
      <c r="G23" s="7"/>
      <c r="H23" s="7">
        <v>0</v>
      </c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  <c r="XFC23" s="9"/>
      <c r="XFD23" s="9"/>
    </row>
    <row r="24" spans="1:8 16325:16384" s="3" customFormat="1" ht="19.95" customHeight="1">
      <c r="A24" s="6" t="str">
        <f t="shared" si="0"/>
        <v>040001</v>
      </c>
      <c r="B24" s="6" t="s">
        <v>9</v>
      </c>
      <c r="C24" s="6" t="s">
        <v>10</v>
      </c>
      <c r="D24" s="6" t="str">
        <f>"512417605"</f>
        <v>512417605</v>
      </c>
      <c r="E24" s="7">
        <v>77</v>
      </c>
      <c r="F24" s="7">
        <v>73</v>
      </c>
      <c r="G24" s="7"/>
      <c r="H24" s="7">
        <v>75.400000000000006</v>
      </c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pans="1:8 16325:16384" s="3" customFormat="1" ht="19.95" customHeight="1">
      <c r="A25" s="6" t="str">
        <f t="shared" si="0"/>
        <v>040001</v>
      </c>
      <c r="B25" s="6" t="s">
        <v>9</v>
      </c>
      <c r="C25" s="6" t="s">
        <v>10</v>
      </c>
      <c r="D25" s="6" t="str">
        <f>"512417706"</f>
        <v>512417706</v>
      </c>
      <c r="E25" s="7">
        <v>74</v>
      </c>
      <c r="F25" s="7">
        <v>64.5</v>
      </c>
      <c r="G25" s="7"/>
      <c r="H25" s="7">
        <v>70.2</v>
      </c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pans="1:8 16325:16384" s="3" customFormat="1" ht="19.95" customHeight="1">
      <c r="A26" s="6" t="str">
        <f t="shared" si="0"/>
        <v>040001</v>
      </c>
      <c r="B26" s="6" t="s">
        <v>9</v>
      </c>
      <c r="C26" s="6" t="s">
        <v>10</v>
      </c>
      <c r="D26" s="6" t="str">
        <f>"512417622"</f>
        <v>512417622</v>
      </c>
      <c r="E26" s="7">
        <v>76.5</v>
      </c>
      <c r="F26" s="7">
        <v>84</v>
      </c>
      <c r="G26" s="7"/>
      <c r="H26" s="7">
        <v>79.5</v>
      </c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  <c r="XFD26" s="9"/>
    </row>
    <row r="27" spans="1:8 16325:16384" s="3" customFormat="1" ht="19.95" customHeight="1">
      <c r="A27" s="6" t="str">
        <f t="shared" si="0"/>
        <v>040001</v>
      </c>
      <c r="B27" s="6" t="s">
        <v>9</v>
      </c>
      <c r="C27" s="6" t="s">
        <v>10</v>
      </c>
      <c r="D27" s="6" t="str">
        <f>"512417626"</f>
        <v>512417626</v>
      </c>
      <c r="E27" s="7">
        <v>0</v>
      </c>
      <c r="F27" s="7">
        <v>0</v>
      </c>
      <c r="G27" s="7"/>
      <c r="H27" s="7">
        <v>0</v>
      </c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  <c r="XFC27" s="9"/>
      <c r="XFD27" s="9"/>
    </row>
    <row r="28" spans="1:8 16325:16384" s="3" customFormat="1" ht="19.95" customHeight="1">
      <c r="A28" s="6" t="str">
        <f t="shared" si="0"/>
        <v>040001</v>
      </c>
      <c r="B28" s="6" t="s">
        <v>9</v>
      </c>
      <c r="C28" s="6" t="s">
        <v>10</v>
      </c>
      <c r="D28" s="6" t="str">
        <f>"512417613"</f>
        <v>512417613</v>
      </c>
      <c r="E28" s="7">
        <v>81</v>
      </c>
      <c r="F28" s="7">
        <v>60</v>
      </c>
      <c r="G28" s="7"/>
      <c r="H28" s="7">
        <v>72.599999999999994</v>
      </c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8 16325:16384" s="3" customFormat="1" ht="19.95" customHeight="1">
      <c r="A29" s="6" t="str">
        <f t="shared" si="0"/>
        <v>040001</v>
      </c>
      <c r="B29" s="6" t="s">
        <v>9</v>
      </c>
      <c r="C29" s="6" t="s">
        <v>10</v>
      </c>
      <c r="D29" s="6" t="str">
        <f>"512417621"</f>
        <v>512417621</v>
      </c>
      <c r="E29" s="7">
        <v>73.5</v>
      </c>
      <c r="F29" s="7">
        <v>59</v>
      </c>
      <c r="G29" s="7"/>
      <c r="H29" s="7">
        <v>67.7</v>
      </c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8 16325:16384" s="3" customFormat="1" ht="19.95" customHeight="1">
      <c r="A30" s="6" t="str">
        <f t="shared" si="0"/>
        <v>040001</v>
      </c>
      <c r="B30" s="6" t="s">
        <v>9</v>
      </c>
      <c r="C30" s="6" t="s">
        <v>10</v>
      </c>
      <c r="D30" s="6" t="str">
        <f>"512417609"</f>
        <v>512417609</v>
      </c>
      <c r="E30" s="7">
        <v>74.5</v>
      </c>
      <c r="F30" s="7">
        <v>75.5</v>
      </c>
      <c r="G30" s="7"/>
      <c r="H30" s="7">
        <v>74.900000000000006</v>
      </c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spans="1:8 16325:16384" s="3" customFormat="1" ht="19.95" customHeight="1">
      <c r="A31" s="6" t="str">
        <f t="shared" si="0"/>
        <v>040001</v>
      </c>
      <c r="B31" s="6" t="s">
        <v>9</v>
      </c>
      <c r="C31" s="6" t="s">
        <v>10</v>
      </c>
      <c r="D31" s="6" t="str">
        <f>"512417530"</f>
        <v>512417530</v>
      </c>
      <c r="E31" s="7">
        <v>75.5</v>
      </c>
      <c r="F31" s="7">
        <v>66.5</v>
      </c>
      <c r="G31" s="7"/>
      <c r="H31" s="7">
        <v>71.900000000000006</v>
      </c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  <c r="XEY31" s="9"/>
      <c r="XEZ31" s="9"/>
      <c r="XFA31" s="9"/>
      <c r="XFB31" s="9"/>
      <c r="XFC31" s="9"/>
      <c r="XFD31" s="9"/>
    </row>
    <row r="32" spans="1:8 16325:16384" s="3" customFormat="1" ht="19.95" customHeight="1">
      <c r="A32" s="6" t="str">
        <f t="shared" si="0"/>
        <v>040001</v>
      </c>
      <c r="B32" s="6" t="s">
        <v>9</v>
      </c>
      <c r="C32" s="6" t="s">
        <v>10</v>
      </c>
      <c r="D32" s="6" t="str">
        <f>"512417604"</f>
        <v>512417604</v>
      </c>
      <c r="E32" s="7">
        <v>0</v>
      </c>
      <c r="F32" s="7">
        <v>0</v>
      </c>
      <c r="G32" s="7"/>
      <c r="H32" s="7">
        <v>0</v>
      </c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pans="1:8 16325:16384" s="3" customFormat="1" ht="19.95" customHeight="1">
      <c r="A33" s="6" t="str">
        <f t="shared" si="0"/>
        <v>040001</v>
      </c>
      <c r="B33" s="6" t="s">
        <v>9</v>
      </c>
      <c r="C33" s="6" t="s">
        <v>10</v>
      </c>
      <c r="D33" s="6" t="str">
        <f>"512417702"</f>
        <v>512417702</v>
      </c>
      <c r="E33" s="7">
        <v>69.5</v>
      </c>
      <c r="F33" s="7">
        <v>65.5</v>
      </c>
      <c r="G33" s="7"/>
      <c r="H33" s="7">
        <v>67.900000000000006</v>
      </c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  <c r="XEY33" s="9"/>
      <c r="XEZ33" s="9"/>
      <c r="XFA33" s="9"/>
      <c r="XFB33" s="9"/>
      <c r="XFC33" s="9"/>
      <c r="XFD33" s="9"/>
    </row>
    <row r="34" spans="1:8 16325:16384" s="3" customFormat="1" ht="19.95" customHeight="1">
      <c r="A34" s="6" t="str">
        <f t="shared" si="0"/>
        <v>040001</v>
      </c>
      <c r="B34" s="6" t="s">
        <v>9</v>
      </c>
      <c r="C34" s="6" t="s">
        <v>10</v>
      </c>
      <c r="D34" s="6" t="str">
        <f>"512417703"</f>
        <v>512417703</v>
      </c>
      <c r="E34" s="7">
        <v>0</v>
      </c>
      <c r="F34" s="7">
        <v>0</v>
      </c>
      <c r="G34" s="7"/>
      <c r="H34" s="7">
        <v>0</v>
      </c>
      <c r="XCW34" s="9"/>
      <c r="XCX34" s="9"/>
      <c r="XCY34" s="9"/>
      <c r="XCZ34" s="9"/>
      <c r="XDA34" s="9"/>
      <c r="XDB34" s="9"/>
      <c r="XDC34" s="9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  <c r="XEA34" s="9"/>
      <c r="XEB34" s="9"/>
      <c r="XEC34" s="9"/>
      <c r="XED34" s="9"/>
      <c r="XEE34" s="9"/>
      <c r="XEF34" s="9"/>
      <c r="XEG34" s="9"/>
      <c r="XEH34" s="9"/>
      <c r="XEI34" s="9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9"/>
      <c r="XEW34" s="9"/>
      <c r="XEX34" s="9"/>
      <c r="XEY34" s="9"/>
      <c r="XEZ34" s="9"/>
      <c r="XFA34" s="9"/>
      <c r="XFB34" s="9"/>
      <c r="XFC34" s="9"/>
      <c r="XFD34" s="9"/>
    </row>
    <row r="35" spans="1:8 16325:16384" s="3" customFormat="1" ht="19.95" customHeight="1">
      <c r="A35" s="6" t="str">
        <f t="shared" si="0"/>
        <v>040001</v>
      </c>
      <c r="B35" s="6" t="s">
        <v>9</v>
      </c>
      <c r="C35" s="6" t="s">
        <v>10</v>
      </c>
      <c r="D35" s="6" t="str">
        <f>"512417620"</f>
        <v>512417620</v>
      </c>
      <c r="E35" s="7">
        <v>0</v>
      </c>
      <c r="F35" s="7">
        <v>0</v>
      </c>
      <c r="G35" s="7"/>
      <c r="H35" s="7">
        <v>0</v>
      </c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9"/>
      <c r="XEG35" s="9"/>
      <c r="XEH35" s="9"/>
      <c r="XEI35" s="9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spans="1:8 16325:16384" s="3" customFormat="1" ht="19.95" customHeight="1">
      <c r="A36" s="6" t="str">
        <f t="shared" si="0"/>
        <v>040001</v>
      </c>
      <c r="B36" s="6" t="s">
        <v>9</v>
      </c>
      <c r="C36" s="6" t="s">
        <v>10</v>
      </c>
      <c r="D36" s="6" t="str">
        <f>"512417616"</f>
        <v>512417616</v>
      </c>
      <c r="E36" s="7">
        <v>71.5</v>
      </c>
      <c r="F36" s="7">
        <v>66</v>
      </c>
      <c r="G36" s="7"/>
      <c r="H36" s="7">
        <v>69.3</v>
      </c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  <c r="XEY36" s="9"/>
      <c r="XEZ36" s="9"/>
      <c r="XFA36" s="9"/>
      <c r="XFB36" s="9"/>
      <c r="XFC36" s="9"/>
      <c r="XFD36" s="9"/>
    </row>
    <row r="37" spans="1:8 16325:16384" s="3" customFormat="1" ht="19.95" customHeight="1">
      <c r="A37" s="6" t="str">
        <f t="shared" si="0"/>
        <v>040001</v>
      </c>
      <c r="B37" s="6" t="s">
        <v>9</v>
      </c>
      <c r="C37" s="6" t="s">
        <v>10</v>
      </c>
      <c r="D37" s="6" t="str">
        <f>"512417612"</f>
        <v>512417612</v>
      </c>
      <c r="E37" s="7">
        <v>80.5</v>
      </c>
      <c r="F37" s="7">
        <v>82</v>
      </c>
      <c r="G37" s="7"/>
      <c r="H37" s="7">
        <v>81.099999999999994</v>
      </c>
      <c r="XCW37" s="9"/>
      <c r="XCX37" s="9"/>
      <c r="XCY37" s="9"/>
      <c r="XCZ37" s="9"/>
      <c r="XDA37" s="9"/>
      <c r="XDB37" s="9"/>
      <c r="XDC37" s="9"/>
      <c r="XDD37" s="9"/>
      <c r="XDE37" s="9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  <c r="XDZ37" s="9"/>
      <c r="XEA37" s="9"/>
      <c r="XEB37" s="9"/>
      <c r="XEC37" s="9"/>
      <c r="XED37" s="9"/>
      <c r="XEE37" s="9"/>
      <c r="XEF37" s="9"/>
      <c r="XEG37" s="9"/>
      <c r="XEH37" s="9"/>
      <c r="XEI37" s="9"/>
      <c r="XEJ37" s="9"/>
      <c r="XEK37" s="9"/>
      <c r="XEL37" s="9"/>
      <c r="XEM37" s="9"/>
      <c r="XEN37" s="9"/>
      <c r="XEO37" s="9"/>
      <c r="XEP37" s="9"/>
      <c r="XEQ37" s="9"/>
      <c r="XER37" s="9"/>
      <c r="XES37" s="9"/>
      <c r="XET37" s="9"/>
      <c r="XEU37" s="9"/>
      <c r="XEV37" s="9"/>
      <c r="XEW37" s="9"/>
      <c r="XEX37" s="9"/>
      <c r="XEY37" s="9"/>
      <c r="XEZ37" s="9"/>
      <c r="XFA37" s="9"/>
      <c r="XFB37" s="9"/>
      <c r="XFC37" s="9"/>
      <c r="XFD37" s="9"/>
    </row>
    <row r="38" spans="1:8 16325:16384" s="3" customFormat="1" ht="19.95" customHeight="1">
      <c r="A38" s="6" t="str">
        <f t="shared" si="0"/>
        <v>040001</v>
      </c>
      <c r="B38" s="6" t="s">
        <v>9</v>
      </c>
      <c r="C38" s="6" t="s">
        <v>10</v>
      </c>
      <c r="D38" s="6" t="str">
        <f>"512417618"</f>
        <v>512417618</v>
      </c>
      <c r="E38" s="7">
        <v>0</v>
      </c>
      <c r="F38" s="7">
        <v>0</v>
      </c>
      <c r="G38" s="7"/>
      <c r="H38" s="7">
        <v>0</v>
      </c>
      <c r="XCW38" s="9"/>
      <c r="XCX38" s="9"/>
      <c r="XCY38" s="9"/>
      <c r="XCZ38" s="9"/>
      <c r="XDA38" s="9"/>
      <c r="XDB38" s="9"/>
      <c r="XDC38" s="9"/>
      <c r="XDD38" s="9"/>
      <c r="XDE38" s="9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  <c r="XDZ38" s="9"/>
      <c r="XEA38" s="9"/>
      <c r="XEB38" s="9"/>
      <c r="XEC38" s="9"/>
      <c r="XED38" s="9"/>
      <c r="XEE38" s="9"/>
      <c r="XEF38" s="9"/>
      <c r="XEG38" s="9"/>
      <c r="XEH38" s="9"/>
      <c r="XEI38" s="9"/>
      <c r="XEJ38" s="9"/>
      <c r="XEK38" s="9"/>
      <c r="XEL38" s="9"/>
      <c r="XEM38" s="9"/>
      <c r="XEN38" s="9"/>
      <c r="XEO38" s="9"/>
      <c r="XEP38" s="9"/>
      <c r="XEQ38" s="9"/>
      <c r="XER38" s="9"/>
      <c r="XES38" s="9"/>
      <c r="XET38" s="9"/>
      <c r="XEU38" s="9"/>
      <c r="XEV38" s="9"/>
      <c r="XEW38" s="9"/>
      <c r="XEX38" s="9"/>
      <c r="XEY38" s="9"/>
      <c r="XEZ38" s="9"/>
      <c r="XFA38" s="9"/>
      <c r="XFB38" s="9"/>
      <c r="XFC38" s="9"/>
      <c r="XFD38" s="9"/>
    </row>
    <row r="39" spans="1:8 16325:16384" s="3" customFormat="1" ht="19.95" customHeight="1">
      <c r="A39" s="6" t="str">
        <f t="shared" si="0"/>
        <v>040001</v>
      </c>
      <c r="B39" s="6" t="s">
        <v>9</v>
      </c>
      <c r="C39" s="6" t="s">
        <v>10</v>
      </c>
      <c r="D39" s="6" t="str">
        <f>"512417628"</f>
        <v>512417628</v>
      </c>
      <c r="E39" s="7">
        <v>84</v>
      </c>
      <c r="F39" s="7">
        <v>59</v>
      </c>
      <c r="G39" s="7"/>
      <c r="H39" s="7">
        <v>74</v>
      </c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  <c r="XEA39" s="9"/>
      <c r="XEB39" s="9"/>
      <c r="XEC39" s="9"/>
      <c r="XED39" s="9"/>
      <c r="XEE39" s="9"/>
      <c r="XEF39" s="9"/>
      <c r="XEG39" s="9"/>
      <c r="XEH39" s="9"/>
      <c r="XEI39" s="9"/>
      <c r="XEJ39" s="9"/>
      <c r="XEK39" s="9"/>
      <c r="XEL39" s="9"/>
      <c r="XEM39" s="9"/>
      <c r="XEN39" s="9"/>
      <c r="XEO39" s="9"/>
      <c r="XEP39" s="9"/>
      <c r="XEQ39" s="9"/>
      <c r="XER39" s="9"/>
      <c r="XES39" s="9"/>
      <c r="XET39" s="9"/>
      <c r="XEU39" s="9"/>
      <c r="XEV39" s="9"/>
      <c r="XEW39" s="9"/>
      <c r="XEX39" s="9"/>
      <c r="XEY39" s="9"/>
      <c r="XEZ39" s="9"/>
      <c r="XFA39" s="9"/>
      <c r="XFB39" s="9"/>
      <c r="XFC39" s="9"/>
      <c r="XFD39" s="9"/>
    </row>
    <row r="40" spans="1:8 16325:16384" s="3" customFormat="1" ht="19.95" customHeight="1">
      <c r="A40" s="6" t="str">
        <f t="shared" si="0"/>
        <v>040001</v>
      </c>
      <c r="B40" s="6" t="s">
        <v>9</v>
      </c>
      <c r="C40" s="6" t="s">
        <v>10</v>
      </c>
      <c r="D40" s="6" t="str">
        <f>"512417625"</f>
        <v>512417625</v>
      </c>
      <c r="E40" s="7">
        <v>71.5</v>
      </c>
      <c r="F40" s="7">
        <v>53.5</v>
      </c>
      <c r="G40" s="7"/>
      <c r="H40" s="7">
        <v>64.3</v>
      </c>
      <c r="XCW40" s="9"/>
      <c r="XCX40" s="9"/>
      <c r="XCY40" s="9"/>
      <c r="XCZ40" s="9"/>
      <c r="XDA40" s="9"/>
      <c r="XDB40" s="9"/>
      <c r="XDC40" s="9"/>
      <c r="XDD40" s="9"/>
      <c r="XDE40" s="9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9"/>
      <c r="XEB40" s="9"/>
      <c r="XEC40" s="9"/>
      <c r="XED40" s="9"/>
      <c r="XEE40" s="9"/>
      <c r="XEF40" s="9"/>
      <c r="XEG40" s="9"/>
      <c r="XEH40" s="9"/>
      <c r="XEI40" s="9"/>
      <c r="XEJ40" s="9"/>
      <c r="XEK40" s="9"/>
      <c r="XEL40" s="9"/>
      <c r="XEM40" s="9"/>
      <c r="XEN40" s="9"/>
      <c r="XEO40" s="9"/>
      <c r="XEP40" s="9"/>
      <c r="XEQ40" s="9"/>
      <c r="XER40" s="9"/>
      <c r="XES40" s="9"/>
      <c r="XET40" s="9"/>
      <c r="XEU40" s="9"/>
      <c r="XEV40" s="9"/>
      <c r="XEW40" s="9"/>
      <c r="XEX40" s="9"/>
      <c r="XEY40" s="9"/>
      <c r="XEZ40" s="9"/>
      <c r="XFA40" s="9"/>
      <c r="XFB40" s="9"/>
      <c r="XFC40" s="9"/>
      <c r="XFD40" s="9"/>
    </row>
    <row r="41" spans="1:8 16325:16384" s="3" customFormat="1" ht="19.95" customHeight="1">
      <c r="A41" s="6" t="str">
        <f t="shared" si="0"/>
        <v>040001</v>
      </c>
      <c r="B41" s="6" t="s">
        <v>9</v>
      </c>
      <c r="C41" s="6" t="s">
        <v>10</v>
      </c>
      <c r="D41" s="6" t="str">
        <f>"512417623"</f>
        <v>512417623</v>
      </c>
      <c r="E41" s="7">
        <v>0</v>
      </c>
      <c r="F41" s="7">
        <v>0</v>
      </c>
      <c r="G41" s="7"/>
      <c r="H41" s="7">
        <v>0</v>
      </c>
      <c r="XCW41" s="9"/>
      <c r="XCX41" s="9"/>
      <c r="XCY41" s="9"/>
      <c r="XCZ41" s="9"/>
      <c r="XDA41" s="9"/>
      <c r="XDB41" s="9"/>
      <c r="XDC41" s="9"/>
      <c r="XDD41" s="9"/>
      <c r="XDE41" s="9"/>
      <c r="XDF41" s="9"/>
      <c r="XDG41" s="9"/>
      <c r="XDH41" s="9"/>
      <c r="XDI41" s="9"/>
      <c r="XDJ41" s="9"/>
      <c r="XDK41" s="9"/>
      <c r="XDL41" s="9"/>
      <c r="XDM41" s="9"/>
      <c r="XDN41" s="9"/>
      <c r="XDO41" s="9"/>
      <c r="XDP41" s="9"/>
      <c r="XDQ41" s="9"/>
      <c r="XDR41" s="9"/>
      <c r="XDS41" s="9"/>
      <c r="XDT41" s="9"/>
      <c r="XDU41" s="9"/>
      <c r="XDV41" s="9"/>
      <c r="XDW41" s="9"/>
      <c r="XDX41" s="9"/>
      <c r="XDY41" s="9"/>
      <c r="XDZ41" s="9"/>
      <c r="XEA41" s="9"/>
      <c r="XEB41" s="9"/>
      <c r="XEC41" s="9"/>
      <c r="XED41" s="9"/>
      <c r="XEE41" s="9"/>
      <c r="XEF41" s="9"/>
      <c r="XEG41" s="9"/>
      <c r="XEH41" s="9"/>
      <c r="XEI41" s="9"/>
      <c r="XEJ41" s="9"/>
      <c r="XEK41" s="9"/>
      <c r="XEL41" s="9"/>
      <c r="XEM41" s="9"/>
      <c r="XEN41" s="9"/>
      <c r="XEO41" s="9"/>
      <c r="XEP41" s="9"/>
      <c r="XEQ41" s="9"/>
      <c r="XER41" s="9"/>
      <c r="XES41" s="9"/>
      <c r="XET41" s="9"/>
      <c r="XEU41" s="9"/>
      <c r="XEV41" s="9"/>
      <c r="XEW41" s="9"/>
      <c r="XEX41" s="9"/>
      <c r="XEY41" s="9"/>
      <c r="XEZ41" s="9"/>
      <c r="XFA41" s="9"/>
      <c r="XFB41" s="9"/>
      <c r="XFC41" s="9"/>
      <c r="XFD41" s="9"/>
    </row>
    <row r="42" spans="1:8 16325:16384" s="3" customFormat="1" ht="19.95" customHeight="1">
      <c r="A42" s="6" t="str">
        <f t="shared" si="0"/>
        <v>040001</v>
      </c>
      <c r="B42" s="6" t="s">
        <v>9</v>
      </c>
      <c r="C42" s="6" t="s">
        <v>10</v>
      </c>
      <c r="D42" s="6" t="str">
        <f>"512417629"</f>
        <v>512417629</v>
      </c>
      <c r="E42" s="7">
        <v>74</v>
      </c>
      <c r="F42" s="7">
        <v>78</v>
      </c>
      <c r="G42" s="7"/>
      <c r="H42" s="7">
        <v>75.599999999999994</v>
      </c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  <c r="XEY42" s="9"/>
      <c r="XEZ42" s="9"/>
      <c r="XFA42" s="9"/>
      <c r="XFB42" s="9"/>
      <c r="XFC42" s="9"/>
      <c r="XFD42" s="9"/>
    </row>
    <row r="43" spans="1:8 16325:16384" s="3" customFormat="1" ht="19.95" customHeight="1">
      <c r="A43" s="6" t="str">
        <f t="shared" si="0"/>
        <v>040001</v>
      </c>
      <c r="B43" s="6" t="s">
        <v>9</v>
      </c>
      <c r="C43" s="6" t="s">
        <v>10</v>
      </c>
      <c r="D43" s="6" t="str">
        <f>"512417704"</f>
        <v>512417704</v>
      </c>
      <c r="E43" s="7">
        <v>0</v>
      </c>
      <c r="F43" s="7">
        <v>0</v>
      </c>
      <c r="G43" s="7"/>
      <c r="H43" s="7">
        <v>0</v>
      </c>
      <c r="XCW43" s="9"/>
      <c r="XCX43" s="9"/>
      <c r="XCY43" s="9"/>
      <c r="XCZ43" s="9"/>
      <c r="XDA43" s="9"/>
      <c r="XDB43" s="9"/>
      <c r="XDC43" s="9"/>
      <c r="XDD43" s="9"/>
      <c r="XDE43" s="9"/>
      <c r="XDF43" s="9"/>
      <c r="XDG43" s="9"/>
      <c r="XDH43" s="9"/>
      <c r="XDI43" s="9"/>
      <c r="XDJ43" s="9"/>
      <c r="XDK43" s="9"/>
      <c r="XDL43" s="9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9"/>
      <c r="XEB43" s="9"/>
      <c r="XEC43" s="9"/>
      <c r="XED43" s="9"/>
      <c r="XEE43" s="9"/>
      <c r="XEF43" s="9"/>
      <c r="XEG43" s="9"/>
      <c r="XEH43" s="9"/>
      <c r="XEI43" s="9"/>
      <c r="XEJ43" s="9"/>
      <c r="XEK43" s="9"/>
      <c r="XEL43" s="9"/>
      <c r="XEM43" s="9"/>
      <c r="XEN43" s="9"/>
      <c r="XEO43" s="9"/>
      <c r="XEP43" s="9"/>
      <c r="XEQ43" s="9"/>
      <c r="XER43" s="9"/>
      <c r="XES43" s="9"/>
      <c r="XET43" s="9"/>
      <c r="XEU43" s="9"/>
      <c r="XEV43" s="9"/>
      <c r="XEW43" s="9"/>
      <c r="XEX43" s="9"/>
      <c r="XEY43" s="9"/>
      <c r="XEZ43" s="9"/>
      <c r="XFA43" s="9"/>
      <c r="XFB43" s="9"/>
      <c r="XFC43" s="9"/>
      <c r="XFD43" s="9"/>
    </row>
    <row r="44" spans="1:8 16325:16384" s="3" customFormat="1" ht="19.95" customHeight="1">
      <c r="A44" s="6" t="str">
        <f t="shared" si="0"/>
        <v>040001</v>
      </c>
      <c r="B44" s="6" t="s">
        <v>9</v>
      </c>
      <c r="C44" s="6" t="s">
        <v>10</v>
      </c>
      <c r="D44" s="6" t="str">
        <f>"512417608"</f>
        <v>512417608</v>
      </c>
      <c r="E44" s="7">
        <v>70</v>
      </c>
      <c r="F44" s="7">
        <v>60</v>
      </c>
      <c r="G44" s="7"/>
      <c r="H44" s="7">
        <v>66</v>
      </c>
      <c r="XCW44" s="9"/>
      <c r="XCX44" s="9"/>
      <c r="XCY44" s="9"/>
      <c r="XCZ44" s="9"/>
      <c r="XDA44" s="9"/>
      <c r="XDB44" s="9"/>
      <c r="XDC44" s="9"/>
      <c r="XDD44" s="9"/>
      <c r="XDE44" s="9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9"/>
      <c r="XEB44" s="9"/>
      <c r="XEC44" s="9"/>
      <c r="XED44" s="9"/>
      <c r="XEE44" s="9"/>
      <c r="XEF44" s="9"/>
      <c r="XEG44" s="9"/>
      <c r="XEH44" s="9"/>
      <c r="XEI44" s="9"/>
      <c r="XEJ44" s="9"/>
      <c r="XEK44" s="9"/>
      <c r="XEL44" s="9"/>
      <c r="XEM44" s="9"/>
      <c r="XEN44" s="9"/>
      <c r="XEO44" s="9"/>
      <c r="XEP44" s="9"/>
      <c r="XEQ44" s="9"/>
      <c r="XER44" s="9"/>
      <c r="XES44" s="9"/>
      <c r="XET44" s="9"/>
      <c r="XEU44" s="9"/>
      <c r="XEV44" s="9"/>
      <c r="XEW44" s="9"/>
      <c r="XEX44" s="9"/>
      <c r="XEY44" s="9"/>
      <c r="XEZ44" s="9"/>
      <c r="XFA44" s="9"/>
      <c r="XFB44" s="9"/>
      <c r="XFC44" s="9"/>
      <c r="XFD44" s="9"/>
    </row>
    <row r="45" spans="1:8 16325:16384" s="3" customFormat="1" ht="19.95" customHeight="1">
      <c r="A45" s="6" t="str">
        <f t="shared" si="0"/>
        <v>040001</v>
      </c>
      <c r="B45" s="6" t="s">
        <v>9</v>
      </c>
      <c r="C45" s="6" t="s">
        <v>10</v>
      </c>
      <c r="D45" s="6" t="str">
        <f>"512417610"</f>
        <v>512417610</v>
      </c>
      <c r="E45" s="7">
        <v>72.5</v>
      </c>
      <c r="F45" s="7">
        <v>74</v>
      </c>
      <c r="G45" s="7"/>
      <c r="H45" s="7">
        <v>73.099999999999994</v>
      </c>
      <c r="XCW45" s="9"/>
      <c r="XCX45" s="9"/>
      <c r="XCY45" s="9"/>
      <c r="XCZ45" s="9"/>
      <c r="XDA45" s="9"/>
      <c r="XDB45" s="9"/>
      <c r="XDC45" s="9"/>
      <c r="XDD45" s="9"/>
      <c r="XDE45" s="9"/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9"/>
      <c r="XEB45" s="9"/>
      <c r="XEC45" s="9"/>
      <c r="XED45" s="9"/>
      <c r="XEE45" s="9"/>
      <c r="XEF45" s="9"/>
      <c r="XEG45" s="9"/>
      <c r="XEH45" s="9"/>
      <c r="XEI45" s="9"/>
      <c r="XEJ45" s="9"/>
      <c r="XEK45" s="9"/>
      <c r="XEL45" s="9"/>
      <c r="XEM45" s="9"/>
      <c r="XEN45" s="9"/>
      <c r="XEO45" s="9"/>
      <c r="XEP45" s="9"/>
      <c r="XEQ45" s="9"/>
      <c r="XER45" s="9"/>
      <c r="XES45" s="9"/>
      <c r="XET45" s="9"/>
      <c r="XEU45" s="9"/>
      <c r="XEV45" s="9"/>
      <c r="XEW45" s="9"/>
      <c r="XEX45" s="9"/>
      <c r="XEY45" s="9"/>
      <c r="XEZ45" s="9"/>
      <c r="XFA45" s="9"/>
      <c r="XFB45" s="9"/>
      <c r="XFC45" s="9"/>
      <c r="XFD45" s="9"/>
    </row>
    <row r="46" spans="1:8 16325:16384" s="3" customFormat="1" ht="19.95" customHeight="1">
      <c r="A46" s="6" t="str">
        <f t="shared" si="0"/>
        <v>040001</v>
      </c>
      <c r="B46" s="6" t="s">
        <v>9</v>
      </c>
      <c r="C46" s="6" t="s">
        <v>10</v>
      </c>
      <c r="D46" s="6" t="str">
        <f>"512417602"</f>
        <v>512417602</v>
      </c>
      <c r="E46" s="7">
        <v>82.5</v>
      </c>
      <c r="F46" s="7">
        <v>74.5</v>
      </c>
      <c r="G46" s="7"/>
      <c r="H46" s="7">
        <v>79.3</v>
      </c>
      <c r="XCW46" s="9"/>
      <c r="XCX46" s="9"/>
      <c r="XCY46" s="9"/>
      <c r="XCZ46" s="9"/>
      <c r="XDA46" s="9"/>
      <c r="XDB46" s="9"/>
      <c r="XDC46" s="9"/>
      <c r="XDD46" s="9"/>
      <c r="XDE46" s="9"/>
      <c r="XDF46" s="9"/>
      <c r="XDG46" s="9"/>
      <c r="XDH46" s="9"/>
      <c r="XDI46" s="9"/>
      <c r="XDJ46" s="9"/>
      <c r="XDK46" s="9"/>
      <c r="XDL46" s="9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9"/>
      <c r="XEB46" s="9"/>
      <c r="XEC46" s="9"/>
      <c r="XED46" s="9"/>
      <c r="XEE46" s="9"/>
      <c r="XEF46" s="9"/>
      <c r="XEG46" s="9"/>
      <c r="XEH46" s="9"/>
      <c r="XEI46" s="9"/>
      <c r="XEJ46" s="9"/>
      <c r="XEK46" s="9"/>
      <c r="XEL46" s="9"/>
      <c r="XEM46" s="9"/>
      <c r="XEN46" s="9"/>
      <c r="XEO46" s="9"/>
      <c r="XEP46" s="9"/>
      <c r="XEQ46" s="9"/>
      <c r="XER46" s="9"/>
      <c r="XES46" s="9"/>
      <c r="XET46" s="9"/>
      <c r="XEU46" s="9"/>
      <c r="XEV46" s="9"/>
      <c r="XEW46" s="9"/>
      <c r="XEX46" s="9"/>
      <c r="XEY46" s="9"/>
      <c r="XEZ46" s="9"/>
      <c r="XFA46" s="9"/>
      <c r="XFB46" s="9"/>
      <c r="XFC46" s="9"/>
      <c r="XFD46" s="9"/>
    </row>
    <row r="47" spans="1:8 16325:16384" s="3" customFormat="1" ht="19.95" customHeight="1">
      <c r="A47" s="6" t="str">
        <f t="shared" ref="A47:A62" si="1">"040002"</f>
        <v>040002</v>
      </c>
      <c r="B47" s="6" t="s">
        <v>11</v>
      </c>
      <c r="C47" s="6" t="s">
        <v>10</v>
      </c>
      <c r="D47" s="6" t="str">
        <f>"512420111"</f>
        <v>512420111</v>
      </c>
      <c r="E47" s="7">
        <v>41</v>
      </c>
      <c r="F47" s="7">
        <v>70</v>
      </c>
      <c r="G47" s="7"/>
      <c r="H47" s="7">
        <v>52.6</v>
      </c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pans="1:8 16325:16384" s="3" customFormat="1" ht="19.95" customHeight="1">
      <c r="A48" s="6" t="str">
        <f t="shared" si="1"/>
        <v>040002</v>
      </c>
      <c r="B48" s="6" t="s">
        <v>11</v>
      </c>
      <c r="C48" s="6" t="s">
        <v>10</v>
      </c>
      <c r="D48" s="6" t="str">
        <f>"512420109"</f>
        <v>512420109</v>
      </c>
      <c r="E48" s="7">
        <v>55</v>
      </c>
      <c r="F48" s="7">
        <v>64</v>
      </c>
      <c r="G48" s="7"/>
      <c r="H48" s="7">
        <v>58.6</v>
      </c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  <c r="XFB48" s="9"/>
      <c r="XFC48" s="9"/>
      <c r="XFD48" s="9"/>
    </row>
    <row r="49" spans="1:8 16325:16384" s="3" customFormat="1" ht="19.95" customHeight="1">
      <c r="A49" s="6" t="str">
        <f t="shared" si="1"/>
        <v>040002</v>
      </c>
      <c r="B49" s="6" t="s">
        <v>11</v>
      </c>
      <c r="C49" s="6" t="s">
        <v>10</v>
      </c>
      <c r="D49" s="6" t="str">
        <f>"512420107"</f>
        <v>512420107</v>
      </c>
      <c r="E49" s="7">
        <v>82</v>
      </c>
      <c r="F49" s="7">
        <v>61.5</v>
      </c>
      <c r="G49" s="7"/>
      <c r="H49" s="7">
        <v>73.8</v>
      </c>
      <c r="XCW49" s="9"/>
      <c r="XCX49" s="9"/>
      <c r="XCY49" s="9"/>
      <c r="XCZ49" s="9"/>
      <c r="XDA49" s="9"/>
      <c r="XDB49" s="9"/>
      <c r="XDC49" s="9"/>
      <c r="XDD49" s="9"/>
      <c r="XDE49" s="9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9"/>
      <c r="XDU49" s="9"/>
      <c r="XDV49" s="9"/>
      <c r="XDW49" s="9"/>
      <c r="XDX49" s="9"/>
      <c r="XDY49" s="9"/>
      <c r="XDZ49" s="9"/>
      <c r="XEA49" s="9"/>
      <c r="XEB49" s="9"/>
      <c r="XEC49" s="9"/>
      <c r="XED49" s="9"/>
      <c r="XEE49" s="9"/>
      <c r="XEF49" s="9"/>
      <c r="XEG49" s="9"/>
      <c r="XEH49" s="9"/>
      <c r="XEI49" s="9"/>
      <c r="XEJ49" s="9"/>
      <c r="XEK49" s="9"/>
      <c r="XEL49" s="9"/>
      <c r="XEM49" s="9"/>
      <c r="XEN49" s="9"/>
      <c r="XEO49" s="9"/>
      <c r="XEP49" s="9"/>
      <c r="XEQ49" s="9"/>
      <c r="XER49" s="9"/>
      <c r="XES49" s="9"/>
      <c r="XET49" s="9"/>
      <c r="XEU49" s="9"/>
      <c r="XEV49" s="9"/>
      <c r="XEW49" s="9"/>
      <c r="XEX49" s="9"/>
      <c r="XEY49" s="9"/>
      <c r="XEZ49" s="9"/>
      <c r="XFA49" s="9"/>
      <c r="XFB49" s="9"/>
      <c r="XFC49" s="9"/>
      <c r="XFD49" s="9"/>
    </row>
    <row r="50" spans="1:8 16325:16384" s="3" customFormat="1" ht="19.95" customHeight="1">
      <c r="A50" s="6" t="str">
        <f t="shared" si="1"/>
        <v>040002</v>
      </c>
      <c r="B50" s="6" t="s">
        <v>11</v>
      </c>
      <c r="C50" s="6" t="s">
        <v>10</v>
      </c>
      <c r="D50" s="6" t="str">
        <f>"512420112"</f>
        <v>512420112</v>
      </c>
      <c r="E50" s="7">
        <v>46.5</v>
      </c>
      <c r="F50" s="7">
        <v>70</v>
      </c>
      <c r="G50" s="7"/>
      <c r="H50" s="7">
        <v>55.9</v>
      </c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  <c r="XEU50" s="9"/>
      <c r="XEV50" s="9"/>
      <c r="XEW50" s="9"/>
      <c r="XEX50" s="9"/>
      <c r="XEY50" s="9"/>
      <c r="XEZ50" s="9"/>
      <c r="XFA50" s="9"/>
      <c r="XFB50" s="9"/>
      <c r="XFC50" s="9"/>
      <c r="XFD50" s="9"/>
    </row>
    <row r="51" spans="1:8 16325:16384" s="3" customFormat="1" ht="19.95" customHeight="1">
      <c r="A51" s="6" t="str">
        <f t="shared" si="1"/>
        <v>040002</v>
      </c>
      <c r="B51" s="6" t="s">
        <v>11</v>
      </c>
      <c r="C51" s="6" t="s">
        <v>10</v>
      </c>
      <c r="D51" s="6" t="str">
        <f>"512420106"</f>
        <v>512420106</v>
      </c>
      <c r="E51" s="7">
        <v>58.5</v>
      </c>
      <c r="F51" s="7">
        <v>65</v>
      </c>
      <c r="G51" s="7"/>
      <c r="H51" s="7">
        <v>61.1</v>
      </c>
      <c r="XCW51" s="9"/>
      <c r="XCX51" s="9"/>
      <c r="XCY51" s="9"/>
      <c r="XCZ51" s="9"/>
      <c r="XDA51" s="9"/>
      <c r="XDB51" s="9"/>
      <c r="XDC51" s="9"/>
      <c r="XDD51" s="9"/>
      <c r="XDE51" s="9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9"/>
      <c r="XDU51" s="9"/>
      <c r="XDV51" s="9"/>
      <c r="XDW51" s="9"/>
      <c r="XDX51" s="9"/>
      <c r="XDY51" s="9"/>
      <c r="XDZ51" s="9"/>
      <c r="XEA51" s="9"/>
      <c r="XEB51" s="9"/>
      <c r="XEC51" s="9"/>
      <c r="XED51" s="9"/>
      <c r="XEE51" s="9"/>
      <c r="XEF51" s="9"/>
      <c r="XEG51" s="9"/>
      <c r="XEH51" s="9"/>
      <c r="XEI51" s="9"/>
      <c r="XEJ51" s="9"/>
      <c r="XEK51" s="9"/>
      <c r="XEL51" s="9"/>
      <c r="XEM51" s="9"/>
      <c r="XEN51" s="9"/>
      <c r="XEO51" s="9"/>
      <c r="XEP51" s="9"/>
      <c r="XEQ51" s="9"/>
      <c r="XER51" s="9"/>
      <c r="XES51" s="9"/>
      <c r="XET51" s="9"/>
      <c r="XEU51" s="9"/>
      <c r="XEV51" s="9"/>
      <c r="XEW51" s="9"/>
      <c r="XEX51" s="9"/>
      <c r="XEY51" s="9"/>
      <c r="XEZ51" s="9"/>
      <c r="XFA51" s="9"/>
      <c r="XFB51" s="9"/>
      <c r="XFC51" s="9"/>
      <c r="XFD51" s="9"/>
    </row>
    <row r="52" spans="1:8 16325:16384" s="3" customFormat="1" ht="19.95" customHeight="1">
      <c r="A52" s="6" t="str">
        <f t="shared" si="1"/>
        <v>040002</v>
      </c>
      <c r="B52" s="6" t="s">
        <v>11</v>
      </c>
      <c r="C52" s="6" t="s">
        <v>10</v>
      </c>
      <c r="D52" s="6" t="str">
        <f>"512420108"</f>
        <v>512420108</v>
      </c>
      <c r="E52" s="7">
        <v>0</v>
      </c>
      <c r="F52" s="7">
        <v>0</v>
      </c>
      <c r="G52" s="7"/>
      <c r="H52" s="7">
        <v>0</v>
      </c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  <c r="XFD52" s="9"/>
    </row>
    <row r="53" spans="1:8 16325:16384" s="3" customFormat="1" ht="19.95" customHeight="1">
      <c r="A53" s="6" t="str">
        <f t="shared" si="1"/>
        <v>040002</v>
      </c>
      <c r="B53" s="6" t="s">
        <v>11</v>
      </c>
      <c r="C53" s="6" t="s">
        <v>10</v>
      </c>
      <c r="D53" s="6" t="str">
        <f>"512420102"</f>
        <v>512420102</v>
      </c>
      <c r="E53" s="7">
        <v>0</v>
      </c>
      <c r="F53" s="7">
        <v>0</v>
      </c>
      <c r="G53" s="7"/>
      <c r="H53" s="7">
        <v>0</v>
      </c>
      <c r="XCW53" s="9"/>
      <c r="XCX53" s="9"/>
      <c r="XCY53" s="9"/>
      <c r="XCZ53" s="9"/>
      <c r="XDA53" s="9"/>
      <c r="XDB53" s="9"/>
      <c r="XDC53" s="9"/>
      <c r="XDD53" s="9"/>
      <c r="XDE53" s="9"/>
      <c r="XDF53" s="9"/>
      <c r="XDG53" s="9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9"/>
      <c r="XDW53" s="9"/>
      <c r="XDX53" s="9"/>
      <c r="XDY53" s="9"/>
      <c r="XDZ53" s="9"/>
      <c r="XEA53" s="9"/>
      <c r="XEB53" s="9"/>
      <c r="XEC53" s="9"/>
      <c r="XED53" s="9"/>
      <c r="XEE53" s="9"/>
      <c r="XEF53" s="9"/>
      <c r="XEG53" s="9"/>
      <c r="XEH53" s="9"/>
      <c r="XEI53" s="9"/>
      <c r="XEJ53" s="9"/>
      <c r="XEK53" s="9"/>
      <c r="XEL53" s="9"/>
      <c r="XEM53" s="9"/>
      <c r="XEN53" s="9"/>
      <c r="XEO53" s="9"/>
      <c r="XEP53" s="9"/>
      <c r="XEQ53" s="9"/>
      <c r="XER53" s="9"/>
      <c r="XES53" s="9"/>
      <c r="XET53" s="9"/>
      <c r="XEU53" s="9"/>
      <c r="XEV53" s="9"/>
      <c r="XEW53" s="9"/>
      <c r="XEX53" s="9"/>
      <c r="XEY53" s="9"/>
      <c r="XEZ53" s="9"/>
      <c r="XFA53" s="9"/>
      <c r="XFB53" s="9"/>
      <c r="XFC53" s="9"/>
      <c r="XFD53" s="9"/>
    </row>
    <row r="54" spans="1:8 16325:16384" s="3" customFormat="1" ht="19.95" customHeight="1">
      <c r="A54" s="6" t="str">
        <f t="shared" si="1"/>
        <v>040002</v>
      </c>
      <c r="B54" s="6" t="s">
        <v>11</v>
      </c>
      <c r="C54" s="6" t="s">
        <v>10</v>
      </c>
      <c r="D54" s="6" t="str">
        <f>"512420027"</f>
        <v>512420027</v>
      </c>
      <c r="E54" s="7">
        <v>72</v>
      </c>
      <c r="F54" s="7">
        <v>75.5</v>
      </c>
      <c r="G54" s="7"/>
      <c r="H54" s="7">
        <v>73.400000000000006</v>
      </c>
      <c r="XCW54" s="9"/>
      <c r="XCX54" s="9"/>
      <c r="XCY54" s="9"/>
      <c r="XCZ54" s="9"/>
      <c r="XDA54" s="9"/>
      <c r="XDB54" s="9"/>
      <c r="XDC54" s="9"/>
      <c r="XDD54" s="9"/>
      <c r="XDE54" s="9"/>
      <c r="XDF54" s="9"/>
      <c r="XDG54" s="9"/>
      <c r="XDH54" s="9"/>
      <c r="XDI54" s="9"/>
      <c r="XDJ54" s="9"/>
      <c r="XDK54" s="9"/>
      <c r="XDL54" s="9"/>
      <c r="XDM54" s="9"/>
      <c r="XDN54" s="9"/>
      <c r="XDO54" s="9"/>
      <c r="XDP54" s="9"/>
      <c r="XDQ54" s="9"/>
      <c r="XDR54" s="9"/>
      <c r="XDS54" s="9"/>
      <c r="XDT54" s="9"/>
      <c r="XDU54" s="9"/>
      <c r="XDV54" s="9"/>
      <c r="XDW54" s="9"/>
      <c r="XDX54" s="9"/>
      <c r="XDY54" s="9"/>
      <c r="XDZ54" s="9"/>
      <c r="XEA54" s="9"/>
      <c r="XEB54" s="9"/>
      <c r="XEC54" s="9"/>
      <c r="XED54" s="9"/>
      <c r="XEE54" s="9"/>
      <c r="XEF54" s="9"/>
      <c r="XEG54" s="9"/>
      <c r="XEH54" s="9"/>
      <c r="XEI54" s="9"/>
      <c r="XEJ54" s="9"/>
      <c r="XEK54" s="9"/>
      <c r="XEL54" s="9"/>
      <c r="XEM54" s="9"/>
      <c r="XEN54" s="9"/>
      <c r="XEO54" s="9"/>
      <c r="XEP54" s="9"/>
      <c r="XEQ54" s="9"/>
      <c r="XER54" s="9"/>
      <c r="XES54" s="9"/>
      <c r="XET54" s="9"/>
      <c r="XEU54" s="9"/>
      <c r="XEV54" s="9"/>
      <c r="XEW54" s="9"/>
      <c r="XEX54" s="9"/>
      <c r="XEY54" s="9"/>
      <c r="XEZ54" s="9"/>
      <c r="XFA54" s="9"/>
      <c r="XFB54" s="9"/>
      <c r="XFC54" s="9"/>
      <c r="XFD54" s="9"/>
    </row>
    <row r="55" spans="1:8 16325:16384" s="3" customFormat="1" ht="19.95" customHeight="1">
      <c r="A55" s="6" t="str">
        <f t="shared" si="1"/>
        <v>040002</v>
      </c>
      <c r="B55" s="6" t="s">
        <v>11</v>
      </c>
      <c r="C55" s="6" t="s">
        <v>10</v>
      </c>
      <c r="D55" s="6" t="str">
        <f>"512420030"</f>
        <v>512420030</v>
      </c>
      <c r="E55" s="7">
        <v>85</v>
      </c>
      <c r="F55" s="7">
        <v>65.5</v>
      </c>
      <c r="G55" s="7"/>
      <c r="H55" s="7">
        <v>77.2</v>
      </c>
      <c r="XCW55" s="9"/>
      <c r="XCX55" s="9"/>
      <c r="XCY55" s="9"/>
      <c r="XCZ55" s="9"/>
      <c r="XDA55" s="9"/>
      <c r="XDB55" s="9"/>
      <c r="XDC55" s="9"/>
      <c r="XDD55" s="9"/>
      <c r="XDE55" s="9"/>
      <c r="XDF55" s="9"/>
      <c r="XDG55" s="9"/>
      <c r="XDH55" s="9"/>
      <c r="XDI55" s="9"/>
      <c r="XDJ55" s="9"/>
      <c r="XDK55" s="9"/>
      <c r="XDL55" s="9"/>
      <c r="XDM55" s="9"/>
      <c r="XDN55" s="9"/>
      <c r="XDO55" s="9"/>
      <c r="XDP55" s="9"/>
      <c r="XDQ55" s="9"/>
      <c r="XDR55" s="9"/>
      <c r="XDS55" s="9"/>
      <c r="XDT55" s="9"/>
      <c r="XDU55" s="9"/>
      <c r="XDV55" s="9"/>
      <c r="XDW55" s="9"/>
      <c r="XDX55" s="9"/>
      <c r="XDY55" s="9"/>
      <c r="XDZ55" s="9"/>
      <c r="XEA55" s="9"/>
      <c r="XEB55" s="9"/>
      <c r="XEC55" s="9"/>
      <c r="XED55" s="9"/>
      <c r="XEE55" s="9"/>
      <c r="XEF55" s="9"/>
      <c r="XEG55" s="9"/>
      <c r="XEH55" s="9"/>
      <c r="XEI55" s="9"/>
      <c r="XEJ55" s="9"/>
      <c r="XEK55" s="9"/>
      <c r="XEL55" s="9"/>
      <c r="XEM55" s="9"/>
      <c r="XEN55" s="9"/>
      <c r="XEO55" s="9"/>
      <c r="XEP55" s="9"/>
      <c r="XEQ55" s="9"/>
      <c r="XER55" s="9"/>
      <c r="XES55" s="9"/>
      <c r="XET55" s="9"/>
      <c r="XEU55" s="9"/>
      <c r="XEV55" s="9"/>
      <c r="XEW55" s="9"/>
      <c r="XEX55" s="9"/>
      <c r="XEY55" s="9"/>
      <c r="XEZ55" s="9"/>
      <c r="XFA55" s="9"/>
      <c r="XFB55" s="9"/>
      <c r="XFC55" s="9"/>
      <c r="XFD55" s="9"/>
    </row>
    <row r="56" spans="1:8 16325:16384" s="3" customFormat="1" ht="19.95" customHeight="1">
      <c r="A56" s="6" t="str">
        <f t="shared" si="1"/>
        <v>040002</v>
      </c>
      <c r="B56" s="6" t="s">
        <v>11</v>
      </c>
      <c r="C56" s="6" t="s">
        <v>10</v>
      </c>
      <c r="D56" s="6" t="str">
        <f>"512420101"</f>
        <v>512420101</v>
      </c>
      <c r="E56" s="7">
        <v>73</v>
      </c>
      <c r="F56" s="7">
        <v>69.5</v>
      </c>
      <c r="G56" s="7"/>
      <c r="H56" s="7">
        <v>71.599999999999994</v>
      </c>
      <c r="XCW56" s="9"/>
      <c r="XCX56" s="9"/>
      <c r="XCY56" s="9"/>
      <c r="XCZ56" s="9"/>
      <c r="XDA56" s="9"/>
      <c r="XDB56" s="9"/>
      <c r="XDC56" s="9"/>
      <c r="XDD56" s="9"/>
      <c r="XDE56" s="9"/>
      <c r="XDF56" s="9"/>
      <c r="XDG56" s="9"/>
      <c r="XDH56" s="9"/>
      <c r="XDI56" s="9"/>
      <c r="XDJ56" s="9"/>
      <c r="XDK56" s="9"/>
      <c r="XDL56" s="9"/>
      <c r="XDM56" s="9"/>
      <c r="XDN56" s="9"/>
      <c r="XDO56" s="9"/>
      <c r="XDP56" s="9"/>
      <c r="XDQ56" s="9"/>
      <c r="XDR56" s="9"/>
      <c r="XDS56" s="9"/>
      <c r="XDT56" s="9"/>
      <c r="XDU56" s="9"/>
      <c r="XDV56" s="9"/>
      <c r="XDW56" s="9"/>
      <c r="XDX56" s="9"/>
      <c r="XDY56" s="9"/>
      <c r="XDZ56" s="9"/>
      <c r="XEA56" s="9"/>
      <c r="XEB56" s="9"/>
      <c r="XEC56" s="9"/>
      <c r="XED56" s="9"/>
      <c r="XEE56" s="9"/>
      <c r="XEF56" s="9"/>
      <c r="XEG56" s="9"/>
      <c r="XEH56" s="9"/>
      <c r="XEI56" s="9"/>
      <c r="XEJ56" s="9"/>
      <c r="XEK56" s="9"/>
      <c r="XEL56" s="9"/>
      <c r="XEM56" s="9"/>
      <c r="XEN56" s="9"/>
      <c r="XEO56" s="9"/>
      <c r="XEP56" s="9"/>
      <c r="XEQ56" s="9"/>
      <c r="XER56" s="9"/>
      <c r="XES56" s="9"/>
      <c r="XET56" s="9"/>
      <c r="XEU56" s="9"/>
      <c r="XEV56" s="9"/>
      <c r="XEW56" s="9"/>
      <c r="XEX56" s="9"/>
      <c r="XEY56" s="9"/>
      <c r="XEZ56" s="9"/>
      <c r="XFA56" s="9"/>
      <c r="XFB56" s="9"/>
      <c r="XFC56" s="9"/>
      <c r="XFD56" s="9"/>
    </row>
    <row r="57" spans="1:8 16325:16384" s="3" customFormat="1" ht="19.95" customHeight="1">
      <c r="A57" s="6" t="str">
        <f t="shared" si="1"/>
        <v>040002</v>
      </c>
      <c r="B57" s="6" t="s">
        <v>11</v>
      </c>
      <c r="C57" s="6" t="s">
        <v>10</v>
      </c>
      <c r="D57" s="6" t="str">
        <f>"512420105"</f>
        <v>512420105</v>
      </c>
      <c r="E57" s="7">
        <v>72</v>
      </c>
      <c r="F57" s="7">
        <v>71</v>
      </c>
      <c r="G57" s="7"/>
      <c r="H57" s="7">
        <v>71.599999999999994</v>
      </c>
      <c r="XCW57" s="9"/>
      <c r="XCX57" s="9"/>
      <c r="XCY57" s="9"/>
      <c r="XCZ57" s="9"/>
      <c r="XDA57" s="9"/>
      <c r="XDB57" s="9"/>
      <c r="XDC57" s="9"/>
      <c r="XDD57" s="9"/>
      <c r="XDE57" s="9"/>
      <c r="XDF57" s="9"/>
      <c r="XDG57" s="9"/>
      <c r="XDH57" s="9"/>
      <c r="XDI57" s="9"/>
      <c r="XDJ57" s="9"/>
      <c r="XDK57" s="9"/>
      <c r="XDL57" s="9"/>
      <c r="XDM57" s="9"/>
      <c r="XDN57" s="9"/>
      <c r="XDO57" s="9"/>
      <c r="XDP57" s="9"/>
      <c r="XDQ57" s="9"/>
      <c r="XDR57" s="9"/>
      <c r="XDS57" s="9"/>
      <c r="XDT57" s="9"/>
      <c r="XDU57" s="9"/>
      <c r="XDV57" s="9"/>
      <c r="XDW57" s="9"/>
      <c r="XDX57" s="9"/>
      <c r="XDY57" s="9"/>
      <c r="XDZ57" s="9"/>
      <c r="XEA57" s="9"/>
      <c r="XEB57" s="9"/>
      <c r="XEC57" s="9"/>
      <c r="XED57" s="9"/>
      <c r="XEE57" s="9"/>
      <c r="XEF57" s="9"/>
      <c r="XEG57" s="9"/>
      <c r="XEH57" s="9"/>
      <c r="XEI57" s="9"/>
      <c r="XEJ57" s="9"/>
      <c r="XEK57" s="9"/>
      <c r="XEL57" s="9"/>
      <c r="XEM57" s="9"/>
      <c r="XEN57" s="9"/>
      <c r="XEO57" s="9"/>
      <c r="XEP57" s="9"/>
      <c r="XEQ57" s="9"/>
      <c r="XER57" s="9"/>
      <c r="XES57" s="9"/>
      <c r="XET57" s="9"/>
      <c r="XEU57" s="9"/>
      <c r="XEV57" s="9"/>
      <c r="XEW57" s="9"/>
      <c r="XEX57" s="9"/>
      <c r="XEY57" s="9"/>
      <c r="XEZ57" s="9"/>
      <c r="XFA57" s="9"/>
      <c r="XFB57" s="9"/>
      <c r="XFC57" s="9"/>
      <c r="XFD57" s="9"/>
    </row>
    <row r="58" spans="1:8 16325:16384" s="3" customFormat="1" ht="19.95" customHeight="1">
      <c r="A58" s="6" t="str">
        <f t="shared" si="1"/>
        <v>040002</v>
      </c>
      <c r="B58" s="6" t="s">
        <v>11</v>
      </c>
      <c r="C58" s="6" t="s">
        <v>10</v>
      </c>
      <c r="D58" s="6" t="str">
        <f>"512420104"</f>
        <v>512420104</v>
      </c>
      <c r="E58" s="7">
        <v>0</v>
      </c>
      <c r="F58" s="7">
        <v>0</v>
      </c>
      <c r="G58" s="7"/>
      <c r="H58" s="7">
        <v>0</v>
      </c>
      <c r="XCW58" s="9"/>
      <c r="XCX58" s="9"/>
      <c r="XCY58" s="9"/>
      <c r="XCZ58" s="9"/>
      <c r="XDA58" s="9"/>
      <c r="XDB58" s="9"/>
      <c r="XDC58" s="9"/>
      <c r="XDD58" s="9"/>
      <c r="XDE58" s="9"/>
      <c r="XDF58" s="9"/>
      <c r="XDG58" s="9"/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  <c r="XDS58" s="9"/>
      <c r="XDT58" s="9"/>
      <c r="XDU58" s="9"/>
      <c r="XDV58" s="9"/>
      <c r="XDW58" s="9"/>
      <c r="XDX58" s="9"/>
      <c r="XDY58" s="9"/>
      <c r="XDZ58" s="9"/>
      <c r="XEA58" s="9"/>
      <c r="XEB58" s="9"/>
      <c r="XEC58" s="9"/>
      <c r="XED58" s="9"/>
      <c r="XEE58" s="9"/>
      <c r="XEF58" s="9"/>
      <c r="XEG58" s="9"/>
      <c r="XEH58" s="9"/>
      <c r="XEI58" s="9"/>
      <c r="XEJ58" s="9"/>
      <c r="XEK58" s="9"/>
      <c r="XEL58" s="9"/>
      <c r="XEM58" s="9"/>
      <c r="XEN58" s="9"/>
      <c r="XEO58" s="9"/>
      <c r="XEP58" s="9"/>
      <c r="XEQ58" s="9"/>
      <c r="XER58" s="9"/>
      <c r="XES58" s="9"/>
      <c r="XET58" s="9"/>
      <c r="XEU58" s="9"/>
      <c r="XEV58" s="9"/>
      <c r="XEW58" s="9"/>
      <c r="XEX58" s="9"/>
      <c r="XEY58" s="9"/>
      <c r="XEZ58" s="9"/>
      <c r="XFA58" s="9"/>
      <c r="XFB58" s="9"/>
      <c r="XFC58" s="9"/>
      <c r="XFD58" s="9"/>
    </row>
    <row r="59" spans="1:8 16325:16384" s="3" customFormat="1" ht="19.95" customHeight="1">
      <c r="A59" s="6" t="str">
        <f t="shared" si="1"/>
        <v>040002</v>
      </c>
      <c r="B59" s="6" t="s">
        <v>11</v>
      </c>
      <c r="C59" s="6" t="s">
        <v>10</v>
      </c>
      <c r="D59" s="6" t="str">
        <f>"512420103"</f>
        <v>512420103</v>
      </c>
      <c r="E59" s="7">
        <v>105.5</v>
      </c>
      <c r="F59" s="7">
        <v>59</v>
      </c>
      <c r="G59" s="7"/>
      <c r="H59" s="7">
        <v>86.9</v>
      </c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0" spans="1:8 16325:16384" s="3" customFormat="1" ht="19.95" customHeight="1">
      <c r="A60" s="6" t="str">
        <f t="shared" si="1"/>
        <v>040002</v>
      </c>
      <c r="B60" s="6" t="s">
        <v>11</v>
      </c>
      <c r="C60" s="6" t="s">
        <v>10</v>
      </c>
      <c r="D60" s="6" t="str">
        <f>"512420029"</f>
        <v>512420029</v>
      </c>
      <c r="E60" s="7">
        <v>0</v>
      </c>
      <c r="F60" s="7">
        <v>0</v>
      </c>
      <c r="G60" s="7"/>
      <c r="H60" s="7">
        <v>0</v>
      </c>
      <c r="XCW60" s="9"/>
      <c r="XCX60" s="9"/>
      <c r="XCY60" s="9"/>
      <c r="XCZ60" s="9"/>
      <c r="XDA60" s="9"/>
      <c r="XDB60" s="9"/>
      <c r="XDC60" s="9"/>
      <c r="XDD60" s="9"/>
      <c r="XDE60" s="9"/>
      <c r="XDF60" s="9"/>
      <c r="XDG60" s="9"/>
      <c r="XDH60" s="9"/>
      <c r="XDI60" s="9"/>
      <c r="XDJ60" s="9"/>
      <c r="XDK60" s="9"/>
      <c r="XDL60" s="9"/>
      <c r="XDM60" s="9"/>
      <c r="XDN60" s="9"/>
      <c r="XDO60" s="9"/>
      <c r="XDP60" s="9"/>
      <c r="XDQ60" s="9"/>
      <c r="XDR60" s="9"/>
      <c r="XDS60" s="9"/>
      <c r="XDT60" s="9"/>
      <c r="XDU60" s="9"/>
      <c r="XDV60" s="9"/>
      <c r="XDW60" s="9"/>
      <c r="XDX60" s="9"/>
      <c r="XDY60" s="9"/>
      <c r="XDZ60" s="9"/>
      <c r="XEA60" s="9"/>
      <c r="XEB60" s="9"/>
      <c r="XEC60" s="9"/>
      <c r="XED60" s="9"/>
      <c r="XEE60" s="9"/>
      <c r="XEF60" s="9"/>
      <c r="XEG60" s="9"/>
      <c r="XEH60" s="9"/>
      <c r="XEI60" s="9"/>
      <c r="XEJ60" s="9"/>
      <c r="XEK60" s="9"/>
      <c r="XEL60" s="9"/>
      <c r="XEM60" s="9"/>
      <c r="XEN60" s="9"/>
      <c r="XEO60" s="9"/>
      <c r="XEP60" s="9"/>
      <c r="XEQ60" s="9"/>
      <c r="XER60" s="9"/>
      <c r="XES60" s="9"/>
      <c r="XET60" s="9"/>
      <c r="XEU60" s="9"/>
      <c r="XEV60" s="9"/>
      <c r="XEW60" s="9"/>
      <c r="XEX60" s="9"/>
      <c r="XEY60" s="9"/>
      <c r="XEZ60" s="9"/>
      <c r="XFA60" s="9"/>
      <c r="XFB60" s="9"/>
      <c r="XFC60" s="9"/>
      <c r="XFD60" s="9"/>
    </row>
    <row r="61" spans="1:8 16325:16384" s="3" customFormat="1" ht="19.95" customHeight="1">
      <c r="A61" s="6" t="str">
        <f t="shared" si="1"/>
        <v>040002</v>
      </c>
      <c r="B61" s="6" t="s">
        <v>11</v>
      </c>
      <c r="C61" s="6" t="s">
        <v>10</v>
      </c>
      <c r="D61" s="6" t="str">
        <f>"512420110"</f>
        <v>512420110</v>
      </c>
      <c r="E61" s="7">
        <v>81</v>
      </c>
      <c r="F61" s="7">
        <v>76.5</v>
      </c>
      <c r="G61" s="7"/>
      <c r="H61" s="7">
        <v>79.2</v>
      </c>
      <c r="XCW61" s="9"/>
      <c r="XCX61" s="9"/>
      <c r="XCY61" s="9"/>
      <c r="XCZ61" s="9"/>
      <c r="XDA61" s="9"/>
      <c r="XDB61" s="9"/>
      <c r="XDC61" s="9"/>
      <c r="XDD61" s="9"/>
      <c r="XDE61" s="9"/>
      <c r="XDF61" s="9"/>
      <c r="XDG61" s="9"/>
      <c r="XDH61" s="9"/>
      <c r="XDI61" s="9"/>
      <c r="XDJ61" s="9"/>
      <c r="XDK61" s="9"/>
      <c r="XDL61" s="9"/>
      <c r="XDM61" s="9"/>
      <c r="XDN61" s="9"/>
      <c r="XDO61" s="9"/>
      <c r="XDP61" s="9"/>
      <c r="XDQ61" s="9"/>
      <c r="XDR61" s="9"/>
      <c r="XDS61" s="9"/>
      <c r="XDT61" s="9"/>
      <c r="XDU61" s="9"/>
      <c r="XDV61" s="9"/>
      <c r="XDW61" s="9"/>
      <c r="XDX61" s="9"/>
      <c r="XDY61" s="9"/>
      <c r="XDZ61" s="9"/>
      <c r="XEA61" s="9"/>
      <c r="XEB61" s="9"/>
      <c r="XEC61" s="9"/>
      <c r="XED61" s="9"/>
      <c r="XEE61" s="9"/>
      <c r="XEF61" s="9"/>
      <c r="XEG61" s="9"/>
      <c r="XEH61" s="9"/>
      <c r="XEI61" s="9"/>
      <c r="XEJ61" s="9"/>
      <c r="XEK61" s="9"/>
      <c r="XEL61" s="9"/>
      <c r="XEM61" s="9"/>
      <c r="XEN61" s="9"/>
      <c r="XEO61" s="9"/>
      <c r="XEP61" s="9"/>
      <c r="XEQ61" s="9"/>
      <c r="XER61" s="9"/>
      <c r="XES61" s="9"/>
      <c r="XET61" s="9"/>
      <c r="XEU61" s="9"/>
      <c r="XEV61" s="9"/>
      <c r="XEW61" s="9"/>
      <c r="XEX61" s="9"/>
      <c r="XEY61" s="9"/>
      <c r="XEZ61" s="9"/>
      <c r="XFA61" s="9"/>
      <c r="XFB61" s="9"/>
      <c r="XFC61" s="9"/>
      <c r="XFD61" s="9"/>
    </row>
    <row r="62" spans="1:8 16325:16384" s="3" customFormat="1" ht="19.95" customHeight="1">
      <c r="A62" s="6" t="str">
        <f t="shared" si="1"/>
        <v>040002</v>
      </c>
      <c r="B62" s="6" t="s">
        <v>11</v>
      </c>
      <c r="C62" s="6" t="s">
        <v>10</v>
      </c>
      <c r="D62" s="6" t="str">
        <f>"512420028"</f>
        <v>512420028</v>
      </c>
      <c r="E62" s="7">
        <v>70</v>
      </c>
      <c r="F62" s="7">
        <v>71.5</v>
      </c>
      <c r="G62" s="7"/>
      <c r="H62" s="7">
        <v>70.599999999999994</v>
      </c>
      <c r="XCW62" s="9"/>
      <c r="XCX62" s="9"/>
      <c r="XCY62" s="9"/>
      <c r="XCZ62" s="9"/>
      <c r="XDA62" s="9"/>
      <c r="XDB62" s="9"/>
      <c r="XDC62" s="9"/>
      <c r="XDD62" s="9"/>
      <c r="XDE62" s="9"/>
      <c r="XDF62" s="9"/>
      <c r="XDG62" s="9"/>
      <c r="XDH62" s="9"/>
      <c r="XDI62" s="9"/>
      <c r="XDJ62" s="9"/>
      <c r="XDK62" s="9"/>
      <c r="XDL62" s="9"/>
      <c r="XDM62" s="9"/>
      <c r="XDN62" s="9"/>
      <c r="XDO62" s="9"/>
      <c r="XDP62" s="9"/>
      <c r="XDQ62" s="9"/>
      <c r="XDR62" s="9"/>
      <c r="XDS62" s="9"/>
      <c r="XDT62" s="9"/>
      <c r="XDU62" s="9"/>
      <c r="XDV62" s="9"/>
      <c r="XDW62" s="9"/>
      <c r="XDX62" s="9"/>
      <c r="XDY62" s="9"/>
      <c r="XDZ62" s="9"/>
      <c r="XEA62" s="9"/>
      <c r="XEB62" s="9"/>
      <c r="XEC62" s="9"/>
      <c r="XED62" s="9"/>
      <c r="XEE62" s="9"/>
      <c r="XEF62" s="9"/>
      <c r="XEG62" s="9"/>
      <c r="XEH62" s="9"/>
      <c r="XEI62" s="9"/>
      <c r="XEJ62" s="9"/>
      <c r="XEK62" s="9"/>
      <c r="XEL62" s="9"/>
      <c r="XEM62" s="9"/>
      <c r="XEN62" s="9"/>
      <c r="XEO62" s="9"/>
      <c r="XEP62" s="9"/>
      <c r="XEQ62" s="9"/>
      <c r="XER62" s="9"/>
      <c r="XES62" s="9"/>
      <c r="XET62" s="9"/>
      <c r="XEU62" s="9"/>
      <c r="XEV62" s="9"/>
      <c r="XEW62" s="9"/>
      <c r="XEX62" s="9"/>
      <c r="XEY62" s="9"/>
      <c r="XEZ62" s="9"/>
      <c r="XFA62" s="9"/>
      <c r="XFB62" s="9"/>
      <c r="XFC62" s="9"/>
      <c r="XFD62" s="9"/>
    </row>
    <row r="63" spans="1:8 16325:16384" s="3" customFormat="1" ht="19.95" customHeight="1">
      <c r="A63" s="6" t="str">
        <f t="shared" ref="A63:A84" si="2">"040003"</f>
        <v>040003</v>
      </c>
      <c r="B63" s="6" t="s">
        <v>12</v>
      </c>
      <c r="C63" s="6" t="s">
        <v>10</v>
      </c>
      <c r="D63" s="6" t="str">
        <f>"512421122"</f>
        <v>512421122</v>
      </c>
      <c r="E63" s="7">
        <v>92.5</v>
      </c>
      <c r="F63" s="7">
        <v>62.5</v>
      </c>
      <c r="G63" s="7"/>
      <c r="H63" s="7">
        <v>80.5</v>
      </c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  <row r="64" spans="1:8 16325:16384" s="3" customFormat="1" ht="19.95" customHeight="1">
      <c r="A64" s="6" t="str">
        <f t="shared" si="2"/>
        <v>040003</v>
      </c>
      <c r="B64" s="6" t="s">
        <v>12</v>
      </c>
      <c r="C64" s="6" t="s">
        <v>10</v>
      </c>
      <c r="D64" s="6" t="str">
        <f>"512421202"</f>
        <v>512421202</v>
      </c>
      <c r="E64" s="7">
        <v>92</v>
      </c>
      <c r="F64" s="7">
        <v>76.5</v>
      </c>
      <c r="G64" s="7"/>
      <c r="H64" s="7">
        <v>85.8</v>
      </c>
      <c r="XCW64" s="9"/>
      <c r="XCX64" s="9"/>
      <c r="XCY64" s="9"/>
      <c r="XCZ64" s="9"/>
      <c r="XDA64" s="9"/>
      <c r="XDB64" s="9"/>
      <c r="XDC64" s="9"/>
      <c r="XDD64" s="9"/>
      <c r="XDE64" s="9"/>
      <c r="XDF64" s="9"/>
      <c r="XDG64" s="9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9"/>
      <c r="XDW64" s="9"/>
      <c r="XDX64" s="9"/>
      <c r="XDY64" s="9"/>
      <c r="XDZ64" s="9"/>
      <c r="XEA64" s="9"/>
      <c r="XEB64" s="9"/>
      <c r="XEC64" s="9"/>
      <c r="XED64" s="9"/>
      <c r="XEE64" s="9"/>
      <c r="XEF64" s="9"/>
      <c r="XEG64" s="9"/>
      <c r="XEH64" s="9"/>
      <c r="XEI64" s="9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  <c r="XEY64" s="9"/>
      <c r="XEZ64" s="9"/>
      <c r="XFA64" s="9"/>
      <c r="XFB64" s="9"/>
      <c r="XFC64" s="9"/>
      <c r="XFD64" s="9"/>
    </row>
    <row r="65" spans="1:8 16325:16384" s="3" customFormat="1" ht="19.95" customHeight="1">
      <c r="A65" s="6" t="str">
        <f t="shared" si="2"/>
        <v>040003</v>
      </c>
      <c r="B65" s="6" t="s">
        <v>12</v>
      </c>
      <c r="C65" s="6" t="s">
        <v>10</v>
      </c>
      <c r="D65" s="6" t="str">
        <f>"512421208"</f>
        <v>512421208</v>
      </c>
      <c r="E65" s="7">
        <v>95.5</v>
      </c>
      <c r="F65" s="7">
        <v>73.5</v>
      </c>
      <c r="G65" s="7"/>
      <c r="H65" s="7">
        <v>86.7</v>
      </c>
      <c r="XCW65" s="9"/>
      <c r="XCX65" s="9"/>
      <c r="XCY65" s="9"/>
      <c r="XCZ65" s="9"/>
      <c r="XDA65" s="9"/>
      <c r="XDB65" s="9"/>
      <c r="XDC65" s="9"/>
      <c r="XDD65" s="9"/>
      <c r="XDE65" s="9"/>
      <c r="XDF65" s="9"/>
      <c r="XDG65" s="9"/>
      <c r="XDH65" s="9"/>
      <c r="XDI65" s="9"/>
      <c r="XDJ65" s="9"/>
      <c r="XDK65" s="9"/>
      <c r="XDL65" s="9"/>
      <c r="XDM65" s="9"/>
      <c r="XDN65" s="9"/>
      <c r="XDO65" s="9"/>
      <c r="XDP65" s="9"/>
      <c r="XDQ65" s="9"/>
      <c r="XDR65" s="9"/>
      <c r="XDS65" s="9"/>
      <c r="XDT65" s="9"/>
      <c r="XDU65" s="9"/>
      <c r="XDV65" s="9"/>
      <c r="XDW65" s="9"/>
      <c r="XDX65" s="9"/>
      <c r="XDY65" s="9"/>
      <c r="XDZ65" s="9"/>
      <c r="XEA65" s="9"/>
      <c r="XEB65" s="9"/>
      <c r="XEC65" s="9"/>
      <c r="XED65" s="9"/>
      <c r="XEE65" s="9"/>
      <c r="XEF65" s="9"/>
      <c r="XEG65" s="9"/>
      <c r="XEH65" s="9"/>
      <c r="XEI65" s="9"/>
      <c r="XEJ65" s="9"/>
      <c r="XEK65" s="9"/>
      <c r="XEL65" s="9"/>
      <c r="XEM65" s="9"/>
      <c r="XEN65" s="9"/>
      <c r="XEO65" s="9"/>
      <c r="XEP65" s="9"/>
      <c r="XEQ65" s="9"/>
      <c r="XER65" s="9"/>
      <c r="XES65" s="9"/>
      <c r="XET65" s="9"/>
      <c r="XEU65" s="9"/>
      <c r="XEV65" s="9"/>
      <c r="XEW65" s="9"/>
      <c r="XEX65" s="9"/>
      <c r="XEY65" s="9"/>
      <c r="XEZ65" s="9"/>
      <c r="XFA65" s="9"/>
      <c r="XFB65" s="9"/>
      <c r="XFC65" s="9"/>
      <c r="XFD65" s="9"/>
    </row>
    <row r="66" spans="1:8 16325:16384" s="3" customFormat="1" ht="19.95" customHeight="1">
      <c r="A66" s="6" t="str">
        <f t="shared" si="2"/>
        <v>040003</v>
      </c>
      <c r="B66" s="6" t="s">
        <v>12</v>
      </c>
      <c r="C66" s="6" t="s">
        <v>10</v>
      </c>
      <c r="D66" s="6" t="str">
        <f>"512421126"</f>
        <v>512421126</v>
      </c>
      <c r="E66" s="7">
        <v>93</v>
      </c>
      <c r="F66" s="7">
        <v>72</v>
      </c>
      <c r="G66" s="7"/>
      <c r="H66" s="7">
        <v>84.6</v>
      </c>
      <c r="XCW66" s="9"/>
      <c r="XCX66" s="9"/>
      <c r="XCY66" s="9"/>
      <c r="XCZ66" s="9"/>
      <c r="XDA66" s="9"/>
      <c r="XDB66" s="9"/>
      <c r="XDC66" s="9"/>
      <c r="XDD66" s="9"/>
      <c r="XDE66" s="9"/>
      <c r="XDF66" s="9"/>
      <c r="XDG66" s="9"/>
      <c r="XDH66" s="9"/>
      <c r="XDI66" s="9"/>
      <c r="XDJ66" s="9"/>
      <c r="XDK66" s="9"/>
      <c r="XDL66" s="9"/>
      <c r="XDM66" s="9"/>
      <c r="XDN66" s="9"/>
      <c r="XDO66" s="9"/>
      <c r="XDP66" s="9"/>
      <c r="XDQ66" s="9"/>
      <c r="XDR66" s="9"/>
      <c r="XDS66" s="9"/>
      <c r="XDT66" s="9"/>
      <c r="XDU66" s="9"/>
      <c r="XDV66" s="9"/>
      <c r="XDW66" s="9"/>
      <c r="XDX66" s="9"/>
      <c r="XDY66" s="9"/>
      <c r="XDZ66" s="9"/>
      <c r="XEA66" s="9"/>
      <c r="XEB66" s="9"/>
      <c r="XEC66" s="9"/>
      <c r="XED66" s="9"/>
      <c r="XEE66" s="9"/>
      <c r="XEF66" s="9"/>
      <c r="XEG66" s="9"/>
      <c r="XEH66" s="9"/>
      <c r="XEI66" s="9"/>
      <c r="XEJ66" s="9"/>
      <c r="XEK66" s="9"/>
      <c r="XEL66" s="9"/>
      <c r="XEM66" s="9"/>
      <c r="XEN66" s="9"/>
      <c r="XEO66" s="9"/>
      <c r="XEP66" s="9"/>
      <c r="XEQ66" s="9"/>
      <c r="XER66" s="9"/>
      <c r="XES66" s="9"/>
      <c r="XET66" s="9"/>
      <c r="XEU66" s="9"/>
      <c r="XEV66" s="9"/>
      <c r="XEW66" s="9"/>
      <c r="XEX66" s="9"/>
      <c r="XEY66" s="9"/>
      <c r="XEZ66" s="9"/>
      <c r="XFA66" s="9"/>
      <c r="XFB66" s="9"/>
      <c r="XFC66" s="9"/>
      <c r="XFD66" s="9"/>
    </row>
    <row r="67" spans="1:8 16325:16384" s="3" customFormat="1" ht="19.95" customHeight="1">
      <c r="A67" s="6" t="str">
        <f t="shared" si="2"/>
        <v>040003</v>
      </c>
      <c r="B67" s="6" t="s">
        <v>12</v>
      </c>
      <c r="C67" s="6" t="s">
        <v>10</v>
      </c>
      <c r="D67" s="6" t="str">
        <f>"512421203"</f>
        <v>512421203</v>
      </c>
      <c r="E67" s="7">
        <v>93</v>
      </c>
      <c r="F67" s="7">
        <v>81</v>
      </c>
      <c r="G67" s="7"/>
      <c r="H67" s="7">
        <v>88.2</v>
      </c>
      <c r="XCW67" s="9"/>
      <c r="XCX67" s="9"/>
      <c r="XCY67" s="9"/>
      <c r="XCZ67" s="9"/>
      <c r="XDA67" s="9"/>
      <c r="XDB67" s="9"/>
      <c r="XDC67" s="9"/>
      <c r="XDD67" s="9"/>
      <c r="XDE67" s="9"/>
      <c r="XDF67" s="9"/>
      <c r="XDG67" s="9"/>
      <c r="XDH67" s="9"/>
      <c r="XDI67" s="9"/>
      <c r="XDJ67" s="9"/>
      <c r="XDK67" s="9"/>
      <c r="XDL67" s="9"/>
      <c r="XDM67" s="9"/>
      <c r="XDN67" s="9"/>
      <c r="XDO67" s="9"/>
      <c r="XDP67" s="9"/>
      <c r="XDQ67" s="9"/>
      <c r="XDR67" s="9"/>
      <c r="XDS67" s="9"/>
      <c r="XDT67" s="9"/>
      <c r="XDU67" s="9"/>
      <c r="XDV67" s="9"/>
      <c r="XDW67" s="9"/>
      <c r="XDX67" s="9"/>
      <c r="XDY67" s="9"/>
      <c r="XDZ67" s="9"/>
      <c r="XEA67" s="9"/>
      <c r="XEB67" s="9"/>
      <c r="XEC67" s="9"/>
      <c r="XED67" s="9"/>
      <c r="XEE67" s="9"/>
      <c r="XEF67" s="9"/>
      <c r="XEG67" s="9"/>
      <c r="XEH67" s="9"/>
      <c r="XEI67" s="9"/>
      <c r="XEJ67" s="9"/>
      <c r="XEK67" s="9"/>
      <c r="XEL67" s="9"/>
      <c r="XEM67" s="9"/>
      <c r="XEN67" s="9"/>
      <c r="XEO67" s="9"/>
      <c r="XEP67" s="9"/>
      <c r="XEQ67" s="9"/>
      <c r="XER67" s="9"/>
      <c r="XES67" s="9"/>
      <c r="XET67" s="9"/>
      <c r="XEU67" s="9"/>
      <c r="XEV67" s="9"/>
      <c r="XEW67" s="9"/>
      <c r="XEX67" s="9"/>
      <c r="XEY67" s="9"/>
      <c r="XEZ67" s="9"/>
      <c r="XFA67" s="9"/>
      <c r="XFB67" s="9"/>
      <c r="XFC67" s="9"/>
      <c r="XFD67" s="9"/>
    </row>
    <row r="68" spans="1:8 16325:16384" s="3" customFormat="1" ht="19.95" customHeight="1">
      <c r="A68" s="6" t="str">
        <f t="shared" si="2"/>
        <v>040003</v>
      </c>
      <c r="B68" s="6" t="s">
        <v>12</v>
      </c>
      <c r="C68" s="6" t="s">
        <v>10</v>
      </c>
      <c r="D68" s="6" t="str">
        <f>"512421121"</f>
        <v>512421121</v>
      </c>
      <c r="E68" s="7">
        <v>0</v>
      </c>
      <c r="F68" s="7">
        <v>0</v>
      </c>
      <c r="G68" s="7"/>
      <c r="H68" s="7">
        <v>0</v>
      </c>
      <c r="XCW68" s="9"/>
      <c r="XCX68" s="9"/>
      <c r="XCY68" s="9"/>
      <c r="XCZ68" s="9"/>
      <c r="XDA68" s="9"/>
      <c r="XDB68" s="9"/>
      <c r="XDC68" s="9"/>
      <c r="XDD68" s="9"/>
      <c r="XDE68" s="9"/>
      <c r="XDF68" s="9"/>
      <c r="XDG68" s="9"/>
      <c r="XDH68" s="9"/>
      <c r="XDI68" s="9"/>
      <c r="XDJ68" s="9"/>
      <c r="XDK68" s="9"/>
      <c r="XDL68" s="9"/>
      <c r="XDM68" s="9"/>
      <c r="XDN68" s="9"/>
      <c r="XDO68" s="9"/>
      <c r="XDP68" s="9"/>
      <c r="XDQ68" s="9"/>
      <c r="XDR68" s="9"/>
      <c r="XDS68" s="9"/>
      <c r="XDT68" s="9"/>
      <c r="XDU68" s="9"/>
      <c r="XDV68" s="9"/>
      <c r="XDW68" s="9"/>
      <c r="XDX68" s="9"/>
      <c r="XDY68" s="9"/>
      <c r="XDZ68" s="9"/>
      <c r="XEA68" s="9"/>
      <c r="XEB68" s="9"/>
      <c r="XEC68" s="9"/>
      <c r="XED68" s="9"/>
      <c r="XEE68" s="9"/>
      <c r="XEF68" s="9"/>
      <c r="XEG68" s="9"/>
      <c r="XEH68" s="9"/>
      <c r="XEI68" s="9"/>
      <c r="XEJ68" s="9"/>
      <c r="XEK68" s="9"/>
      <c r="XEL68" s="9"/>
      <c r="XEM68" s="9"/>
      <c r="XEN68" s="9"/>
      <c r="XEO68" s="9"/>
      <c r="XEP68" s="9"/>
      <c r="XEQ68" s="9"/>
      <c r="XER68" s="9"/>
      <c r="XES68" s="9"/>
      <c r="XET68" s="9"/>
      <c r="XEU68" s="9"/>
      <c r="XEV68" s="9"/>
      <c r="XEW68" s="9"/>
      <c r="XEX68" s="9"/>
      <c r="XEY68" s="9"/>
      <c r="XEZ68" s="9"/>
      <c r="XFA68" s="9"/>
      <c r="XFB68" s="9"/>
      <c r="XFC68" s="9"/>
      <c r="XFD68" s="9"/>
    </row>
    <row r="69" spans="1:8 16325:16384" s="3" customFormat="1" ht="19.95" customHeight="1">
      <c r="A69" s="6" t="str">
        <f t="shared" si="2"/>
        <v>040003</v>
      </c>
      <c r="B69" s="6" t="s">
        <v>12</v>
      </c>
      <c r="C69" s="6" t="s">
        <v>10</v>
      </c>
      <c r="D69" s="6" t="str">
        <f>"512421212"</f>
        <v>512421212</v>
      </c>
      <c r="E69" s="7">
        <v>0</v>
      </c>
      <c r="F69" s="7">
        <v>0</v>
      </c>
      <c r="G69" s="7"/>
      <c r="H69" s="7">
        <v>0</v>
      </c>
      <c r="XCW69" s="9"/>
      <c r="XCX69" s="9"/>
      <c r="XCY69" s="9"/>
      <c r="XCZ69" s="9"/>
      <c r="XDA69" s="9"/>
      <c r="XDB69" s="9"/>
      <c r="XDC69" s="9"/>
      <c r="XDD69" s="9"/>
      <c r="XDE69" s="9"/>
      <c r="XDF69" s="9"/>
      <c r="XDG69" s="9"/>
      <c r="XDH69" s="9"/>
      <c r="XDI69" s="9"/>
      <c r="XDJ69" s="9"/>
      <c r="XDK69" s="9"/>
      <c r="XDL69" s="9"/>
      <c r="XDM69" s="9"/>
      <c r="XDN69" s="9"/>
      <c r="XDO69" s="9"/>
      <c r="XDP69" s="9"/>
      <c r="XDQ69" s="9"/>
      <c r="XDR69" s="9"/>
      <c r="XDS69" s="9"/>
      <c r="XDT69" s="9"/>
      <c r="XDU69" s="9"/>
      <c r="XDV69" s="9"/>
      <c r="XDW69" s="9"/>
      <c r="XDX69" s="9"/>
      <c r="XDY69" s="9"/>
      <c r="XDZ69" s="9"/>
      <c r="XEA69" s="9"/>
      <c r="XEB69" s="9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  <c r="XEY69" s="9"/>
      <c r="XEZ69" s="9"/>
      <c r="XFA69" s="9"/>
      <c r="XFB69" s="9"/>
      <c r="XFC69" s="9"/>
      <c r="XFD69" s="9"/>
    </row>
    <row r="70" spans="1:8 16325:16384" s="3" customFormat="1" ht="19.95" customHeight="1">
      <c r="A70" s="6" t="str">
        <f t="shared" si="2"/>
        <v>040003</v>
      </c>
      <c r="B70" s="6" t="s">
        <v>12</v>
      </c>
      <c r="C70" s="6" t="s">
        <v>10</v>
      </c>
      <c r="D70" s="6" t="str">
        <f>"512421207"</f>
        <v>512421207</v>
      </c>
      <c r="E70" s="7">
        <v>92.5</v>
      </c>
      <c r="F70" s="7">
        <v>58</v>
      </c>
      <c r="G70" s="7"/>
      <c r="H70" s="7">
        <v>78.7</v>
      </c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  <c r="XFC70" s="9"/>
      <c r="XFD70" s="9"/>
    </row>
    <row r="71" spans="1:8 16325:16384" s="3" customFormat="1" ht="19.95" customHeight="1">
      <c r="A71" s="6" t="str">
        <f t="shared" si="2"/>
        <v>040003</v>
      </c>
      <c r="B71" s="6" t="s">
        <v>12</v>
      </c>
      <c r="C71" s="6" t="s">
        <v>10</v>
      </c>
      <c r="D71" s="6" t="str">
        <f>"512421130"</f>
        <v>512421130</v>
      </c>
      <c r="E71" s="7">
        <v>88.5</v>
      </c>
      <c r="F71" s="7">
        <v>66.5</v>
      </c>
      <c r="G71" s="7"/>
      <c r="H71" s="7">
        <v>79.7</v>
      </c>
      <c r="XCW71" s="9"/>
      <c r="XCX71" s="9"/>
      <c r="XCY71" s="9"/>
      <c r="XCZ71" s="9"/>
      <c r="XDA71" s="9"/>
      <c r="XDB71" s="9"/>
      <c r="XDC71" s="9"/>
      <c r="XDD71" s="9"/>
      <c r="XDE71" s="9"/>
      <c r="XDF71" s="9"/>
      <c r="XDG71" s="9"/>
      <c r="XDH71" s="9"/>
      <c r="XDI71" s="9"/>
      <c r="XDJ71" s="9"/>
      <c r="XDK71" s="9"/>
      <c r="XDL71" s="9"/>
      <c r="XDM71" s="9"/>
      <c r="XDN71" s="9"/>
      <c r="XDO71" s="9"/>
      <c r="XDP71" s="9"/>
      <c r="XDQ71" s="9"/>
      <c r="XDR71" s="9"/>
      <c r="XDS71" s="9"/>
      <c r="XDT71" s="9"/>
      <c r="XDU71" s="9"/>
      <c r="XDV71" s="9"/>
      <c r="XDW71" s="9"/>
      <c r="XDX71" s="9"/>
      <c r="XDY71" s="9"/>
      <c r="XDZ71" s="9"/>
      <c r="XEA71" s="9"/>
      <c r="XEB71" s="9"/>
      <c r="XEC71" s="9"/>
      <c r="XED71" s="9"/>
      <c r="XEE71" s="9"/>
      <c r="XEF71" s="9"/>
      <c r="XEG71" s="9"/>
      <c r="XEH71" s="9"/>
      <c r="XEI71" s="9"/>
      <c r="XEJ71" s="9"/>
      <c r="XEK71" s="9"/>
      <c r="XEL71" s="9"/>
      <c r="XEM71" s="9"/>
      <c r="XEN71" s="9"/>
      <c r="XEO71" s="9"/>
      <c r="XEP71" s="9"/>
      <c r="XEQ71" s="9"/>
      <c r="XER71" s="9"/>
      <c r="XES71" s="9"/>
      <c r="XET71" s="9"/>
      <c r="XEU71" s="9"/>
      <c r="XEV71" s="9"/>
      <c r="XEW71" s="9"/>
      <c r="XEX71" s="9"/>
      <c r="XEY71" s="9"/>
      <c r="XEZ71" s="9"/>
      <c r="XFA71" s="9"/>
      <c r="XFB71" s="9"/>
      <c r="XFC71" s="9"/>
      <c r="XFD71" s="9"/>
    </row>
    <row r="72" spans="1:8 16325:16384" s="3" customFormat="1" ht="19.95" customHeight="1">
      <c r="A72" s="6" t="str">
        <f t="shared" si="2"/>
        <v>040003</v>
      </c>
      <c r="B72" s="6" t="s">
        <v>12</v>
      </c>
      <c r="C72" s="6" t="s">
        <v>10</v>
      </c>
      <c r="D72" s="6" t="str">
        <f>"512421210"</f>
        <v>512421210</v>
      </c>
      <c r="E72" s="7">
        <v>0</v>
      </c>
      <c r="F72" s="7">
        <v>0</v>
      </c>
      <c r="G72" s="7"/>
      <c r="H72" s="7">
        <v>0</v>
      </c>
      <c r="XCW72" s="9"/>
      <c r="XCX72" s="9"/>
      <c r="XCY72" s="9"/>
      <c r="XCZ72" s="9"/>
      <c r="XDA72" s="9"/>
      <c r="XDB72" s="9"/>
      <c r="XDC72" s="9"/>
      <c r="XDD72" s="9"/>
      <c r="XDE72" s="9"/>
      <c r="XDF72" s="9"/>
      <c r="XDG72" s="9"/>
      <c r="XDH72" s="9"/>
      <c r="XDI72" s="9"/>
      <c r="XDJ72" s="9"/>
      <c r="XDK72" s="9"/>
      <c r="XDL72" s="9"/>
      <c r="XDM72" s="9"/>
      <c r="XDN72" s="9"/>
      <c r="XDO72" s="9"/>
      <c r="XDP72" s="9"/>
      <c r="XDQ72" s="9"/>
      <c r="XDR72" s="9"/>
      <c r="XDS72" s="9"/>
      <c r="XDT72" s="9"/>
      <c r="XDU72" s="9"/>
      <c r="XDV72" s="9"/>
      <c r="XDW72" s="9"/>
      <c r="XDX72" s="9"/>
      <c r="XDY72" s="9"/>
      <c r="XDZ72" s="9"/>
      <c r="XEA72" s="9"/>
      <c r="XEB72" s="9"/>
      <c r="XEC72" s="9"/>
      <c r="XED72" s="9"/>
      <c r="XEE72" s="9"/>
      <c r="XEF72" s="9"/>
      <c r="XEG72" s="9"/>
      <c r="XEH72" s="9"/>
      <c r="XEI72" s="9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  <c r="XEY72" s="9"/>
      <c r="XEZ72" s="9"/>
      <c r="XFA72" s="9"/>
      <c r="XFB72" s="9"/>
      <c r="XFC72" s="9"/>
      <c r="XFD72" s="9"/>
    </row>
    <row r="73" spans="1:8 16325:16384" s="3" customFormat="1" ht="19.95" customHeight="1">
      <c r="A73" s="6" t="str">
        <f t="shared" si="2"/>
        <v>040003</v>
      </c>
      <c r="B73" s="6" t="s">
        <v>12</v>
      </c>
      <c r="C73" s="6" t="s">
        <v>10</v>
      </c>
      <c r="D73" s="6" t="str">
        <f>"512421123"</f>
        <v>512421123</v>
      </c>
      <c r="E73" s="7">
        <v>87.5</v>
      </c>
      <c r="F73" s="7">
        <v>60.5</v>
      </c>
      <c r="G73" s="7"/>
      <c r="H73" s="7">
        <v>76.7</v>
      </c>
      <c r="XCW73" s="9"/>
      <c r="XCX73" s="9"/>
      <c r="XCY73" s="9"/>
      <c r="XCZ73" s="9"/>
      <c r="XDA73" s="9"/>
      <c r="XDB73" s="9"/>
      <c r="XDC73" s="9"/>
      <c r="XDD73" s="9"/>
      <c r="XDE73" s="9"/>
      <c r="XDF73" s="9"/>
      <c r="XDG73" s="9"/>
      <c r="XDH73" s="9"/>
      <c r="XDI73" s="9"/>
      <c r="XDJ73" s="9"/>
      <c r="XDK73" s="9"/>
      <c r="XDL73" s="9"/>
      <c r="XDM73" s="9"/>
      <c r="XDN73" s="9"/>
      <c r="XDO73" s="9"/>
      <c r="XDP73" s="9"/>
      <c r="XDQ73" s="9"/>
      <c r="XDR73" s="9"/>
      <c r="XDS73" s="9"/>
      <c r="XDT73" s="9"/>
      <c r="XDU73" s="9"/>
      <c r="XDV73" s="9"/>
      <c r="XDW73" s="9"/>
      <c r="XDX73" s="9"/>
      <c r="XDY73" s="9"/>
      <c r="XDZ73" s="9"/>
      <c r="XEA73" s="9"/>
      <c r="XEB73" s="9"/>
      <c r="XEC73" s="9"/>
      <c r="XED73" s="9"/>
      <c r="XEE73" s="9"/>
      <c r="XEF73" s="9"/>
      <c r="XEG73" s="9"/>
      <c r="XEH73" s="9"/>
      <c r="XEI73" s="9"/>
      <c r="XEJ73" s="9"/>
      <c r="XEK73" s="9"/>
      <c r="XEL73" s="9"/>
      <c r="XEM73" s="9"/>
      <c r="XEN73" s="9"/>
      <c r="XEO73" s="9"/>
      <c r="XEP73" s="9"/>
      <c r="XEQ73" s="9"/>
      <c r="XER73" s="9"/>
      <c r="XES73" s="9"/>
      <c r="XET73" s="9"/>
      <c r="XEU73" s="9"/>
      <c r="XEV73" s="9"/>
      <c r="XEW73" s="9"/>
      <c r="XEX73" s="9"/>
      <c r="XEY73" s="9"/>
      <c r="XEZ73" s="9"/>
      <c r="XFA73" s="9"/>
      <c r="XFB73" s="9"/>
      <c r="XFC73" s="9"/>
      <c r="XFD73" s="9"/>
    </row>
    <row r="74" spans="1:8 16325:16384" s="3" customFormat="1" ht="19.95" customHeight="1">
      <c r="A74" s="6" t="str">
        <f t="shared" si="2"/>
        <v>040003</v>
      </c>
      <c r="B74" s="6" t="s">
        <v>12</v>
      </c>
      <c r="C74" s="6" t="s">
        <v>10</v>
      </c>
      <c r="D74" s="6" t="str">
        <f>"512421129"</f>
        <v>512421129</v>
      </c>
      <c r="E74" s="7">
        <v>0</v>
      </c>
      <c r="F74" s="7">
        <v>0</v>
      </c>
      <c r="G74" s="7"/>
      <c r="H74" s="7">
        <v>0</v>
      </c>
      <c r="XCW74" s="9"/>
      <c r="XCX74" s="9"/>
      <c r="XCY74" s="9"/>
      <c r="XCZ74" s="9"/>
      <c r="XDA74" s="9"/>
      <c r="XDB74" s="9"/>
      <c r="XDC74" s="9"/>
      <c r="XDD74" s="9"/>
      <c r="XDE74" s="9"/>
      <c r="XDF74" s="9"/>
      <c r="XDG74" s="9"/>
      <c r="XDH74" s="9"/>
      <c r="XDI74" s="9"/>
      <c r="XDJ74" s="9"/>
      <c r="XDK74" s="9"/>
      <c r="XDL74" s="9"/>
      <c r="XDM74" s="9"/>
      <c r="XDN74" s="9"/>
      <c r="XDO74" s="9"/>
      <c r="XDP74" s="9"/>
      <c r="XDQ74" s="9"/>
      <c r="XDR74" s="9"/>
      <c r="XDS74" s="9"/>
      <c r="XDT74" s="9"/>
      <c r="XDU74" s="9"/>
      <c r="XDV74" s="9"/>
      <c r="XDW74" s="9"/>
      <c r="XDX74" s="9"/>
      <c r="XDY74" s="9"/>
      <c r="XDZ74" s="9"/>
      <c r="XEA74" s="9"/>
      <c r="XEB74" s="9"/>
      <c r="XEC74" s="9"/>
      <c r="XED74" s="9"/>
      <c r="XEE74" s="9"/>
      <c r="XEF74" s="9"/>
      <c r="XEG74" s="9"/>
      <c r="XEH74" s="9"/>
      <c r="XEI74" s="9"/>
      <c r="XEJ74" s="9"/>
      <c r="XEK74" s="9"/>
      <c r="XEL74" s="9"/>
      <c r="XEM74" s="9"/>
      <c r="XEN74" s="9"/>
      <c r="XEO74" s="9"/>
      <c r="XEP74" s="9"/>
      <c r="XEQ74" s="9"/>
      <c r="XER74" s="9"/>
      <c r="XES74" s="9"/>
      <c r="XET74" s="9"/>
      <c r="XEU74" s="9"/>
      <c r="XEV74" s="9"/>
      <c r="XEW74" s="9"/>
      <c r="XEX74" s="9"/>
      <c r="XEY74" s="9"/>
      <c r="XEZ74" s="9"/>
      <c r="XFA74" s="9"/>
      <c r="XFB74" s="9"/>
      <c r="XFC74" s="9"/>
      <c r="XFD74" s="9"/>
    </row>
    <row r="75" spans="1:8 16325:16384" s="3" customFormat="1" ht="19.95" customHeight="1">
      <c r="A75" s="6" t="str">
        <f t="shared" si="2"/>
        <v>040003</v>
      </c>
      <c r="B75" s="6" t="s">
        <v>12</v>
      </c>
      <c r="C75" s="6" t="s">
        <v>10</v>
      </c>
      <c r="D75" s="6" t="str">
        <f>"512421128"</f>
        <v>512421128</v>
      </c>
      <c r="E75" s="7">
        <v>89</v>
      </c>
      <c r="F75" s="7">
        <v>64.5</v>
      </c>
      <c r="G75" s="7"/>
      <c r="H75" s="7">
        <v>79.2</v>
      </c>
      <c r="XCW75" s="9"/>
      <c r="XCX75" s="9"/>
      <c r="XCY75" s="9"/>
      <c r="XCZ75" s="9"/>
      <c r="XDA75" s="9"/>
      <c r="XDB75" s="9"/>
      <c r="XDC75" s="9"/>
      <c r="XDD75" s="9"/>
      <c r="XDE75" s="9"/>
      <c r="XDF75" s="9"/>
      <c r="XDG75" s="9"/>
      <c r="XDH75" s="9"/>
      <c r="XDI75" s="9"/>
      <c r="XDJ75" s="9"/>
      <c r="XDK75" s="9"/>
      <c r="XDL75" s="9"/>
      <c r="XDM75" s="9"/>
      <c r="XDN75" s="9"/>
      <c r="XDO75" s="9"/>
      <c r="XDP75" s="9"/>
      <c r="XDQ75" s="9"/>
      <c r="XDR75" s="9"/>
      <c r="XDS75" s="9"/>
      <c r="XDT75" s="9"/>
      <c r="XDU75" s="9"/>
      <c r="XDV75" s="9"/>
      <c r="XDW75" s="9"/>
      <c r="XDX75" s="9"/>
      <c r="XDY75" s="9"/>
      <c r="XDZ75" s="9"/>
      <c r="XEA75" s="9"/>
      <c r="XEB75" s="9"/>
      <c r="XEC75" s="9"/>
      <c r="XED75" s="9"/>
      <c r="XEE75" s="9"/>
      <c r="XEF75" s="9"/>
      <c r="XEG75" s="9"/>
      <c r="XEH75" s="9"/>
      <c r="XEI75" s="9"/>
      <c r="XEJ75" s="9"/>
      <c r="XEK75" s="9"/>
      <c r="XEL75" s="9"/>
      <c r="XEM75" s="9"/>
      <c r="XEN75" s="9"/>
      <c r="XEO75" s="9"/>
      <c r="XEP75" s="9"/>
      <c r="XEQ75" s="9"/>
      <c r="XER75" s="9"/>
      <c r="XES75" s="9"/>
      <c r="XET75" s="9"/>
      <c r="XEU75" s="9"/>
      <c r="XEV75" s="9"/>
      <c r="XEW75" s="9"/>
      <c r="XEX75" s="9"/>
      <c r="XEY75" s="9"/>
      <c r="XEZ75" s="9"/>
      <c r="XFA75" s="9"/>
      <c r="XFB75" s="9"/>
      <c r="XFC75" s="9"/>
      <c r="XFD75" s="9"/>
    </row>
    <row r="76" spans="1:8 16325:16384" s="3" customFormat="1" ht="19.95" customHeight="1">
      <c r="A76" s="6" t="str">
        <f t="shared" si="2"/>
        <v>040003</v>
      </c>
      <c r="B76" s="6" t="s">
        <v>12</v>
      </c>
      <c r="C76" s="6" t="s">
        <v>10</v>
      </c>
      <c r="D76" s="6" t="str">
        <f>"512421125"</f>
        <v>512421125</v>
      </c>
      <c r="E76" s="7">
        <v>0</v>
      </c>
      <c r="F76" s="7">
        <v>0</v>
      </c>
      <c r="G76" s="7"/>
      <c r="H76" s="7">
        <v>0</v>
      </c>
      <c r="XCW76" s="9"/>
      <c r="XCX76" s="9"/>
      <c r="XCY76" s="9"/>
      <c r="XCZ76" s="9"/>
      <c r="XDA76" s="9"/>
      <c r="XDB76" s="9"/>
      <c r="XDC76" s="9"/>
      <c r="XDD76" s="9"/>
      <c r="XDE76" s="9"/>
      <c r="XDF76" s="9"/>
      <c r="XDG76" s="9"/>
      <c r="XDH76" s="9"/>
      <c r="XDI76" s="9"/>
      <c r="XDJ76" s="9"/>
      <c r="XDK76" s="9"/>
      <c r="XDL76" s="9"/>
      <c r="XDM76" s="9"/>
      <c r="XDN76" s="9"/>
      <c r="XDO76" s="9"/>
      <c r="XDP76" s="9"/>
      <c r="XDQ76" s="9"/>
      <c r="XDR76" s="9"/>
      <c r="XDS76" s="9"/>
      <c r="XDT76" s="9"/>
      <c r="XDU76" s="9"/>
      <c r="XDV76" s="9"/>
      <c r="XDW76" s="9"/>
      <c r="XDX76" s="9"/>
      <c r="XDY76" s="9"/>
      <c r="XDZ76" s="9"/>
      <c r="XEA76" s="9"/>
      <c r="XEB76" s="9"/>
      <c r="XEC76" s="9"/>
      <c r="XED76" s="9"/>
      <c r="XEE76" s="9"/>
      <c r="XEF76" s="9"/>
      <c r="XEG76" s="9"/>
      <c r="XEH76" s="9"/>
      <c r="XEI76" s="9"/>
      <c r="XEJ76" s="9"/>
      <c r="XEK76" s="9"/>
      <c r="XEL76" s="9"/>
      <c r="XEM76" s="9"/>
      <c r="XEN76" s="9"/>
      <c r="XEO76" s="9"/>
      <c r="XEP76" s="9"/>
      <c r="XEQ76" s="9"/>
      <c r="XER76" s="9"/>
      <c r="XES76" s="9"/>
      <c r="XET76" s="9"/>
      <c r="XEU76" s="9"/>
      <c r="XEV76" s="9"/>
      <c r="XEW76" s="9"/>
      <c r="XEX76" s="9"/>
      <c r="XEY76" s="9"/>
      <c r="XEZ76" s="9"/>
      <c r="XFA76" s="9"/>
      <c r="XFB76" s="9"/>
      <c r="XFC76" s="9"/>
      <c r="XFD76" s="9"/>
    </row>
    <row r="77" spans="1:8 16325:16384" s="3" customFormat="1" ht="19.95" customHeight="1">
      <c r="A77" s="6" t="str">
        <f t="shared" si="2"/>
        <v>040003</v>
      </c>
      <c r="B77" s="6" t="s">
        <v>12</v>
      </c>
      <c r="C77" s="6" t="s">
        <v>10</v>
      </c>
      <c r="D77" s="6" t="str">
        <f>"512421204"</f>
        <v>512421204</v>
      </c>
      <c r="E77" s="7">
        <v>90</v>
      </c>
      <c r="F77" s="7">
        <v>65.5</v>
      </c>
      <c r="G77" s="7"/>
      <c r="H77" s="7">
        <v>80.2</v>
      </c>
      <c r="XCW77" s="9"/>
      <c r="XCX77" s="9"/>
      <c r="XCY77" s="9"/>
      <c r="XCZ77" s="9"/>
      <c r="XDA77" s="9"/>
      <c r="XDB77" s="9"/>
      <c r="XDC77" s="9"/>
      <c r="XDD77" s="9"/>
      <c r="XDE77" s="9"/>
      <c r="XDF77" s="9"/>
      <c r="XDG77" s="9"/>
      <c r="XDH77" s="9"/>
      <c r="XDI77" s="9"/>
      <c r="XDJ77" s="9"/>
      <c r="XDK77" s="9"/>
      <c r="XDL77" s="9"/>
      <c r="XDM77" s="9"/>
      <c r="XDN77" s="9"/>
      <c r="XDO77" s="9"/>
      <c r="XDP77" s="9"/>
      <c r="XDQ77" s="9"/>
      <c r="XDR77" s="9"/>
      <c r="XDS77" s="9"/>
      <c r="XDT77" s="9"/>
      <c r="XDU77" s="9"/>
      <c r="XDV77" s="9"/>
      <c r="XDW77" s="9"/>
      <c r="XDX77" s="9"/>
      <c r="XDY77" s="9"/>
      <c r="XDZ77" s="9"/>
      <c r="XEA77" s="9"/>
      <c r="XEB77" s="9"/>
      <c r="XEC77" s="9"/>
      <c r="XED77" s="9"/>
      <c r="XEE77" s="9"/>
      <c r="XEF77" s="9"/>
      <c r="XEG77" s="9"/>
      <c r="XEH77" s="9"/>
      <c r="XEI77" s="9"/>
      <c r="XEJ77" s="9"/>
      <c r="XEK77" s="9"/>
      <c r="XEL77" s="9"/>
      <c r="XEM77" s="9"/>
      <c r="XEN77" s="9"/>
      <c r="XEO77" s="9"/>
      <c r="XEP77" s="9"/>
      <c r="XEQ77" s="9"/>
      <c r="XER77" s="9"/>
      <c r="XES77" s="9"/>
      <c r="XET77" s="9"/>
      <c r="XEU77" s="9"/>
      <c r="XEV77" s="9"/>
      <c r="XEW77" s="9"/>
      <c r="XEX77" s="9"/>
      <c r="XEY77" s="9"/>
      <c r="XEZ77" s="9"/>
      <c r="XFA77" s="9"/>
      <c r="XFB77" s="9"/>
      <c r="XFC77" s="9"/>
      <c r="XFD77" s="9"/>
    </row>
    <row r="78" spans="1:8 16325:16384" s="3" customFormat="1" ht="19.95" customHeight="1">
      <c r="A78" s="6" t="str">
        <f t="shared" si="2"/>
        <v>040003</v>
      </c>
      <c r="B78" s="6" t="s">
        <v>12</v>
      </c>
      <c r="C78" s="6" t="s">
        <v>10</v>
      </c>
      <c r="D78" s="6" t="str">
        <f>"512421124"</f>
        <v>512421124</v>
      </c>
      <c r="E78" s="7">
        <v>91.5</v>
      </c>
      <c r="F78" s="7">
        <v>73.5</v>
      </c>
      <c r="G78" s="7"/>
      <c r="H78" s="7">
        <v>84.3</v>
      </c>
      <c r="XCW78" s="9"/>
      <c r="XCX78" s="9"/>
      <c r="XCY78" s="9"/>
      <c r="XCZ78" s="9"/>
      <c r="XDA78" s="9"/>
      <c r="XDB78" s="9"/>
      <c r="XDC78" s="9"/>
      <c r="XDD78" s="9"/>
      <c r="XDE78" s="9"/>
      <c r="XDF78" s="9"/>
      <c r="XDG78" s="9"/>
      <c r="XDH78" s="9"/>
      <c r="XDI78" s="9"/>
      <c r="XDJ78" s="9"/>
      <c r="XDK78" s="9"/>
      <c r="XDL78" s="9"/>
      <c r="XDM78" s="9"/>
      <c r="XDN78" s="9"/>
      <c r="XDO78" s="9"/>
      <c r="XDP78" s="9"/>
      <c r="XDQ78" s="9"/>
      <c r="XDR78" s="9"/>
      <c r="XDS78" s="9"/>
      <c r="XDT78" s="9"/>
      <c r="XDU78" s="9"/>
      <c r="XDV78" s="9"/>
      <c r="XDW78" s="9"/>
      <c r="XDX78" s="9"/>
      <c r="XDY78" s="9"/>
      <c r="XDZ78" s="9"/>
      <c r="XEA78" s="9"/>
      <c r="XEB78" s="9"/>
      <c r="XEC78" s="9"/>
      <c r="XED78" s="9"/>
      <c r="XEE78" s="9"/>
      <c r="XEF78" s="9"/>
      <c r="XEG78" s="9"/>
      <c r="XEH78" s="9"/>
      <c r="XEI78" s="9"/>
      <c r="XEJ78" s="9"/>
      <c r="XEK78" s="9"/>
      <c r="XEL78" s="9"/>
      <c r="XEM78" s="9"/>
      <c r="XEN78" s="9"/>
      <c r="XEO78" s="9"/>
      <c r="XEP78" s="9"/>
      <c r="XEQ78" s="9"/>
      <c r="XER78" s="9"/>
      <c r="XES78" s="9"/>
      <c r="XET78" s="9"/>
      <c r="XEU78" s="9"/>
      <c r="XEV78" s="9"/>
      <c r="XEW78" s="9"/>
      <c r="XEX78" s="9"/>
      <c r="XEY78" s="9"/>
      <c r="XEZ78" s="9"/>
      <c r="XFA78" s="9"/>
      <c r="XFB78" s="9"/>
      <c r="XFC78" s="9"/>
      <c r="XFD78" s="9"/>
    </row>
    <row r="79" spans="1:8 16325:16384" s="3" customFormat="1" ht="19.95" customHeight="1">
      <c r="A79" s="6" t="str">
        <f t="shared" si="2"/>
        <v>040003</v>
      </c>
      <c r="B79" s="6" t="s">
        <v>12</v>
      </c>
      <c r="C79" s="6" t="s">
        <v>10</v>
      </c>
      <c r="D79" s="6" t="str">
        <f>"512421201"</f>
        <v>512421201</v>
      </c>
      <c r="E79" s="7">
        <v>88</v>
      </c>
      <c r="F79" s="7">
        <v>66</v>
      </c>
      <c r="G79" s="7"/>
      <c r="H79" s="7">
        <v>79.2</v>
      </c>
      <c r="XCW79" s="9"/>
      <c r="XCX79" s="9"/>
      <c r="XCY79" s="9"/>
      <c r="XCZ79" s="9"/>
      <c r="XDA79" s="9"/>
      <c r="XDB79" s="9"/>
      <c r="XDC79" s="9"/>
      <c r="XDD79" s="9"/>
      <c r="XDE79" s="9"/>
      <c r="XDF79" s="9"/>
      <c r="XDG79" s="9"/>
      <c r="XDH79" s="9"/>
      <c r="XDI79" s="9"/>
      <c r="XDJ79" s="9"/>
      <c r="XDK79" s="9"/>
      <c r="XDL79" s="9"/>
      <c r="XDM79" s="9"/>
      <c r="XDN79" s="9"/>
      <c r="XDO79" s="9"/>
      <c r="XDP79" s="9"/>
      <c r="XDQ79" s="9"/>
      <c r="XDR79" s="9"/>
      <c r="XDS79" s="9"/>
      <c r="XDT79" s="9"/>
      <c r="XDU79" s="9"/>
      <c r="XDV79" s="9"/>
      <c r="XDW79" s="9"/>
      <c r="XDX79" s="9"/>
      <c r="XDY79" s="9"/>
      <c r="XDZ79" s="9"/>
      <c r="XEA79" s="9"/>
      <c r="XEB79" s="9"/>
      <c r="XEC79" s="9"/>
      <c r="XED79" s="9"/>
      <c r="XEE79" s="9"/>
      <c r="XEF79" s="9"/>
      <c r="XEG79" s="9"/>
      <c r="XEH79" s="9"/>
      <c r="XEI79" s="9"/>
      <c r="XEJ79" s="9"/>
      <c r="XEK79" s="9"/>
      <c r="XEL79" s="9"/>
      <c r="XEM79" s="9"/>
      <c r="XEN79" s="9"/>
      <c r="XEO79" s="9"/>
      <c r="XEP79" s="9"/>
      <c r="XEQ79" s="9"/>
      <c r="XER79" s="9"/>
      <c r="XES79" s="9"/>
      <c r="XET79" s="9"/>
      <c r="XEU79" s="9"/>
      <c r="XEV79" s="9"/>
      <c r="XEW79" s="9"/>
      <c r="XEX79" s="9"/>
      <c r="XEY79" s="9"/>
      <c r="XEZ79" s="9"/>
      <c r="XFA79" s="9"/>
      <c r="XFB79" s="9"/>
      <c r="XFC79" s="9"/>
      <c r="XFD79" s="9"/>
    </row>
    <row r="80" spans="1:8 16325:16384" s="3" customFormat="1" ht="19.95" customHeight="1">
      <c r="A80" s="6" t="str">
        <f t="shared" si="2"/>
        <v>040003</v>
      </c>
      <c r="B80" s="6" t="s">
        <v>12</v>
      </c>
      <c r="C80" s="6" t="s">
        <v>10</v>
      </c>
      <c r="D80" s="6" t="str">
        <f>"512421127"</f>
        <v>512421127</v>
      </c>
      <c r="E80" s="7">
        <v>86</v>
      </c>
      <c r="F80" s="7">
        <v>69.5</v>
      </c>
      <c r="G80" s="7"/>
      <c r="H80" s="7">
        <v>79.400000000000006</v>
      </c>
      <c r="XCW80" s="9"/>
      <c r="XCX80" s="9"/>
      <c r="XCY80" s="9"/>
      <c r="XCZ80" s="9"/>
      <c r="XDA80" s="9"/>
      <c r="XDB80" s="9"/>
      <c r="XDC80" s="9"/>
      <c r="XDD80" s="9"/>
      <c r="XDE80" s="9"/>
      <c r="XDF80" s="9"/>
      <c r="XDG80" s="9"/>
      <c r="XDH80" s="9"/>
      <c r="XDI80" s="9"/>
      <c r="XDJ80" s="9"/>
      <c r="XDK80" s="9"/>
      <c r="XDL80" s="9"/>
      <c r="XDM80" s="9"/>
      <c r="XDN80" s="9"/>
      <c r="XDO80" s="9"/>
      <c r="XDP80" s="9"/>
      <c r="XDQ80" s="9"/>
      <c r="XDR80" s="9"/>
      <c r="XDS80" s="9"/>
      <c r="XDT80" s="9"/>
      <c r="XDU80" s="9"/>
      <c r="XDV80" s="9"/>
      <c r="XDW80" s="9"/>
      <c r="XDX80" s="9"/>
      <c r="XDY80" s="9"/>
      <c r="XDZ80" s="9"/>
      <c r="XEA80" s="9"/>
      <c r="XEB80" s="9"/>
      <c r="XEC80" s="9"/>
      <c r="XED80" s="9"/>
      <c r="XEE80" s="9"/>
      <c r="XEF80" s="9"/>
      <c r="XEG80" s="9"/>
      <c r="XEH80" s="9"/>
      <c r="XEI80" s="9"/>
      <c r="XEJ80" s="9"/>
      <c r="XEK80" s="9"/>
      <c r="XEL80" s="9"/>
      <c r="XEM80" s="9"/>
      <c r="XEN80" s="9"/>
      <c r="XEO80" s="9"/>
      <c r="XEP80" s="9"/>
      <c r="XEQ80" s="9"/>
      <c r="XER80" s="9"/>
      <c r="XES80" s="9"/>
      <c r="XET80" s="9"/>
      <c r="XEU80" s="9"/>
      <c r="XEV80" s="9"/>
      <c r="XEW80" s="9"/>
      <c r="XEX80" s="9"/>
      <c r="XEY80" s="9"/>
      <c r="XEZ80" s="9"/>
      <c r="XFA80" s="9"/>
      <c r="XFB80" s="9"/>
      <c r="XFC80" s="9"/>
      <c r="XFD80" s="9"/>
    </row>
    <row r="81" spans="1:8 16325:16384" s="3" customFormat="1" ht="19.95" customHeight="1">
      <c r="A81" s="6" t="str">
        <f t="shared" si="2"/>
        <v>040003</v>
      </c>
      <c r="B81" s="6" t="s">
        <v>12</v>
      </c>
      <c r="C81" s="6" t="s">
        <v>10</v>
      </c>
      <c r="D81" s="6" t="str">
        <f>"512421205"</f>
        <v>512421205</v>
      </c>
      <c r="E81" s="7">
        <v>83</v>
      </c>
      <c r="F81" s="7">
        <v>65</v>
      </c>
      <c r="G81" s="7"/>
      <c r="H81" s="7">
        <v>75.8</v>
      </c>
      <c r="XCW81" s="9"/>
      <c r="XCX81" s="9"/>
      <c r="XCY81" s="9"/>
      <c r="XCZ81" s="9"/>
      <c r="XDA81" s="9"/>
      <c r="XDB81" s="9"/>
      <c r="XDC81" s="9"/>
      <c r="XDD81" s="9"/>
      <c r="XDE81" s="9"/>
      <c r="XDF81" s="9"/>
      <c r="XDG81" s="9"/>
      <c r="XDH81" s="9"/>
      <c r="XDI81" s="9"/>
      <c r="XDJ81" s="9"/>
      <c r="XDK81" s="9"/>
      <c r="XDL81" s="9"/>
      <c r="XDM81" s="9"/>
      <c r="XDN81" s="9"/>
      <c r="XDO81" s="9"/>
      <c r="XDP81" s="9"/>
      <c r="XDQ81" s="9"/>
      <c r="XDR81" s="9"/>
      <c r="XDS81" s="9"/>
      <c r="XDT81" s="9"/>
      <c r="XDU81" s="9"/>
      <c r="XDV81" s="9"/>
      <c r="XDW81" s="9"/>
      <c r="XDX81" s="9"/>
      <c r="XDY81" s="9"/>
      <c r="XDZ81" s="9"/>
      <c r="XEA81" s="9"/>
      <c r="XEB81" s="9"/>
      <c r="XEC81" s="9"/>
      <c r="XED81" s="9"/>
      <c r="XEE81" s="9"/>
      <c r="XEF81" s="9"/>
      <c r="XEG81" s="9"/>
      <c r="XEH81" s="9"/>
      <c r="XEI81" s="9"/>
      <c r="XEJ81" s="9"/>
      <c r="XEK81" s="9"/>
      <c r="XEL81" s="9"/>
      <c r="XEM81" s="9"/>
      <c r="XEN81" s="9"/>
      <c r="XEO81" s="9"/>
      <c r="XEP81" s="9"/>
      <c r="XEQ81" s="9"/>
      <c r="XER81" s="9"/>
      <c r="XES81" s="9"/>
      <c r="XET81" s="9"/>
      <c r="XEU81" s="9"/>
      <c r="XEV81" s="9"/>
      <c r="XEW81" s="9"/>
      <c r="XEX81" s="9"/>
      <c r="XEY81" s="9"/>
      <c r="XEZ81" s="9"/>
      <c r="XFA81" s="9"/>
      <c r="XFB81" s="9"/>
      <c r="XFC81" s="9"/>
      <c r="XFD81" s="9"/>
    </row>
    <row r="82" spans="1:8 16325:16384" s="3" customFormat="1" ht="19.95" customHeight="1">
      <c r="A82" s="6" t="str">
        <f t="shared" si="2"/>
        <v>040003</v>
      </c>
      <c r="B82" s="6" t="s">
        <v>12</v>
      </c>
      <c r="C82" s="6" t="s">
        <v>10</v>
      </c>
      <c r="D82" s="6" t="str">
        <f>"512421206"</f>
        <v>512421206</v>
      </c>
      <c r="E82" s="7">
        <v>0</v>
      </c>
      <c r="F82" s="7">
        <v>0</v>
      </c>
      <c r="G82" s="7"/>
      <c r="H82" s="7">
        <v>0</v>
      </c>
      <c r="XCW82" s="9"/>
      <c r="XCX82" s="9"/>
      <c r="XCY82" s="9"/>
      <c r="XCZ82" s="9"/>
      <c r="XDA82" s="9"/>
      <c r="XDB82" s="9"/>
      <c r="XDC82" s="9"/>
      <c r="XDD82" s="9"/>
      <c r="XDE82" s="9"/>
      <c r="XDF82" s="9"/>
      <c r="XDG82" s="9"/>
      <c r="XDH82" s="9"/>
      <c r="XDI82" s="9"/>
      <c r="XDJ82" s="9"/>
      <c r="XDK82" s="9"/>
      <c r="XDL82" s="9"/>
      <c r="XDM82" s="9"/>
      <c r="XDN82" s="9"/>
      <c r="XDO82" s="9"/>
      <c r="XDP82" s="9"/>
      <c r="XDQ82" s="9"/>
      <c r="XDR82" s="9"/>
      <c r="XDS82" s="9"/>
      <c r="XDT82" s="9"/>
      <c r="XDU82" s="9"/>
      <c r="XDV82" s="9"/>
      <c r="XDW82" s="9"/>
      <c r="XDX82" s="9"/>
      <c r="XDY82" s="9"/>
      <c r="XDZ82" s="9"/>
      <c r="XEA82" s="9"/>
      <c r="XEB82" s="9"/>
      <c r="XEC82" s="9"/>
      <c r="XED82" s="9"/>
      <c r="XEE82" s="9"/>
      <c r="XEF82" s="9"/>
      <c r="XEG82" s="9"/>
      <c r="XEH82" s="9"/>
      <c r="XEI82" s="9"/>
      <c r="XEJ82" s="9"/>
      <c r="XEK82" s="9"/>
      <c r="XEL82" s="9"/>
      <c r="XEM82" s="9"/>
      <c r="XEN82" s="9"/>
      <c r="XEO82" s="9"/>
      <c r="XEP82" s="9"/>
      <c r="XEQ82" s="9"/>
      <c r="XER82" s="9"/>
      <c r="XES82" s="9"/>
      <c r="XET82" s="9"/>
      <c r="XEU82" s="9"/>
      <c r="XEV82" s="9"/>
      <c r="XEW82" s="9"/>
      <c r="XEX82" s="9"/>
      <c r="XEY82" s="9"/>
      <c r="XEZ82" s="9"/>
      <c r="XFA82" s="9"/>
      <c r="XFB82" s="9"/>
      <c r="XFC82" s="9"/>
      <c r="XFD82" s="9"/>
    </row>
    <row r="83" spans="1:8 16325:16384" s="3" customFormat="1" ht="19.95" customHeight="1">
      <c r="A83" s="6" t="str">
        <f t="shared" si="2"/>
        <v>040003</v>
      </c>
      <c r="B83" s="6" t="s">
        <v>12</v>
      </c>
      <c r="C83" s="6" t="s">
        <v>10</v>
      </c>
      <c r="D83" s="6" t="str">
        <f>"512421211"</f>
        <v>512421211</v>
      </c>
      <c r="E83" s="7">
        <v>0</v>
      </c>
      <c r="F83" s="7">
        <v>0</v>
      </c>
      <c r="G83" s="7"/>
      <c r="H83" s="7">
        <v>0</v>
      </c>
      <c r="XCW83" s="9"/>
      <c r="XCX83" s="9"/>
      <c r="XCY83" s="9"/>
      <c r="XCZ83" s="9"/>
      <c r="XDA83" s="9"/>
      <c r="XDB83" s="9"/>
      <c r="XDC83" s="9"/>
      <c r="XDD83" s="9"/>
      <c r="XDE83" s="9"/>
      <c r="XDF83" s="9"/>
      <c r="XDG83" s="9"/>
      <c r="XDH83" s="9"/>
      <c r="XDI83" s="9"/>
      <c r="XDJ83" s="9"/>
      <c r="XDK83" s="9"/>
      <c r="XDL83" s="9"/>
      <c r="XDM83" s="9"/>
      <c r="XDN83" s="9"/>
      <c r="XDO83" s="9"/>
      <c r="XDP83" s="9"/>
      <c r="XDQ83" s="9"/>
      <c r="XDR83" s="9"/>
      <c r="XDS83" s="9"/>
      <c r="XDT83" s="9"/>
      <c r="XDU83" s="9"/>
      <c r="XDV83" s="9"/>
      <c r="XDW83" s="9"/>
      <c r="XDX83" s="9"/>
      <c r="XDY83" s="9"/>
      <c r="XDZ83" s="9"/>
      <c r="XEA83" s="9"/>
      <c r="XEB83" s="9"/>
      <c r="XEC83" s="9"/>
      <c r="XED83" s="9"/>
      <c r="XEE83" s="9"/>
      <c r="XEF83" s="9"/>
      <c r="XEG83" s="9"/>
      <c r="XEH83" s="9"/>
      <c r="XEI83" s="9"/>
      <c r="XEJ83" s="9"/>
      <c r="XEK83" s="9"/>
      <c r="XEL83" s="9"/>
      <c r="XEM83" s="9"/>
      <c r="XEN83" s="9"/>
      <c r="XEO83" s="9"/>
      <c r="XEP83" s="9"/>
      <c r="XEQ83" s="9"/>
      <c r="XER83" s="9"/>
      <c r="XES83" s="9"/>
      <c r="XET83" s="9"/>
      <c r="XEU83" s="9"/>
      <c r="XEV83" s="9"/>
      <c r="XEW83" s="9"/>
      <c r="XEX83" s="9"/>
      <c r="XEY83" s="9"/>
      <c r="XEZ83" s="9"/>
      <c r="XFA83" s="9"/>
      <c r="XFB83" s="9"/>
      <c r="XFC83" s="9"/>
      <c r="XFD83" s="9"/>
    </row>
    <row r="84" spans="1:8 16325:16384" s="3" customFormat="1" ht="19.95" customHeight="1">
      <c r="A84" s="6" t="str">
        <f t="shared" si="2"/>
        <v>040003</v>
      </c>
      <c r="B84" s="6" t="s">
        <v>12</v>
      </c>
      <c r="C84" s="6" t="s">
        <v>10</v>
      </c>
      <c r="D84" s="6" t="str">
        <f>"512421209"</f>
        <v>512421209</v>
      </c>
      <c r="E84" s="7">
        <v>90</v>
      </c>
      <c r="F84" s="7">
        <v>76.5</v>
      </c>
      <c r="G84" s="7"/>
      <c r="H84" s="7">
        <v>84.6</v>
      </c>
      <c r="XCW84" s="9"/>
      <c r="XCX84" s="9"/>
      <c r="XCY84" s="9"/>
      <c r="XCZ84" s="9"/>
      <c r="XDA84" s="9"/>
      <c r="XDB84" s="9"/>
      <c r="XDC84" s="9"/>
      <c r="XDD84" s="9"/>
      <c r="XDE84" s="9"/>
      <c r="XDF84" s="9"/>
      <c r="XDG84" s="9"/>
      <c r="XDH84" s="9"/>
      <c r="XDI84" s="9"/>
      <c r="XDJ84" s="9"/>
      <c r="XDK84" s="9"/>
      <c r="XDL84" s="9"/>
      <c r="XDM84" s="9"/>
      <c r="XDN84" s="9"/>
      <c r="XDO84" s="9"/>
      <c r="XDP84" s="9"/>
      <c r="XDQ84" s="9"/>
      <c r="XDR84" s="9"/>
      <c r="XDS84" s="9"/>
      <c r="XDT84" s="9"/>
      <c r="XDU84" s="9"/>
      <c r="XDV84" s="9"/>
      <c r="XDW84" s="9"/>
      <c r="XDX84" s="9"/>
      <c r="XDY84" s="9"/>
      <c r="XDZ84" s="9"/>
      <c r="XEA84" s="9"/>
      <c r="XEB84" s="9"/>
      <c r="XEC84" s="9"/>
      <c r="XED84" s="9"/>
      <c r="XEE84" s="9"/>
      <c r="XEF84" s="9"/>
      <c r="XEG84" s="9"/>
      <c r="XEH84" s="9"/>
      <c r="XEI84" s="9"/>
      <c r="XEJ84" s="9"/>
      <c r="XEK84" s="9"/>
      <c r="XEL84" s="9"/>
      <c r="XEM84" s="9"/>
      <c r="XEN84" s="9"/>
      <c r="XEO84" s="9"/>
      <c r="XEP84" s="9"/>
      <c r="XEQ84" s="9"/>
      <c r="XER84" s="9"/>
      <c r="XES84" s="9"/>
      <c r="XET84" s="9"/>
      <c r="XEU84" s="9"/>
      <c r="XEV84" s="9"/>
      <c r="XEW84" s="9"/>
      <c r="XEX84" s="9"/>
      <c r="XEY84" s="9"/>
      <c r="XEZ84" s="9"/>
      <c r="XFA84" s="9"/>
      <c r="XFB84" s="9"/>
      <c r="XFC84" s="9"/>
      <c r="XFD84" s="9"/>
    </row>
    <row r="85" spans="1:8 16325:16384" s="3" customFormat="1" ht="19.95" customHeight="1">
      <c r="A85" s="6" t="str">
        <f t="shared" ref="A85:A111" si="3">"040004"</f>
        <v>040004</v>
      </c>
      <c r="B85" s="6" t="s">
        <v>13</v>
      </c>
      <c r="C85" s="6" t="s">
        <v>10</v>
      </c>
      <c r="D85" s="6" t="str">
        <f>"512732424"</f>
        <v>512732424</v>
      </c>
      <c r="E85" s="7">
        <v>92</v>
      </c>
      <c r="F85" s="7">
        <v>70</v>
      </c>
      <c r="G85" s="7"/>
      <c r="H85" s="7">
        <v>83.2</v>
      </c>
      <c r="XCW85" s="9"/>
      <c r="XCX85" s="9"/>
      <c r="XCY85" s="9"/>
      <c r="XCZ85" s="9"/>
      <c r="XDA85" s="9"/>
      <c r="XDB85" s="9"/>
      <c r="XDC85" s="9"/>
      <c r="XDD85" s="9"/>
      <c r="XDE85" s="9"/>
      <c r="XDF85" s="9"/>
      <c r="XDG85" s="9"/>
      <c r="XDH85" s="9"/>
      <c r="XDI85" s="9"/>
      <c r="XDJ85" s="9"/>
      <c r="XDK85" s="9"/>
      <c r="XDL85" s="9"/>
      <c r="XDM85" s="9"/>
      <c r="XDN85" s="9"/>
      <c r="XDO85" s="9"/>
      <c r="XDP85" s="9"/>
      <c r="XDQ85" s="9"/>
      <c r="XDR85" s="9"/>
      <c r="XDS85" s="9"/>
      <c r="XDT85" s="9"/>
      <c r="XDU85" s="9"/>
      <c r="XDV85" s="9"/>
      <c r="XDW85" s="9"/>
      <c r="XDX85" s="9"/>
      <c r="XDY85" s="9"/>
      <c r="XDZ85" s="9"/>
      <c r="XEA85" s="9"/>
      <c r="XEB85" s="9"/>
      <c r="XEC85" s="9"/>
      <c r="XED85" s="9"/>
      <c r="XEE85" s="9"/>
      <c r="XEF85" s="9"/>
      <c r="XEG85" s="9"/>
      <c r="XEH85" s="9"/>
      <c r="XEI85" s="9"/>
      <c r="XEJ85" s="9"/>
      <c r="XEK85" s="9"/>
      <c r="XEL85" s="9"/>
      <c r="XEM85" s="9"/>
      <c r="XEN85" s="9"/>
      <c r="XEO85" s="9"/>
      <c r="XEP85" s="9"/>
      <c r="XEQ85" s="9"/>
      <c r="XER85" s="9"/>
      <c r="XES85" s="9"/>
      <c r="XET85" s="9"/>
      <c r="XEU85" s="9"/>
      <c r="XEV85" s="9"/>
      <c r="XEW85" s="9"/>
      <c r="XEX85" s="9"/>
      <c r="XEY85" s="9"/>
      <c r="XEZ85" s="9"/>
      <c r="XFA85" s="9"/>
      <c r="XFB85" s="9"/>
      <c r="XFC85" s="9"/>
      <c r="XFD85" s="9"/>
    </row>
    <row r="86" spans="1:8 16325:16384" s="3" customFormat="1" ht="19.95" customHeight="1">
      <c r="A86" s="6" t="str">
        <f t="shared" si="3"/>
        <v>040004</v>
      </c>
      <c r="B86" s="6" t="s">
        <v>13</v>
      </c>
      <c r="C86" s="6" t="s">
        <v>10</v>
      </c>
      <c r="D86" s="6" t="str">
        <f>"512732401"</f>
        <v>512732401</v>
      </c>
      <c r="E86" s="7">
        <v>99.5</v>
      </c>
      <c r="F86" s="7">
        <v>64.5</v>
      </c>
      <c r="G86" s="7"/>
      <c r="H86" s="7">
        <v>85.5</v>
      </c>
      <c r="XCW86" s="9"/>
      <c r="XCX86" s="9"/>
      <c r="XCY86" s="9"/>
      <c r="XCZ86" s="9"/>
      <c r="XDA86" s="9"/>
      <c r="XDB86" s="9"/>
      <c r="XDC86" s="9"/>
      <c r="XDD86" s="9"/>
      <c r="XDE86" s="9"/>
      <c r="XDF86" s="9"/>
      <c r="XDG86" s="9"/>
      <c r="XDH86" s="9"/>
      <c r="XDI86" s="9"/>
      <c r="XDJ86" s="9"/>
      <c r="XDK86" s="9"/>
      <c r="XDL86" s="9"/>
      <c r="XDM86" s="9"/>
      <c r="XDN86" s="9"/>
      <c r="XDO86" s="9"/>
      <c r="XDP86" s="9"/>
      <c r="XDQ86" s="9"/>
      <c r="XDR86" s="9"/>
      <c r="XDS86" s="9"/>
      <c r="XDT86" s="9"/>
      <c r="XDU86" s="9"/>
      <c r="XDV86" s="9"/>
      <c r="XDW86" s="9"/>
      <c r="XDX86" s="9"/>
      <c r="XDY86" s="9"/>
      <c r="XDZ86" s="9"/>
      <c r="XEA86" s="9"/>
      <c r="XEB86" s="9"/>
      <c r="XEC86" s="9"/>
      <c r="XED86" s="9"/>
      <c r="XEE86" s="9"/>
      <c r="XEF86" s="9"/>
      <c r="XEG86" s="9"/>
      <c r="XEH86" s="9"/>
      <c r="XEI86" s="9"/>
      <c r="XEJ86" s="9"/>
      <c r="XEK86" s="9"/>
      <c r="XEL86" s="9"/>
      <c r="XEM86" s="9"/>
      <c r="XEN86" s="9"/>
      <c r="XEO86" s="9"/>
      <c r="XEP86" s="9"/>
      <c r="XEQ86" s="9"/>
      <c r="XER86" s="9"/>
      <c r="XES86" s="9"/>
      <c r="XET86" s="9"/>
      <c r="XEU86" s="9"/>
      <c r="XEV86" s="9"/>
      <c r="XEW86" s="9"/>
      <c r="XEX86" s="9"/>
      <c r="XEY86" s="9"/>
      <c r="XEZ86" s="9"/>
      <c r="XFA86" s="9"/>
      <c r="XFB86" s="9"/>
      <c r="XFC86" s="9"/>
      <c r="XFD86" s="9"/>
    </row>
    <row r="87" spans="1:8 16325:16384" s="3" customFormat="1" ht="19.95" customHeight="1">
      <c r="A87" s="6" t="str">
        <f t="shared" si="3"/>
        <v>040004</v>
      </c>
      <c r="B87" s="6" t="s">
        <v>13</v>
      </c>
      <c r="C87" s="6" t="s">
        <v>10</v>
      </c>
      <c r="D87" s="6" t="str">
        <f>"512732419"</f>
        <v>512732419</v>
      </c>
      <c r="E87" s="7">
        <v>83.5</v>
      </c>
      <c r="F87" s="7">
        <v>71.5</v>
      </c>
      <c r="G87" s="7"/>
      <c r="H87" s="7">
        <v>78.7</v>
      </c>
      <c r="XCW87" s="9"/>
      <c r="XCX87" s="9"/>
      <c r="XCY87" s="9"/>
      <c r="XCZ87" s="9"/>
      <c r="XDA87" s="9"/>
      <c r="XDB87" s="9"/>
      <c r="XDC87" s="9"/>
      <c r="XDD87" s="9"/>
      <c r="XDE87" s="9"/>
      <c r="XDF87" s="9"/>
      <c r="XDG87" s="9"/>
      <c r="XDH87" s="9"/>
      <c r="XDI87" s="9"/>
      <c r="XDJ87" s="9"/>
      <c r="XDK87" s="9"/>
      <c r="XDL87" s="9"/>
      <c r="XDM87" s="9"/>
      <c r="XDN87" s="9"/>
      <c r="XDO87" s="9"/>
      <c r="XDP87" s="9"/>
      <c r="XDQ87" s="9"/>
      <c r="XDR87" s="9"/>
      <c r="XDS87" s="9"/>
      <c r="XDT87" s="9"/>
      <c r="XDU87" s="9"/>
      <c r="XDV87" s="9"/>
      <c r="XDW87" s="9"/>
      <c r="XDX87" s="9"/>
      <c r="XDY87" s="9"/>
      <c r="XDZ87" s="9"/>
      <c r="XEA87" s="9"/>
      <c r="XEB87" s="9"/>
      <c r="XEC87" s="9"/>
      <c r="XED87" s="9"/>
      <c r="XEE87" s="9"/>
      <c r="XEF87" s="9"/>
      <c r="XEG87" s="9"/>
      <c r="XEH87" s="9"/>
      <c r="XEI87" s="9"/>
      <c r="XEJ87" s="9"/>
      <c r="XEK87" s="9"/>
      <c r="XEL87" s="9"/>
      <c r="XEM87" s="9"/>
      <c r="XEN87" s="9"/>
      <c r="XEO87" s="9"/>
      <c r="XEP87" s="9"/>
      <c r="XEQ87" s="9"/>
      <c r="XER87" s="9"/>
      <c r="XES87" s="9"/>
      <c r="XET87" s="9"/>
      <c r="XEU87" s="9"/>
      <c r="XEV87" s="9"/>
      <c r="XEW87" s="9"/>
      <c r="XEX87" s="9"/>
      <c r="XEY87" s="9"/>
      <c r="XEZ87" s="9"/>
      <c r="XFA87" s="9"/>
      <c r="XFB87" s="9"/>
      <c r="XFC87" s="9"/>
      <c r="XFD87" s="9"/>
    </row>
    <row r="88" spans="1:8 16325:16384" s="3" customFormat="1" ht="19.95" customHeight="1">
      <c r="A88" s="6" t="str">
        <f t="shared" si="3"/>
        <v>040004</v>
      </c>
      <c r="B88" s="6" t="s">
        <v>13</v>
      </c>
      <c r="C88" s="6" t="s">
        <v>10</v>
      </c>
      <c r="D88" s="6" t="str">
        <f>"512732405"</f>
        <v>512732405</v>
      </c>
      <c r="E88" s="7">
        <v>80</v>
      </c>
      <c r="F88" s="7">
        <v>75</v>
      </c>
      <c r="G88" s="7"/>
      <c r="H88" s="7">
        <v>78</v>
      </c>
      <c r="XCW88" s="9"/>
      <c r="XCX88" s="9"/>
      <c r="XCY88" s="9"/>
      <c r="XCZ88" s="9"/>
      <c r="XDA88" s="9"/>
      <c r="XDB88" s="9"/>
      <c r="XDC88" s="9"/>
      <c r="XDD88" s="9"/>
      <c r="XDE88" s="9"/>
      <c r="XDF88" s="9"/>
      <c r="XDG88" s="9"/>
      <c r="XDH88" s="9"/>
      <c r="XDI88" s="9"/>
      <c r="XDJ88" s="9"/>
      <c r="XDK88" s="9"/>
      <c r="XDL88" s="9"/>
      <c r="XDM88" s="9"/>
      <c r="XDN88" s="9"/>
      <c r="XDO88" s="9"/>
      <c r="XDP88" s="9"/>
      <c r="XDQ88" s="9"/>
      <c r="XDR88" s="9"/>
      <c r="XDS88" s="9"/>
      <c r="XDT88" s="9"/>
      <c r="XDU88" s="9"/>
      <c r="XDV88" s="9"/>
      <c r="XDW88" s="9"/>
      <c r="XDX88" s="9"/>
      <c r="XDY88" s="9"/>
      <c r="XDZ88" s="9"/>
      <c r="XEA88" s="9"/>
      <c r="XEB88" s="9"/>
      <c r="XEC88" s="9"/>
      <c r="XED88" s="9"/>
      <c r="XEE88" s="9"/>
      <c r="XEF88" s="9"/>
      <c r="XEG88" s="9"/>
      <c r="XEH88" s="9"/>
      <c r="XEI88" s="9"/>
      <c r="XEJ88" s="9"/>
      <c r="XEK88" s="9"/>
      <c r="XEL88" s="9"/>
      <c r="XEM88" s="9"/>
      <c r="XEN88" s="9"/>
      <c r="XEO88" s="9"/>
      <c r="XEP88" s="9"/>
      <c r="XEQ88" s="9"/>
      <c r="XER88" s="9"/>
      <c r="XES88" s="9"/>
      <c r="XET88" s="9"/>
      <c r="XEU88" s="9"/>
      <c r="XEV88" s="9"/>
      <c r="XEW88" s="9"/>
      <c r="XEX88" s="9"/>
      <c r="XEY88" s="9"/>
      <c r="XEZ88" s="9"/>
      <c r="XFA88" s="9"/>
      <c r="XFB88" s="9"/>
      <c r="XFC88" s="9"/>
      <c r="XFD88" s="9"/>
    </row>
    <row r="89" spans="1:8 16325:16384" s="3" customFormat="1" ht="19.95" customHeight="1">
      <c r="A89" s="6" t="str">
        <f t="shared" si="3"/>
        <v>040004</v>
      </c>
      <c r="B89" s="6" t="s">
        <v>13</v>
      </c>
      <c r="C89" s="6" t="s">
        <v>10</v>
      </c>
      <c r="D89" s="6" t="str">
        <f>"512732409"</f>
        <v>512732409</v>
      </c>
      <c r="E89" s="7">
        <v>73.5</v>
      </c>
      <c r="F89" s="7">
        <v>61.5</v>
      </c>
      <c r="G89" s="7"/>
      <c r="H89" s="7">
        <v>68.7</v>
      </c>
      <c r="XCW89" s="9"/>
      <c r="XCX89" s="9"/>
      <c r="XCY89" s="9"/>
      <c r="XCZ89" s="9"/>
      <c r="XDA89" s="9"/>
      <c r="XDB89" s="9"/>
      <c r="XDC89" s="9"/>
      <c r="XDD89" s="9"/>
      <c r="XDE89" s="9"/>
      <c r="XDF89" s="9"/>
      <c r="XDG89" s="9"/>
      <c r="XDH89" s="9"/>
      <c r="XDI89" s="9"/>
      <c r="XDJ89" s="9"/>
      <c r="XDK89" s="9"/>
      <c r="XDL89" s="9"/>
      <c r="XDM89" s="9"/>
      <c r="XDN89" s="9"/>
      <c r="XDO89" s="9"/>
      <c r="XDP89" s="9"/>
      <c r="XDQ89" s="9"/>
      <c r="XDR89" s="9"/>
      <c r="XDS89" s="9"/>
      <c r="XDT89" s="9"/>
      <c r="XDU89" s="9"/>
      <c r="XDV89" s="9"/>
      <c r="XDW89" s="9"/>
      <c r="XDX89" s="9"/>
      <c r="XDY89" s="9"/>
      <c r="XDZ89" s="9"/>
      <c r="XEA89" s="9"/>
      <c r="XEB89" s="9"/>
      <c r="XEC89" s="9"/>
      <c r="XED89" s="9"/>
      <c r="XEE89" s="9"/>
      <c r="XEF89" s="9"/>
      <c r="XEG89" s="9"/>
      <c r="XEH89" s="9"/>
      <c r="XEI89" s="9"/>
      <c r="XEJ89" s="9"/>
      <c r="XEK89" s="9"/>
      <c r="XEL89" s="9"/>
      <c r="XEM89" s="9"/>
      <c r="XEN89" s="9"/>
      <c r="XEO89" s="9"/>
      <c r="XEP89" s="9"/>
      <c r="XEQ89" s="9"/>
      <c r="XER89" s="9"/>
      <c r="XES89" s="9"/>
      <c r="XET89" s="9"/>
      <c r="XEU89" s="9"/>
      <c r="XEV89" s="9"/>
      <c r="XEW89" s="9"/>
      <c r="XEX89" s="9"/>
      <c r="XEY89" s="9"/>
      <c r="XEZ89" s="9"/>
      <c r="XFA89" s="9"/>
      <c r="XFB89" s="9"/>
      <c r="XFC89" s="9"/>
      <c r="XFD89" s="9"/>
    </row>
    <row r="90" spans="1:8 16325:16384" s="3" customFormat="1" ht="19.95" customHeight="1">
      <c r="A90" s="6" t="str">
        <f t="shared" si="3"/>
        <v>040004</v>
      </c>
      <c r="B90" s="6" t="s">
        <v>13</v>
      </c>
      <c r="C90" s="6" t="s">
        <v>10</v>
      </c>
      <c r="D90" s="6" t="str">
        <f>"512732421"</f>
        <v>512732421</v>
      </c>
      <c r="E90" s="7">
        <v>63.5</v>
      </c>
      <c r="F90" s="7">
        <v>0</v>
      </c>
      <c r="G90" s="7"/>
      <c r="H90" s="7">
        <v>38.1</v>
      </c>
      <c r="XCW90" s="9"/>
      <c r="XCX90" s="9"/>
      <c r="XCY90" s="9"/>
      <c r="XCZ90" s="9"/>
      <c r="XDA90" s="9"/>
      <c r="XDB90" s="9"/>
      <c r="XDC90" s="9"/>
      <c r="XDD90" s="9"/>
      <c r="XDE90" s="9"/>
      <c r="XDF90" s="9"/>
      <c r="XDG90" s="9"/>
      <c r="XDH90" s="9"/>
      <c r="XDI90" s="9"/>
      <c r="XDJ90" s="9"/>
      <c r="XDK90" s="9"/>
      <c r="XDL90" s="9"/>
      <c r="XDM90" s="9"/>
      <c r="XDN90" s="9"/>
      <c r="XDO90" s="9"/>
      <c r="XDP90" s="9"/>
      <c r="XDQ90" s="9"/>
      <c r="XDR90" s="9"/>
      <c r="XDS90" s="9"/>
      <c r="XDT90" s="9"/>
      <c r="XDU90" s="9"/>
      <c r="XDV90" s="9"/>
      <c r="XDW90" s="9"/>
      <c r="XDX90" s="9"/>
      <c r="XDY90" s="9"/>
      <c r="XDZ90" s="9"/>
      <c r="XEA90" s="9"/>
      <c r="XEB90" s="9"/>
      <c r="XEC90" s="9"/>
      <c r="XED90" s="9"/>
      <c r="XEE90" s="9"/>
      <c r="XEF90" s="9"/>
      <c r="XEG90" s="9"/>
      <c r="XEH90" s="9"/>
      <c r="XEI90" s="9"/>
      <c r="XEJ90" s="9"/>
      <c r="XEK90" s="9"/>
      <c r="XEL90" s="9"/>
      <c r="XEM90" s="9"/>
      <c r="XEN90" s="9"/>
      <c r="XEO90" s="9"/>
      <c r="XEP90" s="9"/>
      <c r="XEQ90" s="9"/>
      <c r="XER90" s="9"/>
      <c r="XES90" s="9"/>
      <c r="XET90" s="9"/>
      <c r="XEU90" s="9"/>
      <c r="XEV90" s="9"/>
      <c r="XEW90" s="9"/>
      <c r="XEX90" s="9"/>
      <c r="XEY90" s="9"/>
      <c r="XEZ90" s="9"/>
      <c r="XFA90" s="9"/>
      <c r="XFB90" s="9"/>
      <c r="XFC90" s="9"/>
      <c r="XFD90" s="9"/>
    </row>
    <row r="91" spans="1:8 16325:16384" s="3" customFormat="1" ht="19.95" customHeight="1">
      <c r="A91" s="6" t="str">
        <f t="shared" si="3"/>
        <v>040004</v>
      </c>
      <c r="B91" s="6" t="s">
        <v>13</v>
      </c>
      <c r="C91" s="6" t="s">
        <v>10</v>
      </c>
      <c r="D91" s="6" t="str">
        <f>"512732417"</f>
        <v>512732417</v>
      </c>
      <c r="E91" s="7">
        <v>85.5</v>
      </c>
      <c r="F91" s="7">
        <v>72.5</v>
      </c>
      <c r="G91" s="7"/>
      <c r="H91" s="7">
        <v>80.3</v>
      </c>
      <c r="XCW91" s="9"/>
      <c r="XCX91" s="9"/>
      <c r="XCY91" s="9"/>
      <c r="XCZ91" s="9"/>
      <c r="XDA91" s="9"/>
      <c r="XDB91" s="9"/>
      <c r="XDC91" s="9"/>
      <c r="XDD91" s="9"/>
      <c r="XDE91" s="9"/>
      <c r="XDF91" s="9"/>
      <c r="XDG91" s="9"/>
      <c r="XDH91" s="9"/>
      <c r="XDI91" s="9"/>
      <c r="XDJ91" s="9"/>
      <c r="XDK91" s="9"/>
      <c r="XDL91" s="9"/>
      <c r="XDM91" s="9"/>
      <c r="XDN91" s="9"/>
      <c r="XDO91" s="9"/>
      <c r="XDP91" s="9"/>
      <c r="XDQ91" s="9"/>
      <c r="XDR91" s="9"/>
      <c r="XDS91" s="9"/>
      <c r="XDT91" s="9"/>
      <c r="XDU91" s="9"/>
      <c r="XDV91" s="9"/>
      <c r="XDW91" s="9"/>
      <c r="XDX91" s="9"/>
      <c r="XDY91" s="9"/>
      <c r="XDZ91" s="9"/>
      <c r="XEA91" s="9"/>
      <c r="XEB91" s="9"/>
      <c r="XEC91" s="9"/>
      <c r="XED91" s="9"/>
      <c r="XEE91" s="9"/>
      <c r="XEF91" s="9"/>
      <c r="XEG91" s="9"/>
      <c r="XEH91" s="9"/>
      <c r="XEI91" s="9"/>
      <c r="XEJ91" s="9"/>
      <c r="XEK91" s="9"/>
      <c r="XEL91" s="9"/>
      <c r="XEM91" s="9"/>
      <c r="XEN91" s="9"/>
      <c r="XEO91" s="9"/>
      <c r="XEP91" s="9"/>
      <c r="XEQ91" s="9"/>
      <c r="XER91" s="9"/>
      <c r="XES91" s="9"/>
      <c r="XET91" s="9"/>
      <c r="XEU91" s="9"/>
      <c r="XEV91" s="9"/>
      <c r="XEW91" s="9"/>
      <c r="XEX91" s="9"/>
      <c r="XEY91" s="9"/>
      <c r="XEZ91" s="9"/>
      <c r="XFA91" s="9"/>
      <c r="XFB91" s="9"/>
      <c r="XFC91" s="9"/>
      <c r="XFD91" s="9"/>
    </row>
    <row r="92" spans="1:8 16325:16384" s="3" customFormat="1" ht="19.95" customHeight="1">
      <c r="A92" s="6" t="str">
        <f t="shared" si="3"/>
        <v>040004</v>
      </c>
      <c r="B92" s="6" t="s">
        <v>13</v>
      </c>
      <c r="C92" s="6" t="s">
        <v>10</v>
      </c>
      <c r="D92" s="6" t="str">
        <f>"512732406"</f>
        <v>512732406</v>
      </c>
      <c r="E92" s="7">
        <v>0</v>
      </c>
      <c r="F92" s="7">
        <v>0</v>
      </c>
      <c r="G92" s="7"/>
      <c r="H92" s="7">
        <v>0</v>
      </c>
      <c r="XCW92" s="9"/>
      <c r="XCX92" s="9"/>
      <c r="XCY92" s="9"/>
      <c r="XCZ92" s="9"/>
      <c r="XDA92" s="9"/>
      <c r="XDB92" s="9"/>
      <c r="XDC92" s="9"/>
      <c r="XDD92" s="9"/>
      <c r="XDE92" s="9"/>
      <c r="XDF92" s="9"/>
      <c r="XDG92" s="9"/>
      <c r="XDH92" s="9"/>
      <c r="XDI92" s="9"/>
      <c r="XDJ92" s="9"/>
      <c r="XDK92" s="9"/>
      <c r="XDL92" s="9"/>
      <c r="XDM92" s="9"/>
      <c r="XDN92" s="9"/>
      <c r="XDO92" s="9"/>
      <c r="XDP92" s="9"/>
      <c r="XDQ92" s="9"/>
      <c r="XDR92" s="9"/>
      <c r="XDS92" s="9"/>
      <c r="XDT92" s="9"/>
      <c r="XDU92" s="9"/>
      <c r="XDV92" s="9"/>
      <c r="XDW92" s="9"/>
      <c r="XDX92" s="9"/>
      <c r="XDY92" s="9"/>
      <c r="XDZ92" s="9"/>
      <c r="XEA92" s="9"/>
      <c r="XEB92" s="9"/>
      <c r="XEC92" s="9"/>
      <c r="XED92" s="9"/>
      <c r="XEE92" s="9"/>
      <c r="XEF92" s="9"/>
      <c r="XEG92" s="9"/>
      <c r="XEH92" s="9"/>
      <c r="XEI92" s="9"/>
      <c r="XEJ92" s="9"/>
      <c r="XEK92" s="9"/>
      <c r="XEL92" s="9"/>
      <c r="XEM92" s="9"/>
      <c r="XEN92" s="9"/>
      <c r="XEO92" s="9"/>
      <c r="XEP92" s="9"/>
      <c r="XEQ92" s="9"/>
      <c r="XER92" s="9"/>
      <c r="XES92" s="9"/>
      <c r="XET92" s="9"/>
      <c r="XEU92" s="9"/>
      <c r="XEV92" s="9"/>
      <c r="XEW92" s="9"/>
      <c r="XEX92" s="9"/>
      <c r="XEY92" s="9"/>
      <c r="XEZ92" s="9"/>
      <c r="XFA92" s="9"/>
      <c r="XFB92" s="9"/>
      <c r="XFC92" s="9"/>
      <c r="XFD92" s="9"/>
    </row>
    <row r="93" spans="1:8 16325:16384" s="3" customFormat="1" ht="19.95" customHeight="1">
      <c r="A93" s="6" t="str">
        <f t="shared" si="3"/>
        <v>040004</v>
      </c>
      <c r="B93" s="6" t="s">
        <v>13</v>
      </c>
      <c r="C93" s="6" t="s">
        <v>10</v>
      </c>
      <c r="D93" s="6" t="str">
        <f>"512732407"</f>
        <v>512732407</v>
      </c>
      <c r="E93" s="7">
        <v>60.5</v>
      </c>
      <c r="F93" s="7">
        <v>64.5</v>
      </c>
      <c r="G93" s="7"/>
      <c r="H93" s="7">
        <v>62.1</v>
      </c>
      <c r="XCW93" s="9"/>
      <c r="XCX93" s="9"/>
      <c r="XCY93" s="9"/>
      <c r="XCZ93" s="9"/>
      <c r="XDA93" s="9"/>
      <c r="XDB93" s="9"/>
      <c r="XDC93" s="9"/>
      <c r="XDD93" s="9"/>
      <c r="XDE93" s="9"/>
      <c r="XDF93" s="9"/>
      <c r="XDG93" s="9"/>
      <c r="XDH93" s="9"/>
      <c r="XDI93" s="9"/>
      <c r="XDJ93" s="9"/>
      <c r="XDK93" s="9"/>
      <c r="XDL93" s="9"/>
      <c r="XDM93" s="9"/>
      <c r="XDN93" s="9"/>
      <c r="XDO93" s="9"/>
      <c r="XDP93" s="9"/>
      <c r="XDQ93" s="9"/>
      <c r="XDR93" s="9"/>
      <c r="XDS93" s="9"/>
      <c r="XDT93" s="9"/>
      <c r="XDU93" s="9"/>
      <c r="XDV93" s="9"/>
      <c r="XDW93" s="9"/>
      <c r="XDX93" s="9"/>
      <c r="XDY93" s="9"/>
      <c r="XDZ93" s="9"/>
      <c r="XEA93" s="9"/>
      <c r="XEB93" s="9"/>
      <c r="XEC93" s="9"/>
      <c r="XED93" s="9"/>
      <c r="XEE93" s="9"/>
      <c r="XEF93" s="9"/>
      <c r="XEG93" s="9"/>
      <c r="XEH93" s="9"/>
      <c r="XEI93" s="9"/>
      <c r="XEJ93" s="9"/>
      <c r="XEK93" s="9"/>
      <c r="XEL93" s="9"/>
      <c r="XEM93" s="9"/>
      <c r="XEN93" s="9"/>
      <c r="XEO93" s="9"/>
      <c r="XEP93" s="9"/>
      <c r="XEQ93" s="9"/>
      <c r="XER93" s="9"/>
      <c r="XES93" s="9"/>
      <c r="XET93" s="9"/>
      <c r="XEU93" s="9"/>
      <c r="XEV93" s="9"/>
      <c r="XEW93" s="9"/>
      <c r="XEX93" s="9"/>
      <c r="XEY93" s="9"/>
      <c r="XEZ93" s="9"/>
      <c r="XFA93" s="9"/>
      <c r="XFB93" s="9"/>
      <c r="XFC93" s="9"/>
      <c r="XFD93" s="9"/>
    </row>
    <row r="94" spans="1:8 16325:16384" s="3" customFormat="1" ht="19.95" customHeight="1">
      <c r="A94" s="6" t="str">
        <f t="shared" si="3"/>
        <v>040004</v>
      </c>
      <c r="B94" s="6" t="s">
        <v>13</v>
      </c>
      <c r="C94" s="6" t="s">
        <v>10</v>
      </c>
      <c r="D94" s="6" t="str">
        <f>"512732404"</f>
        <v>512732404</v>
      </c>
      <c r="E94" s="7">
        <v>94</v>
      </c>
      <c r="F94" s="7">
        <v>61.5</v>
      </c>
      <c r="G94" s="7"/>
      <c r="H94" s="7">
        <v>81</v>
      </c>
      <c r="XCW94" s="9"/>
      <c r="XCX94" s="9"/>
      <c r="XCY94" s="9"/>
      <c r="XCZ94" s="9"/>
      <c r="XDA94" s="9"/>
      <c r="XDB94" s="9"/>
      <c r="XDC94" s="9"/>
      <c r="XDD94" s="9"/>
      <c r="XDE94" s="9"/>
      <c r="XDF94" s="9"/>
      <c r="XDG94" s="9"/>
      <c r="XDH94" s="9"/>
      <c r="XDI94" s="9"/>
      <c r="XDJ94" s="9"/>
      <c r="XDK94" s="9"/>
      <c r="XDL94" s="9"/>
      <c r="XDM94" s="9"/>
      <c r="XDN94" s="9"/>
      <c r="XDO94" s="9"/>
      <c r="XDP94" s="9"/>
      <c r="XDQ94" s="9"/>
      <c r="XDR94" s="9"/>
      <c r="XDS94" s="9"/>
      <c r="XDT94" s="9"/>
      <c r="XDU94" s="9"/>
      <c r="XDV94" s="9"/>
      <c r="XDW94" s="9"/>
      <c r="XDX94" s="9"/>
      <c r="XDY94" s="9"/>
      <c r="XDZ94" s="9"/>
      <c r="XEA94" s="9"/>
      <c r="XEB94" s="9"/>
      <c r="XEC94" s="9"/>
      <c r="XED94" s="9"/>
      <c r="XEE94" s="9"/>
      <c r="XEF94" s="9"/>
      <c r="XEG94" s="9"/>
      <c r="XEH94" s="9"/>
      <c r="XEI94" s="9"/>
      <c r="XEJ94" s="9"/>
      <c r="XEK94" s="9"/>
      <c r="XEL94" s="9"/>
      <c r="XEM94" s="9"/>
      <c r="XEN94" s="9"/>
      <c r="XEO94" s="9"/>
      <c r="XEP94" s="9"/>
      <c r="XEQ94" s="9"/>
      <c r="XER94" s="9"/>
      <c r="XES94" s="9"/>
      <c r="XET94" s="9"/>
      <c r="XEU94" s="9"/>
      <c r="XEV94" s="9"/>
      <c r="XEW94" s="9"/>
      <c r="XEX94" s="9"/>
      <c r="XEY94" s="9"/>
      <c r="XEZ94" s="9"/>
      <c r="XFA94" s="9"/>
      <c r="XFB94" s="9"/>
      <c r="XFC94" s="9"/>
      <c r="XFD94" s="9"/>
    </row>
    <row r="95" spans="1:8 16325:16384" s="3" customFormat="1" ht="19.95" customHeight="1">
      <c r="A95" s="6" t="str">
        <f t="shared" si="3"/>
        <v>040004</v>
      </c>
      <c r="B95" s="6" t="s">
        <v>13</v>
      </c>
      <c r="C95" s="6" t="s">
        <v>10</v>
      </c>
      <c r="D95" s="6" t="str">
        <f>"512732425"</f>
        <v>512732425</v>
      </c>
      <c r="E95" s="7">
        <v>96.5</v>
      </c>
      <c r="F95" s="7">
        <v>70.5</v>
      </c>
      <c r="G95" s="7"/>
      <c r="H95" s="7">
        <v>86.1</v>
      </c>
      <c r="XCW95" s="9"/>
      <c r="XCX95" s="9"/>
      <c r="XCY95" s="9"/>
      <c r="XCZ95" s="9"/>
      <c r="XDA95" s="9"/>
      <c r="XDB95" s="9"/>
      <c r="XDC95" s="9"/>
      <c r="XDD95" s="9"/>
      <c r="XDE95" s="9"/>
      <c r="XDF95" s="9"/>
      <c r="XDG95" s="9"/>
      <c r="XDH95" s="9"/>
      <c r="XDI95" s="9"/>
      <c r="XDJ95" s="9"/>
      <c r="XDK95" s="9"/>
      <c r="XDL95" s="9"/>
      <c r="XDM95" s="9"/>
      <c r="XDN95" s="9"/>
      <c r="XDO95" s="9"/>
      <c r="XDP95" s="9"/>
      <c r="XDQ95" s="9"/>
      <c r="XDR95" s="9"/>
      <c r="XDS95" s="9"/>
      <c r="XDT95" s="9"/>
      <c r="XDU95" s="9"/>
      <c r="XDV95" s="9"/>
      <c r="XDW95" s="9"/>
      <c r="XDX95" s="9"/>
      <c r="XDY95" s="9"/>
      <c r="XDZ95" s="9"/>
      <c r="XEA95" s="9"/>
      <c r="XEB95" s="9"/>
      <c r="XEC95" s="9"/>
      <c r="XED95" s="9"/>
      <c r="XEE95" s="9"/>
      <c r="XEF95" s="9"/>
      <c r="XEG95" s="9"/>
      <c r="XEH95" s="9"/>
      <c r="XEI95" s="9"/>
      <c r="XEJ95" s="9"/>
      <c r="XEK95" s="9"/>
      <c r="XEL95" s="9"/>
      <c r="XEM95" s="9"/>
      <c r="XEN95" s="9"/>
      <c r="XEO95" s="9"/>
      <c r="XEP95" s="9"/>
      <c r="XEQ95" s="9"/>
      <c r="XER95" s="9"/>
      <c r="XES95" s="9"/>
      <c r="XET95" s="9"/>
      <c r="XEU95" s="9"/>
      <c r="XEV95" s="9"/>
      <c r="XEW95" s="9"/>
      <c r="XEX95" s="9"/>
      <c r="XEY95" s="9"/>
      <c r="XEZ95" s="9"/>
      <c r="XFA95" s="9"/>
      <c r="XFB95" s="9"/>
      <c r="XFC95" s="9"/>
      <c r="XFD95" s="9"/>
    </row>
    <row r="96" spans="1:8 16325:16384" s="3" customFormat="1" ht="19.95" customHeight="1">
      <c r="A96" s="6" t="str">
        <f t="shared" si="3"/>
        <v>040004</v>
      </c>
      <c r="B96" s="6" t="s">
        <v>13</v>
      </c>
      <c r="C96" s="6" t="s">
        <v>10</v>
      </c>
      <c r="D96" s="6" t="str">
        <f>"512732415"</f>
        <v>512732415</v>
      </c>
      <c r="E96" s="7">
        <v>0</v>
      </c>
      <c r="F96" s="7">
        <v>0</v>
      </c>
      <c r="G96" s="7"/>
      <c r="H96" s="7">
        <v>0</v>
      </c>
      <c r="XCW96" s="9"/>
      <c r="XCX96" s="9"/>
      <c r="XCY96" s="9"/>
      <c r="XCZ96" s="9"/>
      <c r="XDA96" s="9"/>
      <c r="XDB96" s="9"/>
      <c r="XDC96" s="9"/>
      <c r="XDD96" s="9"/>
      <c r="XDE96" s="9"/>
      <c r="XDF96" s="9"/>
      <c r="XDG96" s="9"/>
      <c r="XDH96" s="9"/>
      <c r="XDI96" s="9"/>
      <c r="XDJ96" s="9"/>
      <c r="XDK96" s="9"/>
      <c r="XDL96" s="9"/>
      <c r="XDM96" s="9"/>
      <c r="XDN96" s="9"/>
      <c r="XDO96" s="9"/>
      <c r="XDP96" s="9"/>
      <c r="XDQ96" s="9"/>
      <c r="XDR96" s="9"/>
      <c r="XDS96" s="9"/>
      <c r="XDT96" s="9"/>
      <c r="XDU96" s="9"/>
      <c r="XDV96" s="9"/>
      <c r="XDW96" s="9"/>
      <c r="XDX96" s="9"/>
      <c r="XDY96" s="9"/>
      <c r="XDZ96" s="9"/>
      <c r="XEA96" s="9"/>
      <c r="XEB96" s="9"/>
      <c r="XEC96" s="9"/>
      <c r="XED96" s="9"/>
      <c r="XEE96" s="9"/>
      <c r="XEF96" s="9"/>
      <c r="XEG96" s="9"/>
      <c r="XEH96" s="9"/>
      <c r="XEI96" s="9"/>
      <c r="XEJ96" s="9"/>
      <c r="XEK96" s="9"/>
      <c r="XEL96" s="9"/>
      <c r="XEM96" s="9"/>
      <c r="XEN96" s="9"/>
      <c r="XEO96" s="9"/>
      <c r="XEP96" s="9"/>
      <c r="XEQ96" s="9"/>
      <c r="XER96" s="9"/>
      <c r="XES96" s="9"/>
      <c r="XET96" s="9"/>
      <c r="XEU96" s="9"/>
      <c r="XEV96" s="9"/>
      <c r="XEW96" s="9"/>
      <c r="XEX96" s="9"/>
      <c r="XEY96" s="9"/>
      <c r="XEZ96" s="9"/>
      <c r="XFA96" s="9"/>
      <c r="XFB96" s="9"/>
      <c r="XFC96" s="9"/>
      <c r="XFD96" s="9"/>
    </row>
    <row r="97" spans="1:8 16325:16384" s="3" customFormat="1" ht="19.95" customHeight="1">
      <c r="A97" s="6" t="str">
        <f t="shared" si="3"/>
        <v>040004</v>
      </c>
      <c r="B97" s="6" t="s">
        <v>13</v>
      </c>
      <c r="C97" s="6" t="s">
        <v>10</v>
      </c>
      <c r="D97" s="6" t="str">
        <f>"512732416"</f>
        <v>512732416</v>
      </c>
      <c r="E97" s="7">
        <v>68.5</v>
      </c>
      <c r="F97" s="7">
        <v>65.5</v>
      </c>
      <c r="G97" s="7"/>
      <c r="H97" s="7">
        <v>67.3</v>
      </c>
      <c r="XCW97" s="9"/>
      <c r="XCX97" s="9"/>
      <c r="XCY97" s="9"/>
      <c r="XCZ97" s="9"/>
      <c r="XDA97" s="9"/>
      <c r="XDB97" s="9"/>
      <c r="XDC97" s="9"/>
      <c r="XDD97" s="9"/>
      <c r="XDE97" s="9"/>
      <c r="XDF97" s="9"/>
      <c r="XDG97" s="9"/>
      <c r="XDH97" s="9"/>
      <c r="XDI97" s="9"/>
      <c r="XDJ97" s="9"/>
      <c r="XDK97" s="9"/>
      <c r="XDL97" s="9"/>
      <c r="XDM97" s="9"/>
      <c r="XDN97" s="9"/>
      <c r="XDO97" s="9"/>
      <c r="XDP97" s="9"/>
      <c r="XDQ97" s="9"/>
      <c r="XDR97" s="9"/>
      <c r="XDS97" s="9"/>
      <c r="XDT97" s="9"/>
      <c r="XDU97" s="9"/>
      <c r="XDV97" s="9"/>
      <c r="XDW97" s="9"/>
      <c r="XDX97" s="9"/>
      <c r="XDY97" s="9"/>
      <c r="XDZ97" s="9"/>
      <c r="XEA97" s="9"/>
      <c r="XEB97" s="9"/>
      <c r="XEC97" s="9"/>
      <c r="XED97" s="9"/>
      <c r="XEE97" s="9"/>
      <c r="XEF97" s="9"/>
      <c r="XEG97" s="9"/>
      <c r="XEH97" s="9"/>
      <c r="XEI97" s="9"/>
      <c r="XEJ97" s="9"/>
      <c r="XEK97" s="9"/>
      <c r="XEL97" s="9"/>
      <c r="XEM97" s="9"/>
      <c r="XEN97" s="9"/>
      <c r="XEO97" s="9"/>
      <c r="XEP97" s="9"/>
      <c r="XEQ97" s="9"/>
      <c r="XER97" s="9"/>
      <c r="XES97" s="9"/>
      <c r="XET97" s="9"/>
      <c r="XEU97" s="9"/>
      <c r="XEV97" s="9"/>
      <c r="XEW97" s="9"/>
      <c r="XEX97" s="9"/>
      <c r="XEY97" s="9"/>
      <c r="XEZ97" s="9"/>
      <c r="XFA97" s="9"/>
      <c r="XFB97" s="9"/>
      <c r="XFC97" s="9"/>
      <c r="XFD97" s="9"/>
    </row>
    <row r="98" spans="1:8 16325:16384" s="3" customFormat="1" ht="19.95" customHeight="1">
      <c r="A98" s="6" t="str">
        <f t="shared" si="3"/>
        <v>040004</v>
      </c>
      <c r="B98" s="6" t="s">
        <v>13</v>
      </c>
      <c r="C98" s="6" t="s">
        <v>10</v>
      </c>
      <c r="D98" s="6" t="str">
        <f>"512732411"</f>
        <v>512732411</v>
      </c>
      <c r="E98" s="7">
        <v>0</v>
      </c>
      <c r="F98" s="7">
        <v>0</v>
      </c>
      <c r="G98" s="7"/>
      <c r="H98" s="7">
        <v>0</v>
      </c>
      <c r="XCW98" s="9"/>
      <c r="XCX98" s="9"/>
      <c r="XCY98" s="9"/>
      <c r="XCZ98" s="9"/>
      <c r="XDA98" s="9"/>
      <c r="XDB98" s="9"/>
      <c r="XDC98" s="9"/>
      <c r="XDD98" s="9"/>
      <c r="XDE98" s="9"/>
      <c r="XDF98" s="9"/>
      <c r="XDG98" s="9"/>
      <c r="XDH98" s="9"/>
      <c r="XDI98" s="9"/>
      <c r="XDJ98" s="9"/>
      <c r="XDK98" s="9"/>
      <c r="XDL98" s="9"/>
      <c r="XDM98" s="9"/>
      <c r="XDN98" s="9"/>
      <c r="XDO98" s="9"/>
      <c r="XDP98" s="9"/>
      <c r="XDQ98" s="9"/>
      <c r="XDR98" s="9"/>
      <c r="XDS98" s="9"/>
      <c r="XDT98" s="9"/>
      <c r="XDU98" s="9"/>
      <c r="XDV98" s="9"/>
      <c r="XDW98" s="9"/>
      <c r="XDX98" s="9"/>
      <c r="XDY98" s="9"/>
      <c r="XDZ98" s="9"/>
      <c r="XEA98" s="9"/>
      <c r="XEB98" s="9"/>
      <c r="XEC98" s="9"/>
      <c r="XED98" s="9"/>
      <c r="XEE98" s="9"/>
      <c r="XEF98" s="9"/>
      <c r="XEG98" s="9"/>
      <c r="XEH98" s="9"/>
      <c r="XEI98" s="9"/>
      <c r="XEJ98" s="9"/>
      <c r="XEK98" s="9"/>
      <c r="XEL98" s="9"/>
      <c r="XEM98" s="9"/>
      <c r="XEN98" s="9"/>
      <c r="XEO98" s="9"/>
      <c r="XEP98" s="9"/>
      <c r="XEQ98" s="9"/>
      <c r="XER98" s="9"/>
      <c r="XES98" s="9"/>
      <c r="XET98" s="9"/>
      <c r="XEU98" s="9"/>
      <c r="XEV98" s="9"/>
      <c r="XEW98" s="9"/>
      <c r="XEX98" s="9"/>
      <c r="XEY98" s="9"/>
      <c r="XEZ98" s="9"/>
      <c r="XFA98" s="9"/>
      <c r="XFB98" s="9"/>
      <c r="XFC98" s="9"/>
      <c r="XFD98" s="9"/>
    </row>
    <row r="99" spans="1:8 16325:16384" s="3" customFormat="1" ht="19.95" customHeight="1">
      <c r="A99" s="6" t="str">
        <f t="shared" si="3"/>
        <v>040004</v>
      </c>
      <c r="B99" s="6" t="s">
        <v>13</v>
      </c>
      <c r="C99" s="6" t="s">
        <v>10</v>
      </c>
      <c r="D99" s="6" t="str">
        <f>"512732420"</f>
        <v>512732420</v>
      </c>
      <c r="E99" s="7">
        <v>0</v>
      </c>
      <c r="F99" s="7">
        <v>0</v>
      </c>
      <c r="G99" s="7"/>
      <c r="H99" s="7">
        <v>0</v>
      </c>
      <c r="XCW99" s="9"/>
      <c r="XCX99" s="9"/>
      <c r="XCY99" s="9"/>
      <c r="XCZ99" s="9"/>
      <c r="XDA99" s="9"/>
      <c r="XDB99" s="9"/>
      <c r="XDC99" s="9"/>
      <c r="XDD99" s="9"/>
      <c r="XDE99" s="9"/>
      <c r="XDF99" s="9"/>
      <c r="XDG99" s="9"/>
      <c r="XDH99" s="9"/>
      <c r="XDI99" s="9"/>
      <c r="XDJ99" s="9"/>
      <c r="XDK99" s="9"/>
      <c r="XDL99" s="9"/>
      <c r="XDM99" s="9"/>
      <c r="XDN99" s="9"/>
      <c r="XDO99" s="9"/>
      <c r="XDP99" s="9"/>
      <c r="XDQ99" s="9"/>
      <c r="XDR99" s="9"/>
      <c r="XDS99" s="9"/>
      <c r="XDT99" s="9"/>
      <c r="XDU99" s="9"/>
      <c r="XDV99" s="9"/>
      <c r="XDW99" s="9"/>
      <c r="XDX99" s="9"/>
      <c r="XDY99" s="9"/>
      <c r="XDZ99" s="9"/>
      <c r="XEA99" s="9"/>
      <c r="XEB99" s="9"/>
      <c r="XEC99" s="9"/>
      <c r="XED99" s="9"/>
      <c r="XEE99" s="9"/>
      <c r="XEF99" s="9"/>
      <c r="XEG99" s="9"/>
      <c r="XEH99" s="9"/>
      <c r="XEI99" s="9"/>
      <c r="XEJ99" s="9"/>
      <c r="XEK99" s="9"/>
      <c r="XEL99" s="9"/>
      <c r="XEM99" s="9"/>
      <c r="XEN99" s="9"/>
      <c r="XEO99" s="9"/>
      <c r="XEP99" s="9"/>
      <c r="XEQ99" s="9"/>
      <c r="XER99" s="9"/>
      <c r="XES99" s="9"/>
      <c r="XET99" s="9"/>
      <c r="XEU99" s="9"/>
      <c r="XEV99" s="9"/>
      <c r="XEW99" s="9"/>
      <c r="XEX99" s="9"/>
      <c r="XEY99" s="9"/>
      <c r="XEZ99" s="9"/>
      <c r="XFA99" s="9"/>
      <c r="XFB99" s="9"/>
      <c r="XFC99" s="9"/>
      <c r="XFD99" s="9"/>
    </row>
    <row r="100" spans="1:8 16325:16384" s="3" customFormat="1" ht="19.95" customHeight="1">
      <c r="A100" s="6" t="str">
        <f t="shared" si="3"/>
        <v>040004</v>
      </c>
      <c r="B100" s="6" t="s">
        <v>13</v>
      </c>
      <c r="C100" s="6" t="s">
        <v>10</v>
      </c>
      <c r="D100" s="6" t="str">
        <f>"512732413"</f>
        <v>512732413</v>
      </c>
      <c r="E100" s="7">
        <v>0</v>
      </c>
      <c r="F100" s="7">
        <v>0</v>
      </c>
      <c r="G100" s="7"/>
      <c r="H100" s="7">
        <v>0</v>
      </c>
      <c r="XCW100" s="9"/>
      <c r="XCX100" s="9"/>
      <c r="XCY100" s="9"/>
      <c r="XCZ100" s="9"/>
      <c r="XDA100" s="9"/>
      <c r="XDB100" s="9"/>
      <c r="XDC100" s="9"/>
      <c r="XDD100" s="9"/>
      <c r="XDE100" s="9"/>
      <c r="XDF100" s="9"/>
      <c r="XDG100" s="9"/>
      <c r="XDH100" s="9"/>
      <c r="XDI100" s="9"/>
      <c r="XDJ100" s="9"/>
      <c r="XDK100" s="9"/>
      <c r="XDL100" s="9"/>
      <c r="XDM100" s="9"/>
      <c r="XDN100" s="9"/>
      <c r="XDO100" s="9"/>
      <c r="XDP100" s="9"/>
      <c r="XDQ100" s="9"/>
      <c r="XDR100" s="9"/>
      <c r="XDS100" s="9"/>
      <c r="XDT100" s="9"/>
      <c r="XDU100" s="9"/>
      <c r="XDV100" s="9"/>
      <c r="XDW100" s="9"/>
      <c r="XDX100" s="9"/>
      <c r="XDY100" s="9"/>
      <c r="XDZ100" s="9"/>
      <c r="XEA100" s="9"/>
      <c r="XEB100" s="9"/>
      <c r="XEC100" s="9"/>
      <c r="XED100" s="9"/>
      <c r="XEE100" s="9"/>
      <c r="XEF100" s="9"/>
      <c r="XEG100" s="9"/>
      <c r="XEH100" s="9"/>
      <c r="XEI100" s="9"/>
      <c r="XEJ100" s="9"/>
      <c r="XEK100" s="9"/>
      <c r="XEL100" s="9"/>
      <c r="XEM100" s="9"/>
      <c r="XEN100" s="9"/>
      <c r="XEO100" s="9"/>
      <c r="XEP100" s="9"/>
      <c r="XEQ100" s="9"/>
      <c r="XER100" s="9"/>
      <c r="XES100" s="9"/>
      <c r="XET100" s="9"/>
      <c r="XEU100" s="9"/>
      <c r="XEV100" s="9"/>
      <c r="XEW100" s="9"/>
      <c r="XEX100" s="9"/>
      <c r="XEY100" s="9"/>
      <c r="XEZ100" s="9"/>
      <c r="XFA100" s="9"/>
      <c r="XFB100" s="9"/>
      <c r="XFC100" s="9"/>
      <c r="XFD100" s="9"/>
    </row>
    <row r="101" spans="1:8 16325:16384" s="3" customFormat="1" ht="19.95" customHeight="1">
      <c r="A101" s="6" t="str">
        <f t="shared" si="3"/>
        <v>040004</v>
      </c>
      <c r="B101" s="6" t="s">
        <v>13</v>
      </c>
      <c r="C101" s="6" t="s">
        <v>10</v>
      </c>
      <c r="D101" s="6" t="str">
        <f>"512732426"</f>
        <v>512732426</v>
      </c>
      <c r="E101" s="7">
        <v>0</v>
      </c>
      <c r="F101" s="7">
        <v>69.5</v>
      </c>
      <c r="G101" s="7"/>
      <c r="H101" s="7">
        <v>27.8</v>
      </c>
      <c r="XCW101" s="9"/>
      <c r="XCX101" s="9"/>
      <c r="XCY101" s="9"/>
      <c r="XCZ101" s="9"/>
      <c r="XDA101" s="9"/>
      <c r="XDB101" s="9"/>
      <c r="XDC101" s="9"/>
      <c r="XDD101" s="9"/>
      <c r="XDE101" s="9"/>
      <c r="XDF101" s="9"/>
      <c r="XDG101" s="9"/>
      <c r="XDH101" s="9"/>
      <c r="XDI101" s="9"/>
      <c r="XDJ101" s="9"/>
      <c r="XDK101" s="9"/>
      <c r="XDL101" s="9"/>
      <c r="XDM101" s="9"/>
      <c r="XDN101" s="9"/>
      <c r="XDO101" s="9"/>
      <c r="XDP101" s="9"/>
      <c r="XDQ101" s="9"/>
      <c r="XDR101" s="9"/>
      <c r="XDS101" s="9"/>
      <c r="XDT101" s="9"/>
      <c r="XDU101" s="9"/>
      <c r="XDV101" s="9"/>
      <c r="XDW101" s="9"/>
      <c r="XDX101" s="9"/>
      <c r="XDY101" s="9"/>
      <c r="XDZ101" s="9"/>
      <c r="XEA101" s="9"/>
      <c r="XEB101" s="9"/>
      <c r="XEC101" s="9"/>
      <c r="XED101" s="9"/>
      <c r="XEE101" s="9"/>
      <c r="XEF101" s="9"/>
      <c r="XEG101" s="9"/>
      <c r="XEH101" s="9"/>
      <c r="XEI101" s="9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  <c r="XEU101" s="9"/>
      <c r="XEV101" s="9"/>
      <c r="XEW101" s="9"/>
      <c r="XEX101" s="9"/>
      <c r="XEY101" s="9"/>
      <c r="XEZ101" s="9"/>
      <c r="XFA101" s="9"/>
      <c r="XFB101" s="9"/>
      <c r="XFC101" s="9"/>
      <c r="XFD101" s="9"/>
    </row>
    <row r="102" spans="1:8 16325:16384" s="3" customFormat="1" ht="19.95" customHeight="1">
      <c r="A102" s="6" t="str">
        <f t="shared" si="3"/>
        <v>040004</v>
      </c>
      <c r="B102" s="6" t="s">
        <v>13</v>
      </c>
      <c r="C102" s="6" t="s">
        <v>10</v>
      </c>
      <c r="D102" s="6" t="str">
        <f>"512732423"</f>
        <v>512732423</v>
      </c>
      <c r="E102" s="7">
        <v>0</v>
      </c>
      <c r="F102" s="7">
        <v>0</v>
      </c>
      <c r="G102" s="7"/>
      <c r="H102" s="7">
        <v>0</v>
      </c>
      <c r="XCW102" s="9"/>
      <c r="XCX102" s="9"/>
      <c r="XCY102" s="9"/>
      <c r="XCZ102" s="9"/>
      <c r="XDA102" s="9"/>
      <c r="XDB102" s="9"/>
      <c r="XDC102" s="9"/>
      <c r="XDD102" s="9"/>
      <c r="XDE102" s="9"/>
      <c r="XDF102" s="9"/>
      <c r="XDG102" s="9"/>
      <c r="XDH102" s="9"/>
      <c r="XDI102" s="9"/>
      <c r="XDJ102" s="9"/>
      <c r="XDK102" s="9"/>
      <c r="XDL102" s="9"/>
      <c r="XDM102" s="9"/>
      <c r="XDN102" s="9"/>
      <c r="XDO102" s="9"/>
      <c r="XDP102" s="9"/>
      <c r="XDQ102" s="9"/>
      <c r="XDR102" s="9"/>
      <c r="XDS102" s="9"/>
      <c r="XDT102" s="9"/>
      <c r="XDU102" s="9"/>
      <c r="XDV102" s="9"/>
      <c r="XDW102" s="9"/>
      <c r="XDX102" s="9"/>
      <c r="XDY102" s="9"/>
      <c r="XDZ102" s="9"/>
      <c r="XEA102" s="9"/>
      <c r="XEB102" s="9"/>
      <c r="XEC102" s="9"/>
      <c r="XED102" s="9"/>
      <c r="XEE102" s="9"/>
      <c r="XEF102" s="9"/>
      <c r="XEG102" s="9"/>
      <c r="XEH102" s="9"/>
      <c r="XEI102" s="9"/>
      <c r="XEJ102" s="9"/>
      <c r="XEK102" s="9"/>
      <c r="XEL102" s="9"/>
      <c r="XEM102" s="9"/>
      <c r="XEN102" s="9"/>
      <c r="XEO102" s="9"/>
      <c r="XEP102" s="9"/>
      <c r="XEQ102" s="9"/>
      <c r="XER102" s="9"/>
      <c r="XES102" s="9"/>
      <c r="XET102" s="9"/>
      <c r="XEU102" s="9"/>
      <c r="XEV102" s="9"/>
      <c r="XEW102" s="9"/>
      <c r="XEX102" s="9"/>
      <c r="XEY102" s="9"/>
      <c r="XEZ102" s="9"/>
      <c r="XFA102" s="9"/>
      <c r="XFB102" s="9"/>
      <c r="XFC102" s="9"/>
      <c r="XFD102" s="9"/>
    </row>
    <row r="103" spans="1:8 16325:16384" s="3" customFormat="1" ht="19.95" customHeight="1">
      <c r="A103" s="6" t="str">
        <f t="shared" si="3"/>
        <v>040004</v>
      </c>
      <c r="B103" s="6" t="s">
        <v>13</v>
      </c>
      <c r="C103" s="6" t="s">
        <v>10</v>
      </c>
      <c r="D103" s="6" t="str">
        <f>"512732414"</f>
        <v>512732414</v>
      </c>
      <c r="E103" s="7">
        <v>88.5</v>
      </c>
      <c r="F103" s="7">
        <v>86.5</v>
      </c>
      <c r="G103" s="7"/>
      <c r="H103" s="7">
        <v>87.7</v>
      </c>
      <c r="XCW103" s="9"/>
      <c r="XCX103" s="9"/>
      <c r="XCY103" s="9"/>
      <c r="XCZ103" s="9"/>
      <c r="XDA103" s="9"/>
      <c r="XDB103" s="9"/>
      <c r="XDC103" s="9"/>
      <c r="XDD103" s="9"/>
      <c r="XDE103" s="9"/>
      <c r="XDF103" s="9"/>
      <c r="XDG103" s="9"/>
      <c r="XDH103" s="9"/>
      <c r="XDI103" s="9"/>
      <c r="XDJ103" s="9"/>
      <c r="XDK103" s="9"/>
      <c r="XDL103" s="9"/>
      <c r="XDM103" s="9"/>
      <c r="XDN103" s="9"/>
      <c r="XDO103" s="9"/>
      <c r="XDP103" s="9"/>
      <c r="XDQ103" s="9"/>
      <c r="XDR103" s="9"/>
      <c r="XDS103" s="9"/>
      <c r="XDT103" s="9"/>
      <c r="XDU103" s="9"/>
      <c r="XDV103" s="9"/>
      <c r="XDW103" s="9"/>
      <c r="XDX103" s="9"/>
      <c r="XDY103" s="9"/>
      <c r="XDZ103" s="9"/>
      <c r="XEA103" s="9"/>
      <c r="XEB103" s="9"/>
      <c r="XEC103" s="9"/>
      <c r="XED103" s="9"/>
      <c r="XEE103" s="9"/>
      <c r="XEF103" s="9"/>
      <c r="XEG103" s="9"/>
      <c r="XEH103" s="9"/>
      <c r="XEI103" s="9"/>
      <c r="XEJ103" s="9"/>
      <c r="XEK103" s="9"/>
      <c r="XEL103" s="9"/>
      <c r="XEM103" s="9"/>
      <c r="XEN103" s="9"/>
      <c r="XEO103" s="9"/>
      <c r="XEP103" s="9"/>
      <c r="XEQ103" s="9"/>
      <c r="XER103" s="9"/>
      <c r="XES103" s="9"/>
      <c r="XET103" s="9"/>
      <c r="XEU103" s="9"/>
      <c r="XEV103" s="9"/>
      <c r="XEW103" s="9"/>
      <c r="XEX103" s="9"/>
      <c r="XEY103" s="9"/>
      <c r="XEZ103" s="9"/>
      <c r="XFA103" s="9"/>
      <c r="XFB103" s="9"/>
      <c r="XFC103" s="9"/>
      <c r="XFD103" s="9"/>
    </row>
    <row r="104" spans="1:8 16325:16384" s="3" customFormat="1" ht="19.95" customHeight="1">
      <c r="A104" s="6" t="str">
        <f t="shared" si="3"/>
        <v>040004</v>
      </c>
      <c r="B104" s="6" t="s">
        <v>13</v>
      </c>
      <c r="C104" s="6" t="s">
        <v>10</v>
      </c>
      <c r="D104" s="6" t="str">
        <f>"512732412"</f>
        <v>512732412</v>
      </c>
      <c r="E104" s="7">
        <v>0</v>
      </c>
      <c r="F104" s="7">
        <v>0</v>
      </c>
      <c r="G104" s="7"/>
      <c r="H104" s="7">
        <v>0</v>
      </c>
      <c r="XCW104" s="9"/>
      <c r="XCX104" s="9"/>
      <c r="XCY104" s="9"/>
      <c r="XCZ104" s="9"/>
      <c r="XDA104" s="9"/>
      <c r="XDB104" s="9"/>
      <c r="XDC104" s="9"/>
      <c r="XDD104" s="9"/>
      <c r="XDE104" s="9"/>
      <c r="XDF104" s="9"/>
      <c r="XDG104" s="9"/>
      <c r="XDH104" s="9"/>
      <c r="XDI104" s="9"/>
      <c r="XDJ104" s="9"/>
      <c r="XDK104" s="9"/>
      <c r="XDL104" s="9"/>
      <c r="XDM104" s="9"/>
      <c r="XDN104" s="9"/>
      <c r="XDO104" s="9"/>
      <c r="XDP104" s="9"/>
      <c r="XDQ104" s="9"/>
      <c r="XDR104" s="9"/>
      <c r="XDS104" s="9"/>
      <c r="XDT104" s="9"/>
      <c r="XDU104" s="9"/>
      <c r="XDV104" s="9"/>
      <c r="XDW104" s="9"/>
      <c r="XDX104" s="9"/>
      <c r="XDY104" s="9"/>
      <c r="XDZ104" s="9"/>
      <c r="XEA104" s="9"/>
      <c r="XEB104" s="9"/>
      <c r="XEC104" s="9"/>
      <c r="XED104" s="9"/>
      <c r="XEE104" s="9"/>
      <c r="XEF104" s="9"/>
      <c r="XEG104" s="9"/>
      <c r="XEH104" s="9"/>
      <c r="XEI104" s="9"/>
      <c r="XEJ104" s="9"/>
      <c r="XEK104" s="9"/>
      <c r="XEL104" s="9"/>
      <c r="XEM104" s="9"/>
      <c r="XEN104" s="9"/>
      <c r="XEO104" s="9"/>
      <c r="XEP104" s="9"/>
      <c r="XEQ104" s="9"/>
      <c r="XER104" s="9"/>
      <c r="XES104" s="9"/>
      <c r="XET104" s="9"/>
      <c r="XEU104" s="9"/>
      <c r="XEV104" s="9"/>
      <c r="XEW104" s="9"/>
      <c r="XEX104" s="9"/>
      <c r="XEY104" s="9"/>
      <c r="XEZ104" s="9"/>
      <c r="XFA104" s="9"/>
      <c r="XFB104" s="9"/>
      <c r="XFC104" s="9"/>
      <c r="XFD104" s="9"/>
    </row>
    <row r="105" spans="1:8 16325:16384" s="3" customFormat="1" ht="19.95" customHeight="1">
      <c r="A105" s="6" t="str">
        <f t="shared" si="3"/>
        <v>040004</v>
      </c>
      <c r="B105" s="6" t="s">
        <v>13</v>
      </c>
      <c r="C105" s="6" t="s">
        <v>10</v>
      </c>
      <c r="D105" s="6" t="str">
        <f>"512732418"</f>
        <v>512732418</v>
      </c>
      <c r="E105" s="7">
        <v>95</v>
      </c>
      <c r="F105" s="7">
        <v>92</v>
      </c>
      <c r="G105" s="7"/>
      <c r="H105" s="7">
        <v>93.8</v>
      </c>
      <c r="XCW105" s="9"/>
      <c r="XCX105" s="9"/>
      <c r="XCY105" s="9"/>
      <c r="XCZ105" s="9"/>
      <c r="XDA105" s="9"/>
      <c r="XDB105" s="9"/>
      <c r="XDC105" s="9"/>
      <c r="XDD105" s="9"/>
      <c r="XDE105" s="9"/>
      <c r="XDF105" s="9"/>
      <c r="XDG105" s="9"/>
      <c r="XDH105" s="9"/>
      <c r="XDI105" s="9"/>
      <c r="XDJ105" s="9"/>
      <c r="XDK105" s="9"/>
      <c r="XDL105" s="9"/>
      <c r="XDM105" s="9"/>
      <c r="XDN105" s="9"/>
      <c r="XDO105" s="9"/>
      <c r="XDP105" s="9"/>
      <c r="XDQ105" s="9"/>
      <c r="XDR105" s="9"/>
      <c r="XDS105" s="9"/>
      <c r="XDT105" s="9"/>
      <c r="XDU105" s="9"/>
      <c r="XDV105" s="9"/>
      <c r="XDW105" s="9"/>
      <c r="XDX105" s="9"/>
      <c r="XDY105" s="9"/>
      <c r="XDZ105" s="9"/>
      <c r="XEA105" s="9"/>
      <c r="XEB105" s="9"/>
      <c r="XEC105" s="9"/>
      <c r="XED105" s="9"/>
      <c r="XEE105" s="9"/>
      <c r="XEF105" s="9"/>
      <c r="XEG105" s="9"/>
      <c r="XEH105" s="9"/>
      <c r="XEI105" s="9"/>
      <c r="XEJ105" s="9"/>
      <c r="XEK105" s="9"/>
      <c r="XEL105" s="9"/>
      <c r="XEM105" s="9"/>
      <c r="XEN105" s="9"/>
      <c r="XEO105" s="9"/>
      <c r="XEP105" s="9"/>
      <c r="XEQ105" s="9"/>
      <c r="XER105" s="9"/>
      <c r="XES105" s="9"/>
      <c r="XET105" s="9"/>
      <c r="XEU105" s="9"/>
      <c r="XEV105" s="9"/>
      <c r="XEW105" s="9"/>
      <c r="XEX105" s="9"/>
      <c r="XEY105" s="9"/>
      <c r="XEZ105" s="9"/>
      <c r="XFA105" s="9"/>
      <c r="XFB105" s="9"/>
      <c r="XFC105" s="9"/>
      <c r="XFD105" s="9"/>
    </row>
    <row r="106" spans="1:8 16325:16384" s="3" customFormat="1" ht="19.95" customHeight="1">
      <c r="A106" s="6" t="str">
        <f t="shared" si="3"/>
        <v>040004</v>
      </c>
      <c r="B106" s="6" t="s">
        <v>13</v>
      </c>
      <c r="C106" s="6" t="s">
        <v>10</v>
      </c>
      <c r="D106" s="6" t="str">
        <f>"512732410"</f>
        <v>512732410</v>
      </c>
      <c r="E106" s="7">
        <v>71.5</v>
      </c>
      <c r="F106" s="7">
        <v>53.5</v>
      </c>
      <c r="G106" s="7"/>
      <c r="H106" s="7">
        <v>64.3</v>
      </c>
      <c r="XCW106" s="9"/>
      <c r="XCX106" s="9"/>
      <c r="XCY106" s="9"/>
      <c r="XCZ106" s="9"/>
      <c r="XDA106" s="9"/>
      <c r="XDB106" s="9"/>
      <c r="XDC106" s="9"/>
      <c r="XDD106" s="9"/>
      <c r="XDE106" s="9"/>
      <c r="XDF106" s="9"/>
      <c r="XDG106" s="9"/>
      <c r="XDH106" s="9"/>
      <c r="XDI106" s="9"/>
      <c r="XDJ106" s="9"/>
      <c r="XDK106" s="9"/>
      <c r="XDL106" s="9"/>
      <c r="XDM106" s="9"/>
      <c r="XDN106" s="9"/>
      <c r="XDO106" s="9"/>
      <c r="XDP106" s="9"/>
      <c r="XDQ106" s="9"/>
      <c r="XDR106" s="9"/>
      <c r="XDS106" s="9"/>
      <c r="XDT106" s="9"/>
      <c r="XDU106" s="9"/>
      <c r="XDV106" s="9"/>
      <c r="XDW106" s="9"/>
      <c r="XDX106" s="9"/>
      <c r="XDY106" s="9"/>
      <c r="XDZ106" s="9"/>
      <c r="XEA106" s="9"/>
      <c r="XEB106" s="9"/>
      <c r="XEC106" s="9"/>
      <c r="XED106" s="9"/>
      <c r="XEE106" s="9"/>
      <c r="XEF106" s="9"/>
      <c r="XEG106" s="9"/>
      <c r="XEH106" s="9"/>
      <c r="XEI106" s="9"/>
      <c r="XEJ106" s="9"/>
      <c r="XEK106" s="9"/>
      <c r="XEL106" s="9"/>
      <c r="XEM106" s="9"/>
      <c r="XEN106" s="9"/>
      <c r="XEO106" s="9"/>
      <c r="XEP106" s="9"/>
      <c r="XEQ106" s="9"/>
      <c r="XER106" s="9"/>
      <c r="XES106" s="9"/>
      <c r="XET106" s="9"/>
      <c r="XEU106" s="9"/>
      <c r="XEV106" s="9"/>
      <c r="XEW106" s="9"/>
      <c r="XEX106" s="9"/>
      <c r="XEY106" s="9"/>
      <c r="XEZ106" s="9"/>
      <c r="XFA106" s="9"/>
      <c r="XFB106" s="9"/>
      <c r="XFC106" s="9"/>
      <c r="XFD106" s="9"/>
    </row>
    <row r="107" spans="1:8 16325:16384" s="3" customFormat="1" ht="19.95" customHeight="1">
      <c r="A107" s="6" t="str">
        <f t="shared" si="3"/>
        <v>040004</v>
      </c>
      <c r="B107" s="6" t="s">
        <v>13</v>
      </c>
      <c r="C107" s="6" t="s">
        <v>10</v>
      </c>
      <c r="D107" s="6" t="str">
        <f>"512732427"</f>
        <v>512732427</v>
      </c>
      <c r="E107" s="7">
        <v>90.5</v>
      </c>
      <c r="F107" s="7">
        <v>68</v>
      </c>
      <c r="G107" s="7"/>
      <c r="H107" s="7">
        <v>81.5</v>
      </c>
      <c r="XCW107" s="9"/>
      <c r="XCX107" s="9"/>
      <c r="XCY107" s="9"/>
      <c r="XCZ107" s="9"/>
      <c r="XDA107" s="9"/>
      <c r="XDB107" s="9"/>
      <c r="XDC107" s="9"/>
      <c r="XDD107" s="9"/>
      <c r="XDE107" s="9"/>
      <c r="XDF107" s="9"/>
      <c r="XDG107" s="9"/>
      <c r="XDH107" s="9"/>
      <c r="XDI107" s="9"/>
      <c r="XDJ107" s="9"/>
      <c r="XDK107" s="9"/>
      <c r="XDL107" s="9"/>
      <c r="XDM107" s="9"/>
      <c r="XDN107" s="9"/>
      <c r="XDO107" s="9"/>
      <c r="XDP107" s="9"/>
      <c r="XDQ107" s="9"/>
      <c r="XDR107" s="9"/>
      <c r="XDS107" s="9"/>
      <c r="XDT107" s="9"/>
      <c r="XDU107" s="9"/>
      <c r="XDV107" s="9"/>
      <c r="XDW107" s="9"/>
      <c r="XDX107" s="9"/>
      <c r="XDY107" s="9"/>
      <c r="XDZ107" s="9"/>
      <c r="XEA107" s="9"/>
      <c r="XEB107" s="9"/>
      <c r="XEC107" s="9"/>
      <c r="XED107" s="9"/>
      <c r="XEE107" s="9"/>
      <c r="XEF107" s="9"/>
      <c r="XEG107" s="9"/>
      <c r="XEH107" s="9"/>
      <c r="XEI107" s="9"/>
      <c r="XEJ107" s="9"/>
      <c r="XEK107" s="9"/>
      <c r="XEL107" s="9"/>
      <c r="XEM107" s="9"/>
      <c r="XEN107" s="9"/>
      <c r="XEO107" s="9"/>
      <c r="XEP107" s="9"/>
      <c r="XEQ107" s="9"/>
      <c r="XER107" s="9"/>
      <c r="XES107" s="9"/>
      <c r="XET107" s="9"/>
      <c r="XEU107" s="9"/>
      <c r="XEV107" s="9"/>
      <c r="XEW107" s="9"/>
      <c r="XEX107" s="9"/>
      <c r="XEY107" s="9"/>
      <c r="XEZ107" s="9"/>
      <c r="XFA107" s="9"/>
      <c r="XFB107" s="9"/>
      <c r="XFC107" s="9"/>
      <c r="XFD107" s="9"/>
    </row>
    <row r="108" spans="1:8 16325:16384" s="3" customFormat="1" ht="19.95" customHeight="1">
      <c r="A108" s="6" t="str">
        <f t="shared" si="3"/>
        <v>040004</v>
      </c>
      <c r="B108" s="6" t="s">
        <v>13</v>
      </c>
      <c r="C108" s="6" t="s">
        <v>10</v>
      </c>
      <c r="D108" s="6" t="str">
        <f>"512732422"</f>
        <v>512732422</v>
      </c>
      <c r="E108" s="7">
        <v>82</v>
      </c>
      <c r="F108" s="7">
        <v>84.5</v>
      </c>
      <c r="G108" s="7"/>
      <c r="H108" s="7">
        <v>83</v>
      </c>
      <c r="XCW108" s="9"/>
      <c r="XCX108" s="9"/>
      <c r="XCY108" s="9"/>
      <c r="XCZ108" s="9"/>
      <c r="XDA108" s="9"/>
      <c r="XDB108" s="9"/>
      <c r="XDC108" s="9"/>
      <c r="XDD108" s="9"/>
      <c r="XDE108" s="9"/>
      <c r="XDF108" s="9"/>
      <c r="XDG108" s="9"/>
      <c r="XDH108" s="9"/>
      <c r="XDI108" s="9"/>
      <c r="XDJ108" s="9"/>
      <c r="XDK108" s="9"/>
      <c r="XDL108" s="9"/>
      <c r="XDM108" s="9"/>
      <c r="XDN108" s="9"/>
      <c r="XDO108" s="9"/>
      <c r="XDP108" s="9"/>
      <c r="XDQ108" s="9"/>
      <c r="XDR108" s="9"/>
      <c r="XDS108" s="9"/>
      <c r="XDT108" s="9"/>
      <c r="XDU108" s="9"/>
      <c r="XDV108" s="9"/>
      <c r="XDW108" s="9"/>
      <c r="XDX108" s="9"/>
      <c r="XDY108" s="9"/>
      <c r="XDZ108" s="9"/>
      <c r="XEA108" s="9"/>
      <c r="XEB108" s="9"/>
      <c r="XEC108" s="9"/>
      <c r="XED108" s="9"/>
      <c r="XEE108" s="9"/>
      <c r="XEF108" s="9"/>
      <c r="XEG108" s="9"/>
      <c r="XEH108" s="9"/>
      <c r="XEI108" s="9"/>
      <c r="XEJ108" s="9"/>
      <c r="XEK108" s="9"/>
      <c r="XEL108" s="9"/>
      <c r="XEM108" s="9"/>
      <c r="XEN108" s="9"/>
      <c r="XEO108" s="9"/>
      <c r="XEP108" s="9"/>
      <c r="XEQ108" s="9"/>
      <c r="XER108" s="9"/>
      <c r="XES108" s="9"/>
      <c r="XET108" s="9"/>
      <c r="XEU108" s="9"/>
      <c r="XEV108" s="9"/>
      <c r="XEW108" s="9"/>
      <c r="XEX108" s="9"/>
      <c r="XEY108" s="9"/>
      <c r="XEZ108" s="9"/>
      <c r="XFA108" s="9"/>
      <c r="XFB108" s="9"/>
      <c r="XFC108" s="9"/>
      <c r="XFD108" s="9"/>
    </row>
    <row r="109" spans="1:8 16325:16384" s="3" customFormat="1" ht="19.95" customHeight="1">
      <c r="A109" s="6" t="str">
        <f t="shared" si="3"/>
        <v>040004</v>
      </c>
      <c r="B109" s="6" t="s">
        <v>13</v>
      </c>
      <c r="C109" s="6" t="s">
        <v>10</v>
      </c>
      <c r="D109" s="6" t="str">
        <f>"512732408"</f>
        <v>512732408</v>
      </c>
      <c r="E109" s="7">
        <v>86.5</v>
      </c>
      <c r="F109" s="7">
        <v>76.5</v>
      </c>
      <c r="G109" s="7"/>
      <c r="H109" s="7">
        <v>82.5</v>
      </c>
      <c r="XCW109" s="9"/>
      <c r="XCX109" s="9"/>
      <c r="XCY109" s="9"/>
      <c r="XCZ109" s="9"/>
      <c r="XDA109" s="9"/>
      <c r="XDB109" s="9"/>
      <c r="XDC109" s="9"/>
      <c r="XDD109" s="9"/>
      <c r="XDE109" s="9"/>
      <c r="XDF109" s="9"/>
      <c r="XDG109" s="9"/>
      <c r="XDH109" s="9"/>
      <c r="XDI109" s="9"/>
      <c r="XDJ109" s="9"/>
      <c r="XDK109" s="9"/>
      <c r="XDL109" s="9"/>
      <c r="XDM109" s="9"/>
      <c r="XDN109" s="9"/>
      <c r="XDO109" s="9"/>
      <c r="XDP109" s="9"/>
      <c r="XDQ109" s="9"/>
      <c r="XDR109" s="9"/>
      <c r="XDS109" s="9"/>
      <c r="XDT109" s="9"/>
      <c r="XDU109" s="9"/>
      <c r="XDV109" s="9"/>
      <c r="XDW109" s="9"/>
      <c r="XDX109" s="9"/>
      <c r="XDY109" s="9"/>
      <c r="XDZ109" s="9"/>
      <c r="XEA109" s="9"/>
      <c r="XEB109" s="9"/>
      <c r="XEC109" s="9"/>
      <c r="XED109" s="9"/>
      <c r="XEE109" s="9"/>
      <c r="XEF109" s="9"/>
      <c r="XEG109" s="9"/>
      <c r="XEH109" s="9"/>
      <c r="XEI109" s="9"/>
      <c r="XEJ109" s="9"/>
      <c r="XEK109" s="9"/>
      <c r="XEL109" s="9"/>
      <c r="XEM109" s="9"/>
      <c r="XEN109" s="9"/>
      <c r="XEO109" s="9"/>
      <c r="XEP109" s="9"/>
      <c r="XEQ109" s="9"/>
      <c r="XER109" s="9"/>
      <c r="XES109" s="9"/>
      <c r="XET109" s="9"/>
      <c r="XEU109" s="9"/>
      <c r="XEV109" s="9"/>
      <c r="XEW109" s="9"/>
      <c r="XEX109" s="9"/>
      <c r="XEY109" s="9"/>
      <c r="XEZ109" s="9"/>
      <c r="XFA109" s="9"/>
      <c r="XFB109" s="9"/>
      <c r="XFC109" s="9"/>
      <c r="XFD109" s="9"/>
    </row>
    <row r="110" spans="1:8 16325:16384" s="3" customFormat="1" ht="19.95" customHeight="1">
      <c r="A110" s="6" t="str">
        <f t="shared" si="3"/>
        <v>040004</v>
      </c>
      <c r="B110" s="6" t="s">
        <v>13</v>
      </c>
      <c r="C110" s="6" t="s">
        <v>10</v>
      </c>
      <c r="D110" s="6" t="str">
        <f>"512732403"</f>
        <v>512732403</v>
      </c>
      <c r="E110" s="7">
        <v>88</v>
      </c>
      <c r="F110" s="7">
        <v>74.5</v>
      </c>
      <c r="G110" s="7"/>
      <c r="H110" s="7">
        <v>82.6</v>
      </c>
      <c r="XCW110" s="9"/>
      <c r="XCX110" s="9"/>
      <c r="XCY110" s="9"/>
      <c r="XCZ110" s="9"/>
      <c r="XDA110" s="9"/>
      <c r="XDB110" s="9"/>
      <c r="XDC110" s="9"/>
      <c r="XDD110" s="9"/>
      <c r="XDE110" s="9"/>
      <c r="XDF110" s="9"/>
      <c r="XDG110" s="9"/>
      <c r="XDH110" s="9"/>
      <c r="XDI110" s="9"/>
      <c r="XDJ110" s="9"/>
      <c r="XDK110" s="9"/>
      <c r="XDL110" s="9"/>
      <c r="XDM110" s="9"/>
      <c r="XDN110" s="9"/>
      <c r="XDO110" s="9"/>
      <c r="XDP110" s="9"/>
      <c r="XDQ110" s="9"/>
      <c r="XDR110" s="9"/>
      <c r="XDS110" s="9"/>
      <c r="XDT110" s="9"/>
      <c r="XDU110" s="9"/>
      <c r="XDV110" s="9"/>
      <c r="XDW110" s="9"/>
      <c r="XDX110" s="9"/>
      <c r="XDY110" s="9"/>
      <c r="XDZ110" s="9"/>
      <c r="XEA110" s="9"/>
      <c r="XEB110" s="9"/>
      <c r="XEC110" s="9"/>
      <c r="XED110" s="9"/>
      <c r="XEE110" s="9"/>
      <c r="XEF110" s="9"/>
      <c r="XEG110" s="9"/>
      <c r="XEH110" s="9"/>
      <c r="XEI110" s="9"/>
      <c r="XEJ110" s="9"/>
      <c r="XEK110" s="9"/>
      <c r="XEL110" s="9"/>
      <c r="XEM110" s="9"/>
      <c r="XEN110" s="9"/>
      <c r="XEO110" s="9"/>
      <c r="XEP110" s="9"/>
      <c r="XEQ110" s="9"/>
      <c r="XER110" s="9"/>
      <c r="XES110" s="9"/>
      <c r="XET110" s="9"/>
      <c r="XEU110" s="9"/>
      <c r="XEV110" s="9"/>
      <c r="XEW110" s="9"/>
      <c r="XEX110" s="9"/>
      <c r="XEY110" s="9"/>
      <c r="XEZ110" s="9"/>
      <c r="XFA110" s="9"/>
      <c r="XFB110" s="9"/>
      <c r="XFC110" s="9"/>
      <c r="XFD110" s="9"/>
    </row>
    <row r="111" spans="1:8 16325:16384" s="3" customFormat="1" ht="19.95" customHeight="1">
      <c r="A111" s="6" t="str">
        <f t="shared" si="3"/>
        <v>040004</v>
      </c>
      <c r="B111" s="6" t="s">
        <v>13</v>
      </c>
      <c r="C111" s="6" t="s">
        <v>10</v>
      </c>
      <c r="D111" s="6" t="str">
        <f>"512732402"</f>
        <v>512732402</v>
      </c>
      <c r="E111" s="7">
        <v>81.5</v>
      </c>
      <c r="F111" s="7">
        <v>67</v>
      </c>
      <c r="G111" s="7"/>
      <c r="H111" s="7">
        <v>75.7</v>
      </c>
      <c r="XCW111" s="9"/>
      <c r="XCX111" s="9"/>
      <c r="XCY111" s="9"/>
      <c r="XCZ111" s="9"/>
      <c r="XDA111" s="9"/>
      <c r="XDB111" s="9"/>
      <c r="XDC111" s="9"/>
      <c r="XDD111" s="9"/>
      <c r="XDE111" s="9"/>
      <c r="XDF111" s="9"/>
      <c r="XDG111" s="9"/>
      <c r="XDH111" s="9"/>
      <c r="XDI111" s="9"/>
      <c r="XDJ111" s="9"/>
      <c r="XDK111" s="9"/>
      <c r="XDL111" s="9"/>
      <c r="XDM111" s="9"/>
      <c r="XDN111" s="9"/>
      <c r="XDO111" s="9"/>
      <c r="XDP111" s="9"/>
      <c r="XDQ111" s="9"/>
      <c r="XDR111" s="9"/>
      <c r="XDS111" s="9"/>
      <c r="XDT111" s="9"/>
      <c r="XDU111" s="9"/>
      <c r="XDV111" s="9"/>
      <c r="XDW111" s="9"/>
      <c r="XDX111" s="9"/>
      <c r="XDY111" s="9"/>
      <c r="XDZ111" s="9"/>
      <c r="XEA111" s="9"/>
      <c r="XEB111" s="9"/>
      <c r="XEC111" s="9"/>
      <c r="XED111" s="9"/>
      <c r="XEE111" s="9"/>
      <c r="XEF111" s="9"/>
      <c r="XEG111" s="9"/>
      <c r="XEH111" s="9"/>
      <c r="XEI111" s="9"/>
      <c r="XEJ111" s="9"/>
      <c r="XEK111" s="9"/>
      <c r="XEL111" s="9"/>
      <c r="XEM111" s="9"/>
      <c r="XEN111" s="9"/>
      <c r="XEO111" s="9"/>
      <c r="XEP111" s="9"/>
      <c r="XEQ111" s="9"/>
      <c r="XER111" s="9"/>
      <c r="XES111" s="9"/>
      <c r="XET111" s="9"/>
      <c r="XEU111" s="9"/>
      <c r="XEV111" s="9"/>
      <c r="XEW111" s="9"/>
      <c r="XEX111" s="9"/>
      <c r="XEY111" s="9"/>
      <c r="XEZ111" s="9"/>
      <c r="XFA111" s="9"/>
      <c r="XFB111" s="9"/>
      <c r="XFC111" s="9"/>
      <c r="XFD111" s="9"/>
    </row>
    <row r="112" spans="1:8 16325:16384" s="3" customFormat="1" ht="19.95" customHeight="1">
      <c r="A112" s="6" t="str">
        <f t="shared" ref="A112:A151" si="4">"040005"</f>
        <v>040005</v>
      </c>
      <c r="B112" s="6" t="s">
        <v>14</v>
      </c>
      <c r="C112" s="6" t="s">
        <v>10</v>
      </c>
      <c r="D112" s="6" t="str">
        <f>"512731420"</f>
        <v>512731420</v>
      </c>
      <c r="E112" s="7">
        <v>55</v>
      </c>
      <c r="F112" s="7">
        <v>48.5</v>
      </c>
      <c r="G112" s="7"/>
      <c r="H112" s="7">
        <v>52.4</v>
      </c>
      <c r="XCW112" s="9"/>
      <c r="XCX112" s="9"/>
      <c r="XCY112" s="9"/>
      <c r="XCZ112" s="9"/>
      <c r="XDA112" s="9"/>
      <c r="XDB112" s="9"/>
      <c r="XDC112" s="9"/>
      <c r="XDD112" s="9"/>
      <c r="XDE112" s="9"/>
      <c r="XDF112" s="9"/>
      <c r="XDG112" s="9"/>
      <c r="XDH112" s="9"/>
      <c r="XDI112" s="9"/>
      <c r="XDJ112" s="9"/>
      <c r="XDK112" s="9"/>
      <c r="XDL112" s="9"/>
      <c r="XDM112" s="9"/>
      <c r="XDN112" s="9"/>
      <c r="XDO112" s="9"/>
      <c r="XDP112" s="9"/>
      <c r="XDQ112" s="9"/>
      <c r="XDR112" s="9"/>
      <c r="XDS112" s="9"/>
      <c r="XDT112" s="9"/>
      <c r="XDU112" s="9"/>
      <c r="XDV112" s="9"/>
      <c r="XDW112" s="9"/>
      <c r="XDX112" s="9"/>
      <c r="XDY112" s="9"/>
      <c r="XDZ112" s="9"/>
      <c r="XEA112" s="9"/>
      <c r="XEB112" s="9"/>
      <c r="XEC112" s="9"/>
      <c r="XED112" s="9"/>
      <c r="XEE112" s="9"/>
      <c r="XEF112" s="9"/>
      <c r="XEG112" s="9"/>
      <c r="XEH112" s="9"/>
      <c r="XEI112" s="9"/>
      <c r="XEJ112" s="9"/>
      <c r="XEK112" s="9"/>
      <c r="XEL112" s="9"/>
      <c r="XEM112" s="9"/>
      <c r="XEN112" s="9"/>
      <c r="XEO112" s="9"/>
      <c r="XEP112" s="9"/>
      <c r="XEQ112" s="9"/>
      <c r="XER112" s="9"/>
      <c r="XES112" s="9"/>
      <c r="XET112" s="9"/>
      <c r="XEU112" s="9"/>
      <c r="XEV112" s="9"/>
      <c r="XEW112" s="9"/>
      <c r="XEX112" s="9"/>
      <c r="XEY112" s="9"/>
      <c r="XEZ112" s="9"/>
      <c r="XFA112" s="9"/>
      <c r="XFB112" s="9"/>
      <c r="XFC112" s="9"/>
      <c r="XFD112" s="9"/>
    </row>
    <row r="113" spans="1:8 16325:16384" s="3" customFormat="1" ht="19.95" customHeight="1">
      <c r="A113" s="6" t="str">
        <f t="shared" si="4"/>
        <v>040005</v>
      </c>
      <c r="B113" s="6" t="s">
        <v>14</v>
      </c>
      <c r="C113" s="6" t="s">
        <v>10</v>
      </c>
      <c r="D113" s="6" t="str">
        <f>"512731426"</f>
        <v>512731426</v>
      </c>
      <c r="E113" s="7">
        <v>91.5</v>
      </c>
      <c r="F113" s="7">
        <v>55</v>
      </c>
      <c r="G113" s="7"/>
      <c r="H113" s="7">
        <v>76.900000000000006</v>
      </c>
      <c r="XCW113" s="9"/>
      <c r="XCX113" s="9"/>
      <c r="XCY113" s="9"/>
      <c r="XCZ113" s="9"/>
      <c r="XDA113" s="9"/>
      <c r="XDB113" s="9"/>
      <c r="XDC113" s="9"/>
      <c r="XDD113" s="9"/>
      <c r="XDE113" s="9"/>
      <c r="XDF113" s="9"/>
      <c r="XDG113" s="9"/>
      <c r="XDH113" s="9"/>
      <c r="XDI113" s="9"/>
      <c r="XDJ113" s="9"/>
      <c r="XDK113" s="9"/>
      <c r="XDL113" s="9"/>
      <c r="XDM113" s="9"/>
      <c r="XDN113" s="9"/>
      <c r="XDO113" s="9"/>
      <c r="XDP113" s="9"/>
      <c r="XDQ113" s="9"/>
      <c r="XDR113" s="9"/>
      <c r="XDS113" s="9"/>
      <c r="XDT113" s="9"/>
      <c r="XDU113" s="9"/>
      <c r="XDV113" s="9"/>
      <c r="XDW113" s="9"/>
      <c r="XDX113" s="9"/>
      <c r="XDY113" s="9"/>
      <c r="XDZ113" s="9"/>
      <c r="XEA113" s="9"/>
      <c r="XEB113" s="9"/>
      <c r="XEC113" s="9"/>
      <c r="XED113" s="9"/>
      <c r="XEE113" s="9"/>
      <c r="XEF113" s="9"/>
      <c r="XEG113" s="9"/>
      <c r="XEH113" s="9"/>
      <c r="XEI113" s="9"/>
      <c r="XEJ113" s="9"/>
      <c r="XEK113" s="9"/>
      <c r="XEL113" s="9"/>
      <c r="XEM113" s="9"/>
      <c r="XEN113" s="9"/>
      <c r="XEO113" s="9"/>
      <c r="XEP113" s="9"/>
      <c r="XEQ113" s="9"/>
      <c r="XER113" s="9"/>
      <c r="XES113" s="9"/>
      <c r="XET113" s="9"/>
      <c r="XEU113" s="9"/>
      <c r="XEV113" s="9"/>
      <c r="XEW113" s="9"/>
      <c r="XEX113" s="9"/>
      <c r="XEY113" s="9"/>
      <c r="XEZ113" s="9"/>
      <c r="XFA113" s="9"/>
      <c r="XFB113" s="9"/>
      <c r="XFC113" s="9"/>
      <c r="XFD113" s="9"/>
    </row>
    <row r="114" spans="1:8 16325:16384" s="3" customFormat="1" ht="19.95" customHeight="1">
      <c r="A114" s="6" t="str">
        <f t="shared" si="4"/>
        <v>040005</v>
      </c>
      <c r="B114" s="6" t="s">
        <v>14</v>
      </c>
      <c r="C114" s="6" t="s">
        <v>10</v>
      </c>
      <c r="D114" s="6" t="str">
        <f>"512731329"</f>
        <v>512731329</v>
      </c>
      <c r="E114" s="7">
        <v>69</v>
      </c>
      <c r="F114" s="7">
        <v>67.5</v>
      </c>
      <c r="G114" s="7"/>
      <c r="H114" s="7">
        <v>68.400000000000006</v>
      </c>
      <c r="XCW114" s="9"/>
      <c r="XCX114" s="9"/>
      <c r="XCY114" s="9"/>
      <c r="XCZ114" s="9"/>
      <c r="XDA114" s="9"/>
      <c r="XDB114" s="9"/>
      <c r="XDC114" s="9"/>
      <c r="XDD114" s="9"/>
      <c r="XDE114" s="9"/>
      <c r="XDF114" s="9"/>
      <c r="XDG114" s="9"/>
      <c r="XDH114" s="9"/>
      <c r="XDI114" s="9"/>
      <c r="XDJ114" s="9"/>
      <c r="XDK114" s="9"/>
      <c r="XDL114" s="9"/>
      <c r="XDM114" s="9"/>
      <c r="XDN114" s="9"/>
      <c r="XDO114" s="9"/>
      <c r="XDP114" s="9"/>
      <c r="XDQ114" s="9"/>
      <c r="XDR114" s="9"/>
      <c r="XDS114" s="9"/>
      <c r="XDT114" s="9"/>
      <c r="XDU114" s="9"/>
      <c r="XDV114" s="9"/>
      <c r="XDW114" s="9"/>
      <c r="XDX114" s="9"/>
      <c r="XDY114" s="9"/>
      <c r="XDZ114" s="9"/>
      <c r="XEA114" s="9"/>
      <c r="XEB114" s="9"/>
      <c r="XEC114" s="9"/>
      <c r="XED114" s="9"/>
      <c r="XEE114" s="9"/>
      <c r="XEF114" s="9"/>
      <c r="XEG114" s="9"/>
      <c r="XEH114" s="9"/>
      <c r="XEI114" s="9"/>
      <c r="XEJ114" s="9"/>
      <c r="XEK114" s="9"/>
      <c r="XEL114" s="9"/>
      <c r="XEM114" s="9"/>
      <c r="XEN114" s="9"/>
      <c r="XEO114" s="9"/>
      <c r="XEP114" s="9"/>
      <c r="XEQ114" s="9"/>
      <c r="XER114" s="9"/>
      <c r="XES114" s="9"/>
      <c r="XET114" s="9"/>
      <c r="XEU114" s="9"/>
      <c r="XEV114" s="9"/>
      <c r="XEW114" s="9"/>
      <c r="XEX114" s="9"/>
      <c r="XEY114" s="9"/>
      <c r="XEZ114" s="9"/>
      <c r="XFA114" s="9"/>
      <c r="XFB114" s="9"/>
      <c r="XFC114" s="9"/>
      <c r="XFD114" s="9"/>
    </row>
    <row r="115" spans="1:8 16325:16384" s="3" customFormat="1" ht="19.95" customHeight="1">
      <c r="A115" s="6" t="str">
        <f t="shared" si="4"/>
        <v>040005</v>
      </c>
      <c r="B115" s="6" t="s">
        <v>14</v>
      </c>
      <c r="C115" s="6" t="s">
        <v>10</v>
      </c>
      <c r="D115" s="6" t="str">
        <f>"512731328"</f>
        <v>512731328</v>
      </c>
      <c r="E115" s="7">
        <v>67.5</v>
      </c>
      <c r="F115" s="7">
        <v>70</v>
      </c>
      <c r="G115" s="7"/>
      <c r="H115" s="7">
        <v>68.5</v>
      </c>
      <c r="XCW115" s="9"/>
      <c r="XCX115" s="9"/>
      <c r="XCY115" s="9"/>
      <c r="XCZ115" s="9"/>
      <c r="XDA115" s="9"/>
      <c r="XDB115" s="9"/>
      <c r="XDC115" s="9"/>
      <c r="XDD115" s="9"/>
      <c r="XDE115" s="9"/>
      <c r="XDF115" s="9"/>
      <c r="XDG115" s="9"/>
      <c r="XDH115" s="9"/>
      <c r="XDI115" s="9"/>
      <c r="XDJ115" s="9"/>
      <c r="XDK115" s="9"/>
      <c r="XDL115" s="9"/>
      <c r="XDM115" s="9"/>
      <c r="XDN115" s="9"/>
      <c r="XDO115" s="9"/>
      <c r="XDP115" s="9"/>
      <c r="XDQ115" s="9"/>
      <c r="XDR115" s="9"/>
      <c r="XDS115" s="9"/>
      <c r="XDT115" s="9"/>
      <c r="XDU115" s="9"/>
      <c r="XDV115" s="9"/>
      <c r="XDW115" s="9"/>
      <c r="XDX115" s="9"/>
      <c r="XDY115" s="9"/>
      <c r="XDZ115" s="9"/>
      <c r="XEA115" s="9"/>
      <c r="XEB115" s="9"/>
      <c r="XEC115" s="9"/>
      <c r="XED115" s="9"/>
      <c r="XEE115" s="9"/>
      <c r="XEF115" s="9"/>
      <c r="XEG115" s="9"/>
      <c r="XEH115" s="9"/>
      <c r="XEI115" s="9"/>
      <c r="XEJ115" s="9"/>
      <c r="XEK115" s="9"/>
      <c r="XEL115" s="9"/>
      <c r="XEM115" s="9"/>
      <c r="XEN115" s="9"/>
      <c r="XEO115" s="9"/>
      <c r="XEP115" s="9"/>
      <c r="XEQ115" s="9"/>
      <c r="XER115" s="9"/>
      <c r="XES115" s="9"/>
      <c r="XET115" s="9"/>
      <c r="XEU115" s="9"/>
      <c r="XEV115" s="9"/>
      <c r="XEW115" s="9"/>
      <c r="XEX115" s="9"/>
      <c r="XEY115" s="9"/>
      <c r="XEZ115" s="9"/>
      <c r="XFA115" s="9"/>
      <c r="XFB115" s="9"/>
      <c r="XFC115" s="9"/>
      <c r="XFD115" s="9"/>
    </row>
    <row r="116" spans="1:8 16325:16384" s="3" customFormat="1" ht="19.95" customHeight="1">
      <c r="A116" s="6" t="str">
        <f t="shared" si="4"/>
        <v>040005</v>
      </c>
      <c r="B116" s="6" t="s">
        <v>14</v>
      </c>
      <c r="C116" s="6" t="s">
        <v>10</v>
      </c>
      <c r="D116" s="6" t="str">
        <f>"512731502"</f>
        <v>512731502</v>
      </c>
      <c r="E116" s="7">
        <v>95</v>
      </c>
      <c r="F116" s="7">
        <v>75</v>
      </c>
      <c r="G116" s="7"/>
      <c r="H116" s="7">
        <v>87</v>
      </c>
      <c r="XCW116" s="9"/>
      <c r="XCX116" s="9"/>
      <c r="XCY116" s="9"/>
      <c r="XCZ116" s="9"/>
      <c r="XDA116" s="9"/>
      <c r="XDB116" s="9"/>
      <c r="XDC116" s="9"/>
      <c r="XDD116" s="9"/>
      <c r="XDE116" s="9"/>
      <c r="XDF116" s="9"/>
      <c r="XDG116" s="9"/>
      <c r="XDH116" s="9"/>
      <c r="XDI116" s="9"/>
      <c r="XDJ116" s="9"/>
      <c r="XDK116" s="9"/>
      <c r="XDL116" s="9"/>
      <c r="XDM116" s="9"/>
      <c r="XDN116" s="9"/>
      <c r="XDO116" s="9"/>
      <c r="XDP116" s="9"/>
      <c r="XDQ116" s="9"/>
      <c r="XDR116" s="9"/>
      <c r="XDS116" s="9"/>
      <c r="XDT116" s="9"/>
      <c r="XDU116" s="9"/>
      <c r="XDV116" s="9"/>
      <c r="XDW116" s="9"/>
      <c r="XDX116" s="9"/>
      <c r="XDY116" s="9"/>
      <c r="XDZ116" s="9"/>
      <c r="XEA116" s="9"/>
      <c r="XEB116" s="9"/>
      <c r="XEC116" s="9"/>
      <c r="XED116" s="9"/>
      <c r="XEE116" s="9"/>
      <c r="XEF116" s="9"/>
      <c r="XEG116" s="9"/>
      <c r="XEH116" s="9"/>
      <c r="XEI116" s="9"/>
      <c r="XEJ116" s="9"/>
      <c r="XEK116" s="9"/>
      <c r="XEL116" s="9"/>
      <c r="XEM116" s="9"/>
      <c r="XEN116" s="9"/>
      <c r="XEO116" s="9"/>
      <c r="XEP116" s="9"/>
      <c r="XEQ116" s="9"/>
      <c r="XER116" s="9"/>
      <c r="XES116" s="9"/>
      <c r="XET116" s="9"/>
      <c r="XEU116" s="9"/>
      <c r="XEV116" s="9"/>
      <c r="XEW116" s="9"/>
      <c r="XEX116" s="9"/>
      <c r="XEY116" s="9"/>
      <c r="XEZ116" s="9"/>
      <c r="XFA116" s="9"/>
      <c r="XFB116" s="9"/>
      <c r="XFC116" s="9"/>
      <c r="XFD116" s="9"/>
    </row>
    <row r="117" spans="1:8 16325:16384" s="3" customFormat="1" ht="19.95" customHeight="1">
      <c r="A117" s="6" t="str">
        <f t="shared" si="4"/>
        <v>040005</v>
      </c>
      <c r="B117" s="6" t="s">
        <v>14</v>
      </c>
      <c r="C117" s="6" t="s">
        <v>10</v>
      </c>
      <c r="D117" s="6" t="str">
        <f>"512731503"</f>
        <v>512731503</v>
      </c>
      <c r="E117" s="7">
        <v>102.5</v>
      </c>
      <c r="F117" s="7">
        <v>81</v>
      </c>
      <c r="G117" s="7"/>
      <c r="H117" s="7">
        <v>93.9</v>
      </c>
      <c r="XCW117" s="9"/>
      <c r="XCX117" s="9"/>
      <c r="XCY117" s="9"/>
      <c r="XCZ117" s="9"/>
      <c r="XDA117" s="9"/>
      <c r="XDB117" s="9"/>
      <c r="XDC117" s="9"/>
      <c r="XDD117" s="9"/>
      <c r="XDE117" s="9"/>
      <c r="XDF117" s="9"/>
      <c r="XDG117" s="9"/>
      <c r="XDH117" s="9"/>
      <c r="XDI117" s="9"/>
      <c r="XDJ117" s="9"/>
      <c r="XDK117" s="9"/>
      <c r="XDL117" s="9"/>
      <c r="XDM117" s="9"/>
      <c r="XDN117" s="9"/>
      <c r="XDO117" s="9"/>
      <c r="XDP117" s="9"/>
      <c r="XDQ117" s="9"/>
      <c r="XDR117" s="9"/>
      <c r="XDS117" s="9"/>
      <c r="XDT117" s="9"/>
      <c r="XDU117" s="9"/>
      <c r="XDV117" s="9"/>
      <c r="XDW117" s="9"/>
      <c r="XDX117" s="9"/>
      <c r="XDY117" s="9"/>
      <c r="XDZ117" s="9"/>
      <c r="XEA117" s="9"/>
      <c r="XEB117" s="9"/>
      <c r="XEC117" s="9"/>
      <c r="XED117" s="9"/>
      <c r="XEE117" s="9"/>
      <c r="XEF117" s="9"/>
      <c r="XEG117" s="9"/>
      <c r="XEH117" s="9"/>
      <c r="XEI117" s="9"/>
      <c r="XEJ117" s="9"/>
      <c r="XEK117" s="9"/>
      <c r="XEL117" s="9"/>
      <c r="XEM117" s="9"/>
      <c r="XEN117" s="9"/>
      <c r="XEO117" s="9"/>
      <c r="XEP117" s="9"/>
      <c r="XEQ117" s="9"/>
      <c r="XER117" s="9"/>
      <c r="XES117" s="9"/>
      <c r="XET117" s="9"/>
      <c r="XEU117" s="9"/>
      <c r="XEV117" s="9"/>
      <c r="XEW117" s="9"/>
      <c r="XEX117" s="9"/>
      <c r="XEY117" s="9"/>
      <c r="XEZ117" s="9"/>
      <c r="XFA117" s="9"/>
      <c r="XFB117" s="9"/>
      <c r="XFC117" s="9"/>
      <c r="XFD117" s="9"/>
    </row>
    <row r="118" spans="1:8 16325:16384" s="3" customFormat="1" ht="19.95" customHeight="1">
      <c r="A118" s="6" t="str">
        <f t="shared" si="4"/>
        <v>040005</v>
      </c>
      <c r="B118" s="6" t="s">
        <v>14</v>
      </c>
      <c r="C118" s="6" t="s">
        <v>10</v>
      </c>
      <c r="D118" s="6" t="str">
        <f>"512731415"</f>
        <v>512731415</v>
      </c>
      <c r="E118" s="7">
        <v>63</v>
      </c>
      <c r="F118" s="7">
        <v>69.5</v>
      </c>
      <c r="G118" s="7"/>
      <c r="H118" s="7">
        <v>65.599999999999994</v>
      </c>
      <c r="XCW118" s="9"/>
      <c r="XCX118" s="9"/>
      <c r="XCY118" s="9"/>
      <c r="XCZ118" s="9"/>
      <c r="XDA118" s="9"/>
      <c r="XDB118" s="9"/>
      <c r="XDC118" s="9"/>
      <c r="XDD118" s="9"/>
      <c r="XDE118" s="9"/>
      <c r="XDF118" s="9"/>
      <c r="XDG118" s="9"/>
      <c r="XDH118" s="9"/>
      <c r="XDI118" s="9"/>
      <c r="XDJ118" s="9"/>
      <c r="XDK118" s="9"/>
      <c r="XDL118" s="9"/>
      <c r="XDM118" s="9"/>
      <c r="XDN118" s="9"/>
      <c r="XDO118" s="9"/>
      <c r="XDP118" s="9"/>
      <c r="XDQ118" s="9"/>
      <c r="XDR118" s="9"/>
      <c r="XDS118" s="9"/>
      <c r="XDT118" s="9"/>
      <c r="XDU118" s="9"/>
      <c r="XDV118" s="9"/>
      <c r="XDW118" s="9"/>
      <c r="XDX118" s="9"/>
      <c r="XDY118" s="9"/>
      <c r="XDZ118" s="9"/>
      <c r="XEA118" s="9"/>
      <c r="XEB118" s="9"/>
      <c r="XEC118" s="9"/>
      <c r="XED118" s="9"/>
      <c r="XEE118" s="9"/>
      <c r="XEF118" s="9"/>
      <c r="XEG118" s="9"/>
      <c r="XEH118" s="9"/>
      <c r="XEI118" s="9"/>
      <c r="XEJ118" s="9"/>
      <c r="XEK118" s="9"/>
      <c r="XEL118" s="9"/>
      <c r="XEM118" s="9"/>
      <c r="XEN118" s="9"/>
      <c r="XEO118" s="9"/>
      <c r="XEP118" s="9"/>
      <c r="XEQ118" s="9"/>
      <c r="XER118" s="9"/>
      <c r="XES118" s="9"/>
      <c r="XET118" s="9"/>
      <c r="XEU118" s="9"/>
      <c r="XEV118" s="9"/>
      <c r="XEW118" s="9"/>
      <c r="XEX118" s="9"/>
      <c r="XEY118" s="9"/>
      <c r="XEZ118" s="9"/>
      <c r="XFA118" s="9"/>
      <c r="XFB118" s="9"/>
      <c r="XFC118" s="9"/>
      <c r="XFD118" s="9"/>
    </row>
    <row r="119" spans="1:8 16325:16384" s="3" customFormat="1" ht="19.95" customHeight="1">
      <c r="A119" s="6" t="str">
        <f t="shared" si="4"/>
        <v>040005</v>
      </c>
      <c r="B119" s="6" t="s">
        <v>14</v>
      </c>
      <c r="C119" s="6" t="s">
        <v>10</v>
      </c>
      <c r="D119" s="6" t="str">
        <f>"512731507"</f>
        <v>512731507</v>
      </c>
      <c r="E119" s="7">
        <v>60.5</v>
      </c>
      <c r="F119" s="7">
        <v>78.5</v>
      </c>
      <c r="G119" s="7"/>
      <c r="H119" s="7">
        <v>67.7</v>
      </c>
      <c r="XCW119" s="9"/>
      <c r="XCX119" s="9"/>
      <c r="XCY119" s="9"/>
      <c r="XCZ119" s="9"/>
      <c r="XDA119" s="9"/>
      <c r="XDB119" s="9"/>
      <c r="XDC119" s="9"/>
      <c r="XDD119" s="9"/>
      <c r="XDE119" s="9"/>
      <c r="XDF119" s="9"/>
      <c r="XDG119" s="9"/>
      <c r="XDH119" s="9"/>
      <c r="XDI119" s="9"/>
      <c r="XDJ119" s="9"/>
      <c r="XDK119" s="9"/>
      <c r="XDL119" s="9"/>
      <c r="XDM119" s="9"/>
      <c r="XDN119" s="9"/>
      <c r="XDO119" s="9"/>
      <c r="XDP119" s="9"/>
      <c r="XDQ119" s="9"/>
      <c r="XDR119" s="9"/>
      <c r="XDS119" s="9"/>
      <c r="XDT119" s="9"/>
      <c r="XDU119" s="9"/>
      <c r="XDV119" s="9"/>
      <c r="XDW119" s="9"/>
      <c r="XDX119" s="9"/>
      <c r="XDY119" s="9"/>
      <c r="XDZ119" s="9"/>
      <c r="XEA119" s="9"/>
      <c r="XEB119" s="9"/>
      <c r="XEC119" s="9"/>
      <c r="XED119" s="9"/>
      <c r="XEE119" s="9"/>
      <c r="XEF119" s="9"/>
      <c r="XEG119" s="9"/>
      <c r="XEH119" s="9"/>
      <c r="XEI119" s="9"/>
      <c r="XEJ119" s="9"/>
      <c r="XEK119" s="9"/>
      <c r="XEL119" s="9"/>
      <c r="XEM119" s="9"/>
      <c r="XEN119" s="9"/>
      <c r="XEO119" s="9"/>
      <c r="XEP119" s="9"/>
      <c r="XEQ119" s="9"/>
      <c r="XER119" s="9"/>
      <c r="XES119" s="9"/>
      <c r="XET119" s="9"/>
      <c r="XEU119" s="9"/>
      <c r="XEV119" s="9"/>
      <c r="XEW119" s="9"/>
      <c r="XEX119" s="9"/>
      <c r="XEY119" s="9"/>
      <c r="XEZ119" s="9"/>
      <c r="XFA119" s="9"/>
      <c r="XFB119" s="9"/>
      <c r="XFC119" s="9"/>
      <c r="XFD119" s="9"/>
    </row>
    <row r="120" spans="1:8 16325:16384" s="3" customFormat="1" ht="19.95" customHeight="1">
      <c r="A120" s="6" t="str">
        <f t="shared" si="4"/>
        <v>040005</v>
      </c>
      <c r="B120" s="6" t="s">
        <v>14</v>
      </c>
      <c r="C120" s="6" t="s">
        <v>10</v>
      </c>
      <c r="D120" s="6" t="str">
        <f>"512731506"</f>
        <v>512731506</v>
      </c>
      <c r="E120" s="7">
        <v>0</v>
      </c>
      <c r="F120" s="7">
        <v>0</v>
      </c>
      <c r="G120" s="7"/>
      <c r="H120" s="7">
        <v>0</v>
      </c>
      <c r="XCW120" s="9"/>
      <c r="XCX120" s="9"/>
      <c r="XCY120" s="9"/>
      <c r="XCZ120" s="9"/>
      <c r="XDA120" s="9"/>
      <c r="XDB120" s="9"/>
      <c r="XDC120" s="9"/>
      <c r="XDD120" s="9"/>
      <c r="XDE120" s="9"/>
      <c r="XDF120" s="9"/>
      <c r="XDG120" s="9"/>
      <c r="XDH120" s="9"/>
      <c r="XDI120" s="9"/>
      <c r="XDJ120" s="9"/>
      <c r="XDK120" s="9"/>
      <c r="XDL120" s="9"/>
      <c r="XDM120" s="9"/>
      <c r="XDN120" s="9"/>
      <c r="XDO120" s="9"/>
      <c r="XDP120" s="9"/>
      <c r="XDQ120" s="9"/>
      <c r="XDR120" s="9"/>
      <c r="XDS120" s="9"/>
      <c r="XDT120" s="9"/>
      <c r="XDU120" s="9"/>
      <c r="XDV120" s="9"/>
      <c r="XDW120" s="9"/>
      <c r="XDX120" s="9"/>
      <c r="XDY120" s="9"/>
      <c r="XDZ120" s="9"/>
      <c r="XEA120" s="9"/>
      <c r="XEB120" s="9"/>
      <c r="XEC120" s="9"/>
      <c r="XED120" s="9"/>
      <c r="XEE120" s="9"/>
      <c r="XEF120" s="9"/>
      <c r="XEG120" s="9"/>
      <c r="XEH120" s="9"/>
      <c r="XEI120" s="9"/>
      <c r="XEJ120" s="9"/>
      <c r="XEK120" s="9"/>
      <c r="XEL120" s="9"/>
      <c r="XEM120" s="9"/>
      <c r="XEN120" s="9"/>
      <c r="XEO120" s="9"/>
      <c r="XEP120" s="9"/>
      <c r="XEQ120" s="9"/>
      <c r="XER120" s="9"/>
      <c r="XES120" s="9"/>
      <c r="XET120" s="9"/>
      <c r="XEU120" s="9"/>
      <c r="XEV120" s="9"/>
      <c r="XEW120" s="9"/>
      <c r="XEX120" s="9"/>
      <c r="XEY120" s="9"/>
      <c r="XEZ120" s="9"/>
      <c r="XFA120" s="9"/>
      <c r="XFB120" s="9"/>
      <c r="XFC120" s="9"/>
      <c r="XFD120" s="9"/>
    </row>
    <row r="121" spans="1:8 16325:16384" s="3" customFormat="1" ht="19.95" customHeight="1">
      <c r="A121" s="6" t="str">
        <f t="shared" si="4"/>
        <v>040005</v>
      </c>
      <c r="B121" s="6" t="s">
        <v>14</v>
      </c>
      <c r="C121" s="6" t="s">
        <v>10</v>
      </c>
      <c r="D121" s="6" t="str">
        <f>"512731421"</f>
        <v>512731421</v>
      </c>
      <c r="E121" s="7">
        <v>94.5</v>
      </c>
      <c r="F121" s="7">
        <v>73</v>
      </c>
      <c r="G121" s="7"/>
      <c r="H121" s="7">
        <v>85.9</v>
      </c>
      <c r="XCW121" s="9"/>
      <c r="XCX121" s="9"/>
      <c r="XCY121" s="9"/>
      <c r="XCZ121" s="9"/>
      <c r="XDA121" s="9"/>
      <c r="XDB121" s="9"/>
      <c r="XDC121" s="9"/>
      <c r="XDD121" s="9"/>
      <c r="XDE121" s="9"/>
      <c r="XDF121" s="9"/>
      <c r="XDG121" s="9"/>
      <c r="XDH121" s="9"/>
      <c r="XDI121" s="9"/>
      <c r="XDJ121" s="9"/>
      <c r="XDK121" s="9"/>
      <c r="XDL121" s="9"/>
      <c r="XDM121" s="9"/>
      <c r="XDN121" s="9"/>
      <c r="XDO121" s="9"/>
      <c r="XDP121" s="9"/>
      <c r="XDQ121" s="9"/>
      <c r="XDR121" s="9"/>
      <c r="XDS121" s="9"/>
      <c r="XDT121" s="9"/>
      <c r="XDU121" s="9"/>
      <c r="XDV121" s="9"/>
      <c r="XDW121" s="9"/>
      <c r="XDX121" s="9"/>
      <c r="XDY121" s="9"/>
      <c r="XDZ121" s="9"/>
      <c r="XEA121" s="9"/>
      <c r="XEB121" s="9"/>
      <c r="XEC121" s="9"/>
      <c r="XED121" s="9"/>
      <c r="XEE121" s="9"/>
      <c r="XEF121" s="9"/>
      <c r="XEG121" s="9"/>
      <c r="XEH121" s="9"/>
      <c r="XEI121" s="9"/>
      <c r="XEJ121" s="9"/>
      <c r="XEK121" s="9"/>
      <c r="XEL121" s="9"/>
      <c r="XEM121" s="9"/>
      <c r="XEN121" s="9"/>
      <c r="XEO121" s="9"/>
      <c r="XEP121" s="9"/>
      <c r="XEQ121" s="9"/>
      <c r="XER121" s="9"/>
      <c r="XES121" s="9"/>
      <c r="XET121" s="9"/>
      <c r="XEU121" s="9"/>
      <c r="XEV121" s="9"/>
      <c r="XEW121" s="9"/>
      <c r="XEX121" s="9"/>
      <c r="XEY121" s="9"/>
      <c r="XEZ121" s="9"/>
      <c r="XFA121" s="9"/>
      <c r="XFB121" s="9"/>
      <c r="XFC121" s="9"/>
      <c r="XFD121" s="9"/>
    </row>
    <row r="122" spans="1:8 16325:16384" s="3" customFormat="1" ht="19.95" customHeight="1">
      <c r="A122" s="6" t="str">
        <f t="shared" si="4"/>
        <v>040005</v>
      </c>
      <c r="B122" s="6" t="s">
        <v>14</v>
      </c>
      <c r="C122" s="6" t="s">
        <v>10</v>
      </c>
      <c r="D122" s="6" t="str">
        <f>"512731428"</f>
        <v>512731428</v>
      </c>
      <c r="E122" s="7">
        <v>64</v>
      </c>
      <c r="F122" s="7">
        <v>68.5</v>
      </c>
      <c r="G122" s="7"/>
      <c r="H122" s="7">
        <v>65.8</v>
      </c>
      <c r="XCW122" s="9"/>
      <c r="XCX122" s="9"/>
      <c r="XCY122" s="9"/>
      <c r="XCZ122" s="9"/>
      <c r="XDA122" s="9"/>
      <c r="XDB122" s="9"/>
      <c r="XDC122" s="9"/>
      <c r="XDD122" s="9"/>
      <c r="XDE122" s="9"/>
      <c r="XDF122" s="9"/>
      <c r="XDG122" s="9"/>
      <c r="XDH122" s="9"/>
      <c r="XDI122" s="9"/>
      <c r="XDJ122" s="9"/>
      <c r="XDK122" s="9"/>
      <c r="XDL122" s="9"/>
      <c r="XDM122" s="9"/>
      <c r="XDN122" s="9"/>
      <c r="XDO122" s="9"/>
      <c r="XDP122" s="9"/>
      <c r="XDQ122" s="9"/>
      <c r="XDR122" s="9"/>
      <c r="XDS122" s="9"/>
      <c r="XDT122" s="9"/>
      <c r="XDU122" s="9"/>
      <c r="XDV122" s="9"/>
      <c r="XDW122" s="9"/>
      <c r="XDX122" s="9"/>
      <c r="XDY122" s="9"/>
      <c r="XDZ122" s="9"/>
      <c r="XEA122" s="9"/>
      <c r="XEB122" s="9"/>
      <c r="XEC122" s="9"/>
      <c r="XED122" s="9"/>
      <c r="XEE122" s="9"/>
      <c r="XEF122" s="9"/>
      <c r="XEG122" s="9"/>
      <c r="XEH122" s="9"/>
      <c r="XEI122" s="9"/>
      <c r="XEJ122" s="9"/>
      <c r="XEK122" s="9"/>
      <c r="XEL122" s="9"/>
      <c r="XEM122" s="9"/>
      <c r="XEN122" s="9"/>
      <c r="XEO122" s="9"/>
      <c r="XEP122" s="9"/>
      <c r="XEQ122" s="9"/>
      <c r="XER122" s="9"/>
      <c r="XES122" s="9"/>
      <c r="XET122" s="9"/>
      <c r="XEU122" s="9"/>
      <c r="XEV122" s="9"/>
      <c r="XEW122" s="9"/>
      <c r="XEX122" s="9"/>
      <c r="XEY122" s="9"/>
      <c r="XEZ122" s="9"/>
      <c r="XFA122" s="9"/>
      <c r="XFB122" s="9"/>
      <c r="XFC122" s="9"/>
      <c r="XFD122" s="9"/>
    </row>
    <row r="123" spans="1:8 16325:16384" s="3" customFormat="1" ht="19.95" customHeight="1">
      <c r="A123" s="6" t="str">
        <f t="shared" si="4"/>
        <v>040005</v>
      </c>
      <c r="B123" s="6" t="s">
        <v>14</v>
      </c>
      <c r="C123" s="6" t="s">
        <v>10</v>
      </c>
      <c r="D123" s="6" t="str">
        <f>"512731330"</f>
        <v>512731330</v>
      </c>
      <c r="E123" s="7">
        <v>98.5</v>
      </c>
      <c r="F123" s="7">
        <v>63.5</v>
      </c>
      <c r="G123" s="7"/>
      <c r="H123" s="7">
        <v>84.5</v>
      </c>
      <c r="XCW123" s="9"/>
      <c r="XCX123" s="9"/>
      <c r="XCY123" s="9"/>
      <c r="XCZ123" s="9"/>
      <c r="XDA123" s="9"/>
      <c r="XDB123" s="9"/>
      <c r="XDC123" s="9"/>
      <c r="XDD123" s="9"/>
      <c r="XDE123" s="9"/>
      <c r="XDF123" s="9"/>
      <c r="XDG123" s="9"/>
      <c r="XDH123" s="9"/>
      <c r="XDI123" s="9"/>
      <c r="XDJ123" s="9"/>
      <c r="XDK123" s="9"/>
      <c r="XDL123" s="9"/>
      <c r="XDM123" s="9"/>
      <c r="XDN123" s="9"/>
      <c r="XDO123" s="9"/>
      <c r="XDP123" s="9"/>
      <c r="XDQ123" s="9"/>
      <c r="XDR123" s="9"/>
      <c r="XDS123" s="9"/>
      <c r="XDT123" s="9"/>
      <c r="XDU123" s="9"/>
      <c r="XDV123" s="9"/>
      <c r="XDW123" s="9"/>
      <c r="XDX123" s="9"/>
      <c r="XDY123" s="9"/>
      <c r="XDZ123" s="9"/>
      <c r="XEA123" s="9"/>
      <c r="XEB123" s="9"/>
      <c r="XEC123" s="9"/>
      <c r="XED123" s="9"/>
      <c r="XEE123" s="9"/>
      <c r="XEF123" s="9"/>
      <c r="XEG123" s="9"/>
      <c r="XEH123" s="9"/>
      <c r="XEI123" s="9"/>
      <c r="XEJ123" s="9"/>
      <c r="XEK123" s="9"/>
      <c r="XEL123" s="9"/>
      <c r="XEM123" s="9"/>
      <c r="XEN123" s="9"/>
      <c r="XEO123" s="9"/>
      <c r="XEP123" s="9"/>
      <c r="XEQ123" s="9"/>
      <c r="XER123" s="9"/>
      <c r="XES123" s="9"/>
      <c r="XET123" s="9"/>
      <c r="XEU123" s="9"/>
      <c r="XEV123" s="9"/>
      <c r="XEW123" s="9"/>
      <c r="XEX123" s="9"/>
      <c r="XEY123" s="9"/>
      <c r="XEZ123" s="9"/>
      <c r="XFA123" s="9"/>
      <c r="XFB123" s="9"/>
      <c r="XFC123" s="9"/>
      <c r="XFD123" s="9"/>
    </row>
    <row r="124" spans="1:8 16325:16384" s="3" customFormat="1" ht="19.95" customHeight="1">
      <c r="A124" s="6" t="str">
        <f t="shared" si="4"/>
        <v>040005</v>
      </c>
      <c r="B124" s="6" t="s">
        <v>14</v>
      </c>
      <c r="C124" s="6" t="s">
        <v>10</v>
      </c>
      <c r="D124" s="6" t="str">
        <f>"512731401"</f>
        <v>512731401</v>
      </c>
      <c r="E124" s="7">
        <v>87</v>
      </c>
      <c r="F124" s="7">
        <v>73.5</v>
      </c>
      <c r="G124" s="7"/>
      <c r="H124" s="7">
        <v>81.599999999999994</v>
      </c>
      <c r="XCW124" s="9"/>
      <c r="XCX124" s="9"/>
      <c r="XCY124" s="9"/>
      <c r="XCZ124" s="9"/>
      <c r="XDA124" s="9"/>
      <c r="XDB124" s="9"/>
      <c r="XDC124" s="9"/>
      <c r="XDD124" s="9"/>
      <c r="XDE124" s="9"/>
      <c r="XDF124" s="9"/>
      <c r="XDG124" s="9"/>
      <c r="XDH124" s="9"/>
      <c r="XDI124" s="9"/>
      <c r="XDJ124" s="9"/>
      <c r="XDK124" s="9"/>
      <c r="XDL124" s="9"/>
      <c r="XDM124" s="9"/>
      <c r="XDN124" s="9"/>
      <c r="XDO124" s="9"/>
      <c r="XDP124" s="9"/>
      <c r="XDQ124" s="9"/>
      <c r="XDR124" s="9"/>
      <c r="XDS124" s="9"/>
      <c r="XDT124" s="9"/>
      <c r="XDU124" s="9"/>
      <c r="XDV124" s="9"/>
      <c r="XDW124" s="9"/>
      <c r="XDX124" s="9"/>
      <c r="XDY124" s="9"/>
      <c r="XDZ124" s="9"/>
      <c r="XEA124" s="9"/>
      <c r="XEB124" s="9"/>
      <c r="XEC124" s="9"/>
      <c r="XED124" s="9"/>
      <c r="XEE124" s="9"/>
      <c r="XEF124" s="9"/>
      <c r="XEG124" s="9"/>
      <c r="XEH124" s="9"/>
      <c r="XEI124" s="9"/>
      <c r="XEJ124" s="9"/>
      <c r="XEK124" s="9"/>
      <c r="XEL124" s="9"/>
      <c r="XEM124" s="9"/>
      <c r="XEN124" s="9"/>
      <c r="XEO124" s="9"/>
      <c r="XEP124" s="9"/>
      <c r="XEQ124" s="9"/>
      <c r="XER124" s="9"/>
      <c r="XES124" s="9"/>
      <c r="XET124" s="9"/>
      <c r="XEU124" s="9"/>
      <c r="XEV124" s="9"/>
      <c r="XEW124" s="9"/>
      <c r="XEX124" s="9"/>
      <c r="XEY124" s="9"/>
      <c r="XEZ124" s="9"/>
      <c r="XFA124" s="9"/>
      <c r="XFB124" s="9"/>
      <c r="XFC124" s="9"/>
      <c r="XFD124" s="9"/>
    </row>
    <row r="125" spans="1:8 16325:16384" s="3" customFormat="1" ht="19.95" customHeight="1">
      <c r="A125" s="6" t="str">
        <f t="shared" si="4"/>
        <v>040005</v>
      </c>
      <c r="B125" s="6" t="s">
        <v>14</v>
      </c>
      <c r="C125" s="6" t="s">
        <v>10</v>
      </c>
      <c r="D125" s="6" t="str">
        <f>"512731430"</f>
        <v>512731430</v>
      </c>
      <c r="E125" s="7">
        <v>92.5</v>
      </c>
      <c r="F125" s="7">
        <v>62.5</v>
      </c>
      <c r="G125" s="7"/>
      <c r="H125" s="7">
        <v>80.5</v>
      </c>
      <c r="XCW125" s="9"/>
      <c r="XCX125" s="9"/>
      <c r="XCY125" s="9"/>
      <c r="XCZ125" s="9"/>
      <c r="XDA125" s="9"/>
      <c r="XDB125" s="9"/>
      <c r="XDC125" s="9"/>
      <c r="XDD125" s="9"/>
      <c r="XDE125" s="9"/>
      <c r="XDF125" s="9"/>
      <c r="XDG125" s="9"/>
      <c r="XDH125" s="9"/>
      <c r="XDI125" s="9"/>
      <c r="XDJ125" s="9"/>
      <c r="XDK125" s="9"/>
      <c r="XDL125" s="9"/>
      <c r="XDM125" s="9"/>
      <c r="XDN125" s="9"/>
      <c r="XDO125" s="9"/>
      <c r="XDP125" s="9"/>
      <c r="XDQ125" s="9"/>
      <c r="XDR125" s="9"/>
      <c r="XDS125" s="9"/>
      <c r="XDT125" s="9"/>
      <c r="XDU125" s="9"/>
      <c r="XDV125" s="9"/>
      <c r="XDW125" s="9"/>
      <c r="XDX125" s="9"/>
      <c r="XDY125" s="9"/>
      <c r="XDZ125" s="9"/>
      <c r="XEA125" s="9"/>
      <c r="XEB125" s="9"/>
      <c r="XEC125" s="9"/>
      <c r="XED125" s="9"/>
      <c r="XEE125" s="9"/>
      <c r="XEF125" s="9"/>
      <c r="XEG125" s="9"/>
      <c r="XEH125" s="9"/>
      <c r="XEI125" s="9"/>
      <c r="XEJ125" s="9"/>
      <c r="XEK125" s="9"/>
      <c r="XEL125" s="9"/>
      <c r="XEM125" s="9"/>
      <c r="XEN125" s="9"/>
      <c r="XEO125" s="9"/>
      <c r="XEP125" s="9"/>
      <c r="XEQ125" s="9"/>
      <c r="XER125" s="9"/>
      <c r="XES125" s="9"/>
      <c r="XET125" s="9"/>
      <c r="XEU125" s="9"/>
      <c r="XEV125" s="9"/>
      <c r="XEW125" s="9"/>
      <c r="XEX125" s="9"/>
      <c r="XEY125" s="9"/>
      <c r="XEZ125" s="9"/>
      <c r="XFA125" s="9"/>
      <c r="XFB125" s="9"/>
      <c r="XFC125" s="9"/>
      <c r="XFD125" s="9"/>
    </row>
    <row r="126" spans="1:8 16325:16384" s="3" customFormat="1" ht="19.95" customHeight="1">
      <c r="A126" s="6" t="str">
        <f t="shared" si="4"/>
        <v>040005</v>
      </c>
      <c r="B126" s="6" t="s">
        <v>14</v>
      </c>
      <c r="C126" s="6" t="s">
        <v>10</v>
      </c>
      <c r="D126" s="6" t="str">
        <f>"512731407"</f>
        <v>512731407</v>
      </c>
      <c r="E126" s="7">
        <v>94.5</v>
      </c>
      <c r="F126" s="7">
        <v>55.5</v>
      </c>
      <c r="G126" s="7"/>
      <c r="H126" s="7">
        <v>78.900000000000006</v>
      </c>
      <c r="XCW126" s="9"/>
      <c r="XCX126" s="9"/>
      <c r="XCY126" s="9"/>
      <c r="XCZ126" s="9"/>
      <c r="XDA126" s="9"/>
      <c r="XDB126" s="9"/>
      <c r="XDC126" s="9"/>
      <c r="XDD126" s="9"/>
      <c r="XDE126" s="9"/>
      <c r="XDF126" s="9"/>
      <c r="XDG126" s="9"/>
      <c r="XDH126" s="9"/>
      <c r="XDI126" s="9"/>
      <c r="XDJ126" s="9"/>
      <c r="XDK126" s="9"/>
      <c r="XDL126" s="9"/>
      <c r="XDM126" s="9"/>
      <c r="XDN126" s="9"/>
      <c r="XDO126" s="9"/>
      <c r="XDP126" s="9"/>
      <c r="XDQ126" s="9"/>
      <c r="XDR126" s="9"/>
      <c r="XDS126" s="9"/>
      <c r="XDT126" s="9"/>
      <c r="XDU126" s="9"/>
      <c r="XDV126" s="9"/>
      <c r="XDW126" s="9"/>
      <c r="XDX126" s="9"/>
      <c r="XDY126" s="9"/>
      <c r="XDZ126" s="9"/>
      <c r="XEA126" s="9"/>
      <c r="XEB126" s="9"/>
      <c r="XEC126" s="9"/>
      <c r="XED126" s="9"/>
      <c r="XEE126" s="9"/>
      <c r="XEF126" s="9"/>
      <c r="XEG126" s="9"/>
      <c r="XEH126" s="9"/>
      <c r="XEI126" s="9"/>
      <c r="XEJ126" s="9"/>
      <c r="XEK126" s="9"/>
      <c r="XEL126" s="9"/>
      <c r="XEM126" s="9"/>
      <c r="XEN126" s="9"/>
      <c r="XEO126" s="9"/>
      <c r="XEP126" s="9"/>
      <c r="XEQ126" s="9"/>
      <c r="XER126" s="9"/>
      <c r="XES126" s="9"/>
      <c r="XET126" s="9"/>
      <c r="XEU126" s="9"/>
      <c r="XEV126" s="9"/>
      <c r="XEW126" s="9"/>
      <c r="XEX126" s="9"/>
      <c r="XEY126" s="9"/>
      <c r="XEZ126" s="9"/>
      <c r="XFA126" s="9"/>
      <c r="XFB126" s="9"/>
      <c r="XFC126" s="9"/>
      <c r="XFD126" s="9"/>
    </row>
    <row r="127" spans="1:8 16325:16384" s="3" customFormat="1" ht="19.95" customHeight="1">
      <c r="A127" s="6" t="str">
        <f t="shared" si="4"/>
        <v>040005</v>
      </c>
      <c r="B127" s="6" t="s">
        <v>14</v>
      </c>
      <c r="C127" s="6" t="s">
        <v>10</v>
      </c>
      <c r="D127" s="6" t="str">
        <f>"512731411"</f>
        <v>512731411</v>
      </c>
      <c r="E127" s="7">
        <v>0</v>
      </c>
      <c r="F127" s="7">
        <v>0</v>
      </c>
      <c r="G127" s="7"/>
      <c r="H127" s="7">
        <v>0</v>
      </c>
      <c r="XCW127" s="9"/>
      <c r="XCX127" s="9"/>
      <c r="XCY127" s="9"/>
      <c r="XCZ127" s="9"/>
      <c r="XDA127" s="9"/>
      <c r="XDB127" s="9"/>
      <c r="XDC127" s="9"/>
      <c r="XDD127" s="9"/>
      <c r="XDE127" s="9"/>
      <c r="XDF127" s="9"/>
      <c r="XDG127" s="9"/>
      <c r="XDH127" s="9"/>
      <c r="XDI127" s="9"/>
      <c r="XDJ127" s="9"/>
      <c r="XDK127" s="9"/>
      <c r="XDL127" s="9"/>
      <c r="XDM127" s="9"/>
      <c r="XDN127" s="9"/>
      <c r="XDO127" s="9"/>
      <c r="XDP127" s="9"/>
      <c r="XDQ127" s="9"/>
      <c r="XDR127" s="9"/>
      <c r="XDS127" s="9"/>
      <c r="XDT127" s="9"/>
      <c r="XDU127" s="9"/>
      <c r="XDV127" s="9"/>
      <c r="XDW127" s="9"/>
      <c r="XDX127" s="9"/>
      <c r="XDY127" s="9"/>
      <c r="XDZ127" s="9"/>
      <c r="XEA127" s="9"/>
      <c r="XEB127" s="9"/>
      <c r="XEC127" s="9"/>
      <c r="XED127" s="9"/>
      <c r="XEE127" s="9"/>
      <c r="XEF127" s="9"/>
      <c r="XEG127" s="9"/>
      <c r="XEH127" s="9"/>
      <c r="XEI127" s="9"/>
      <c r="XEJ127" s="9"/>
      <c r="XEK127" s="9"/>
      <c r="XEL127" s="9"/>
      <c r="XEM127" s="9"/>
      <c r="XEN127" s="9"/>
      <c r="XEO127" s="9"/>
      <c r="XEP127" s="9"/>
      <c r="XEQ127" s="9"/>
      <c r="XER127" s="9"/>
      <c r="XES127" s="9"/>
      <c r="XET127" s="9"/>
      <c r="XEU127" s="9"/>
      <c r="XEV127" s="9"/>
      <c r="XEW127" s="9"/>
      <c r="XEX127" s="9"/>
      <c r="XEY127" s="9"/>
      <c r="XEZ127" s="9"/>
      <c r="XFA127" s="9"/>
      <c r="XFB127" s="9"/>
      <c r="XFC127" s="9"/>
      <c r="XFD127" s="9"/>
    </row>
    <row r="128" spans="1:8 16325:16384" s="3" customFormat="1" ht="19.95" customHeight="1">
      <c r="A128" s="6" t="str">
        <f t="shared" si="4"/>
        <v>040005</v>
      </c>
      <c r="B128" s="6" t="s">
        <v>14</v>
      </c>
      <c r="C128" s="6" t="s">
        <v>10</v>
      </c>
      <c r="D128" s="6" t="str">
        <f>"512731504"</f>
        <v>512731504</v>
      </c>
      <c r="E128" s="7">
        <v>70</v>
      </c>
      <c r="F128" s="7">
        <v>69.5</v>
      </c>
      <c r="G128" s="7"/>
      <c r="H128" s="7">
        <v>69.8</v>
      </c>
      <c r="XCW128" s="9"/>
      <c r="XCX128" s="9"/>
      <c r="XCY128" s="9"/>
      <c r="XCZ128" s="9"/>
      <c r="XDA128" s="9"/>
      <c r="XDB128" s="9"/>
      <c r="XDC128" s="9"/>
      <c r="XDD128" s="9"/>
      <c r="XDE128" s="9"/>
      <c r="XDF128" s="9"/>
      <c r="XDG128" s="9"/>
      <c r="XDH128" s="9"/>
      <c r="XDI128" s="9"/>
      <c r="XDJ128" s="9"/>
      <c r="XDK128" s="9"/>
      <c r="XDL128" s="9"/>
      <c r="XDM128" s="9"/>
      <c r="XDN128" s="9"/>
      <c r="XDO128" s="9"/>
      <c r="XDP128" s="9"/>
      <c r="XDQ128" s="9"/>
      <c r="XDR128" s="9"/>
      <c r="XDS128" s="9"/>
      <c r="XDT128" s="9"/>
      <c r="XDU128" s="9"/>
      <c r="XDV128" s="9"/>
      <c r="XDW128" s="9"/>
      <c r="XDX128" s="9"/>
      <c r="XDY128" s="9"/>
      <c r="XDZ128" s="9"/>
      <c r="XEA128" s="9"/>
      <c r="XEB128" s="9"/>
      <c r="XEC128" s="9"/>
      <c r="XED128" s="9"/>
      <c r="XEE128" s="9"/>
      <c r="XEF128" s="9"/>
      <c r="XEG128" s="9"/>
      <c r="XEH128" s="9"/>
      <c r="XEI128" s="9"/>
      <c r="XEJ128" s="9"/>
      <c r="XEK128" s="9"/>
      <c r="XEL128" s="9"/>
      <c r="XEM128" s="9"/>
      <c r="XEN128" s="9"/>
      <c r="XEO128" s="9"/>
      <c r="XEP128" s="9"/>
      <c r="XEQ128" s="9"/>
      <c r="XER128" s="9"/>
      <c r="XES128" s="9"/>
      <c r="XET128" s="9"/>
      <c r="XEU128" s="9"/>
      <c r="XEV128" s="9"/>
      <c r="XEW128" s="9"/>
      <c r="XEX128" s="9"/>
      <c r="XEY128" s="9"/>
      <c r="XEZ128" s="9"/>
      <c r="XFA128" s="9"/>
      <c r="XFB128" s="9"/>
      <c r="XFC128" s="9"/>
      <c r="XFD128" s="9"/>
    </row>
    <row r="129" spans="1:8 16325:16384" s="3" customFormat="1" ht="19.95" customHeight="1">
      <c r="A129" s="6" t="str">
        <f t="shared" si="4"/>
        <v>040005</v>
      </c>
      <c r="B129" s="6" t="s">
        <v>14</v>
      </c>
      <c r="C129" s="6" t="s">
        <v>10</v>
      </c>
      <c r="D129" s="6" t="str">
        <f>"512731417"</f>
        <v>512731417</v>
      </c>
      <c r="E129" s="7">
        <v>95</v>
      </c>
      <c r="F129" s="7">
        <v>84</v>
      </c>
      <c r="G129" s="7"/>
      <c r="H129" s="7">
        <v>90.6</v>
      </c>
      <c r="XCW129" s="9"/>
      <c r="XCX129" s="9"/>
      <c r="XCY129" s="9"/>
      <c r="XCZ129" s="9"/>
      <c r="XDA129" s="9"/>
      <c r="XDB129" s="9"/>
      <c r="XDC129" s="9"/>
      <c r="XDD129" s="9"/>
      <c r="XDE129" s="9"/>
      <c r="XDF129" s="9"/>
      <c r="XDG129" s="9"/>
      <c r="XDH129" s="9"/>
      <c r="XDI129" s="9"/>
      <c r="XDJ129" s="9"/>
      <c r="XDK129" s="9"/>
      <c r="XDL129" s="9"/>
      <c r="XDM129" s="9"/>
      <c r="XDN129" s="9"/>
      <c r="XDO129" s="9"/>
      <c r="XDP129" s="9"/>
      <c r="XDQ129" s="9"/>
      <c r="XDR129" s="9"/>
      <c r="XDS129" s="9"/>
      <c r="XDT129" s="9"/>
      <c r="XDU129" s="9"/>
      <c r="XDV129" s="9"/>
      <c r="XDW129" s="9"/>
      <c r="XDX129" s="9"/>
      <c r="XDY129" s="9"/>
      <c r="XDZ129" s="9"/>
      <c r="XEA129" s="9"/>
      <c r="XEB129" s="9"/>
      <c r="XEC129" s="9"/>
      <c r="XED129" s="9"/>
      <c r="XEE129" s="9"/>
      <c r="XEF129" s="9"/>
      <c r="XEG129" s="9"/>
      <c r="XEH129" s="9"/>
      <c r="XEI129" s="9"/>
      <c r="XEJ129" s="9"/>
      <c r="XEK129" s="9"/>
      <c r="XEL129" s="9"/>
      <c r="XEM129" s="9"/>
      <c r="XEN129" s="9"/>
      <c r="XEO129" s="9"/>
      <c r="XEP129" s="9"/>
      <c r="XEQ129" s="9"/>
      <c r="XER129" s="9"/>
      <c r="XES129" s="9"/>
      <c r="XET129" s="9"/>
      <c r="XEU129" s="9"/>
      <c r="XEV129" s="9"/>
      <c r="XEW129" s="9"/>
      <c r="XEX129" s="9"/>
      <c r="XEY129" s="9"/>
      <c r="XEZ129" s="9"/>
      <c r="XFA129" s="9"/>
      <c r="XFB129" s="9"/>
      <c r="XFC129" s="9"/>
      <c r="XFD129" s="9"/>
    </row>
    <row r="130" spans="1:8 16325:16384" s="3" customFormat="1" ht="19.95" customHeight="1">
      <c r="A130" s="6" t="str">
        <f t="shared" si="4"/>
        <v>040005</v>
      </c>
      <c r="B130" s="6" t="s">
        <v>14</v>
      </c>
      <c r="C130" s="6" t="s">
        <v>10</v>
      </c>
      <c r="D130" s="6" t="str">
        <f>"512731406"</f>
        <v>512731406</v>
      </c>
      <c r="E130" s="7">
        <v>106.5</v>
      </c>
      <c r="F130" s="7">
        <v>69</v>
      </c>
      <c r="G130" s="7"/>
      <c r="H130" s="7">
        <v>91.5</v>
      </c>
      <c r="XCW130" s="9"/>
      <c r="XCX130" s="9"/>
      <c r="XCY130" s="9"/>
      <c r="XCZ130" s="9"/>
      <c r="XDA130" s="9"/>
      <c r="XDB130" s="9"/>
      <c r="XDC130" s="9"/>
      <c r="XDD130" s="9"/>
      <c r="XDE130" s="9"/>
      <c r="XDF130" s="9"/>
      <c r="XDG130" s="9"/>
      <c r="XDH130" s="9"/>
      <c r="XDI130" s="9"/>
      <c r="XDJ130" s="9"/>
      <c r="XDK130" s="9"/>
      <c r="XDL130" s="9"/>
      <c r="XDM130" s="9"/>
      <c r="XDN130" s="9"/>
      <c r="XDO130" s="9"/>
      <c r="XDP130" s="9"/>
      <c r="XDQ130" s="9"/>
      <c r="XDR130" s="9"/>
      <c r="XDS130" s="9"/>
      <c r="XDT130" s="9"/>
      <c r="XDU130" s="9"/>
      <c r="XDV130" s="9"/>
      <c r="XDW130" s="9"/>
      <c r="XDX130" s="9"/>
      <c r="XDY130" s="9"/>
      <c r="XDZ130" s="9"/>
      <c r="XEA130" s="9"/>
      <c r="XEB130" s="9"/>
      <c r="XEC130" s="9"/>
      <c r="XED130" s="9"/>
      <c r="XEE130" s="9"/>
      <c r="XEF130" s="9"/>
      <c r="XEG130" s="9"/>
      <c r="XEH130" s="9"/>
      <c r="XEI130" s="9"/>
      <c r="XEJ130" s="9"/>
      <c r="XEK130" s="9"/>
      <c r="XEL130" s="9"/>
      <c r="XEM130" s="9"/>
      <c r="XEN130" s="9"/>
      <c r="XEO130" s="9"/>
      <c r="XEP130" s="9"/>
      <c r="XEQ130" s="9"/>
      <c r="XER130" s="9"/>
      <c r="XES130" s="9"/>
      <c r="XET130" s="9"/>
      <c r="XEU130" s="9"/>
      <c r="XEV130" s="9"/>
      <c r="XEW130" s="9"/>
      <c r="XEX130" s="9"/>
      <c r="XEY130" s="9"/>
      <c r="XEZ130" s="9"/>
      <c r="XFA130" s="9"/>
      <c r="XFB130" s="9"/>
      <c r="XFC130" s="9"/>
      <c r="XFD130" s="9"/>
    </row>
    <row r="131" spans="1:8 16325:16384" s="3" customFormat="1" ht="19.95" customHeight="1">
      <c r="A131" s="6" t="str">
        <f t="shared" si="4"/>
        <v>040005</v>
      </c>
      <c r="B131" s="6" t="s">
        <v>14</v>
      </c>
      <c r="C131" s="6" t="s">
        <v>10</v>
      </c>
      <c r="D131" s="6" t="str">
        <f>"512731429"</f>
        <v>512731429</v>
      </c>
      <c r="E131" s="7">
        <v>98.5</v>
      </c>
      <c r="F131" s="7">
        <v>77.5</v>
      </c>
      <c r="G131" s="7"/>
      <c r="H131" s="7">
        <v>90.1</v>
      </c>
      <c r="XCW131" s="9"/>
      <c r="XCX131" s="9"/>
      <c r="XCY131" s="9"/>
      <c r="XCZ131" s="9"/>
      <c r="XDA131" s="9"/>
      <c r="XDB131" s="9"/>
      <c r="XDC131" s="9"/>
      <c r="XDD131" s="9"/>
      <c r="XDE131" s="9"/>
      <c r="XDF131" s="9"/>
      <c r="XDG131" s="9"/>
      <c r="XDH131" s="9"/>
      <c r="XDI131" s="9"/>
      <c r="XDJ131" s="9"/>
      <c r="XDK131" s="9"/>
      <c r="XDL131" s="9"/>
      <c r="XDM131" s="9"/>
      <c r="XDN131" s="9"/>
      <c r="XDO131" s="9"/>
      <c r="XDP131" s="9"/>
      <c r="XDQ131" s="9"/>
      <c r="XDR131" s="9"/>
      <c r="XDS131" s="9"/>
      <c r="XDT131" s="9"/>
      <c r="XDU131" s="9"/>
      <c r="XDV131" s="9"/>
      <c r="XDW131" s="9"/>
      <c r="XDX131" s="9"/>
      <c r="XDY131" s="9"/>
      <c r="XDZ131" s="9"/>
      <c r="XEA131" s="9"/>
      <c r="XEB131" s="9"/>
      <c r="XEC131" s="9"/>
      <c r="XED131" s="9"/>
      <c r="XEE131" s="9"/>
      <c r="XEF131" s="9"/>
      <c r="XEG131" s="9"/>
      <c r="XEH131" s="9"/>
      <c r="XEI131" s="9"/>
      <c r="XEJ131" s="9"/>
      <c r="XEK131" s="9"/>
      <c r="XEL131" s="9"/>
      <c r="XEM131" s="9"/>
      <c r="XEN131" s="9"/>
      <c r="XEO131" s="9"/>
      <c r="XEP131" s="9"/>
      <c r="XEQ131" s="9"/>
      <c r="XER131" s="9"/>
      <c r="XES131" s="9"/>
      <c r="XET131" s="9"/>
      <c r="XEU131" s="9"/>
      <c r="XEV131" s="9"/>
      <c r="XEW131" s="9"/>
      <c r="XEX131" s="9"/>
      <c r="XEY131" s="9"/>
      <c r="XEZ131" s="9"/>
      <c r="XFA131" s="9"/>
      <c r="XFB131" s="9"/>
      <c r="XFC131" s="9"/>
      <c r="XFD131" s="9"/>
    </row>
    <row r="132" spans="1:8 16325:16384" s="3" customFormat="1" ht="19.95" customHeight="1">
      <c r="A132" s="6" t="str">
        <f t="shared" si="4"/>
        <v>040005</v>
      </c>
      <c r="B132" s="6" t="s">
        <v>14</v>
      </c>
      <c r="C132" s="6" t="s">
        <v>10</v>
      </c>
      <c r="D132" s="6" t="str">
        <f>"512731412"</f>
        <v>512731412</v>
      </c>
      <c r="E132" s="7">
        <v>67</v>
      </c>
      <c r="F132" s="7">
        <v>67.5</v>
      </c>
      <c r="G132" s="7"/>
      <c r="H132" s="7">
        <v>67.2</v>
      </c>
      <c r="XCW132" s="9"/>
      <c r="XCX132" s="9"/>
      <c r="XCY132" s="9"/>
      <c r="XCZ132" s="9"/>
      <c r="XDA132" s="9"/>
      <c r="XDB132" s="9"/>
      <c r="XDC132" s="9"/>
      <c r="XDD132" s="9"/>
      <c r="XDE132" s="9"/>
      <c r="XDF132" s="9"/>
      <c r="XDG132" s="9"/>
      <c r="XDH132" s="9"/>
      <c r="XDI132" s="9"/>
      <c r="XDJ132" s="9"/>
      <c r="XDK132" s="9"/>
      <c r="XDL132" s="9"/>
      <c r="XDM132" s="9"/>
      <c r="XDN132" s="9"/>
      <c r="XDO132" s="9"/>
      <c r="XDP132" s="9"/>
      <c r="XDQ132" s="9"/>
      <c r="XDR132" s="9"/>
      <c r="XDS132" s="9"/>
      <c r="XDT132" s="9"/>
      <c r="XDU132" s="9"/>
      <c r="XDV132" s="9"/>
      <c r="XDW132" s="9"/>
      <c r="XDX132" s="9"/>
      <c r="XDY132" s="9"/>
      <c r="XDZ132" s="9"/>
      <c r="XEA132" s="9"/>
      <c r="XEB132" s="9"/>
      <c r="XEC132" s="9"/>
      <c r="XED132" s="9"/>
      <c r="XEE132" s="9"/>
      <c r="XEF132" s="9"/>
      <c r="XEG132" s="9"/>
      <c r="XEH132" s="9"/>
      <c r="XEI132" s="9"/>
      <c r="XEJ132" s="9"/>
      <c r="XEK132" s="9"/>
      <c r="XEL132" s="9"/>
      <c r="XEM132" s="9"/>
      <c r="XEN132" s="9"/>
      <c r="XEO132" s="9"/>
      <c r="XEP132" s="9"/>
      <c r="XEQ132" s="9"/>
      <c r="XER132" s="9"/>
      <c r="XES132" s="9"/>
      <c r="XET132" s="9"/>
      <c r="XEU132" s="9"/>
      <c r="XEV132" s="9"/>
      <c r="XEW132" s="9"/>
      <c r="XEX132" s="9"/>
      <c r="XEY132" s="9"/>
      <c r="XEZ132" s="9"/>
      <c r="XFA132" s="9"/>
      <c r="XFB132" s="9"/>
      <c r="XFC132" s="9"/>
      <c r="XFD132" s="9"/>
    </row>
    <row r="133" spans="1:8 16325:16384" s="3" customFormat="1" ht="19.95" customHeight="1">
      <c r="A133" s="6" t="str">
        <f t="shared" si="4"/>
        <v>040005</v>
      </c>
      <c r="B133" s="6" t="s">
        <v>14</v>
      </c>
      <c r="C133" s="6" t="s">
        <v>10</v>
      </c>
      <c r="D133" s="6" t="str">
        <f>"512731425"</f>
        <v>512731425</v>
      </c>
      <c r="E133" s="7">
        <v>0</v>
      </c>
      <c r="F133" s="7">
        <v>0</v>
      </c>
      <c r="G133" s="7"/>
      <c r="H133" s="7">
        <v>0</v>
      </c>
      <c r="XCW133" s="9"/>
      <c r="XCX133" s="9"/>
      <c r="XCY133" s="9"/>
      <c r="XCZ133" s="9"/>
      <c r="XDA133" s="9"/>
      <c r="XDB133" s="9"/>
      <c r="XDC133" s="9"/>
      <c r="XDD133" s="9"/>
      <c r="XDE133" s="9"/>
      <c r="XDF133" s="9"/>
      <c r="XDG133" s="9"/>
      <c r="XDH133" s="9"/>
      <c r="XDI133" s="9"/>
      <c r="XDJ133" s="9"/>
      <c r="XDK133" s="9"/>
      <c r="XDL133" s="9"/>
      <c r="XDM133" s="9"/>
      <c r="XDN133" s="9"/>
      <c r="XDO133" s="9"/>
      <c r="XDP133" s="9"/>
      <c r="XDQ133" s="9"/>
      <c r="XDR133" s="9"/>
      <c r="XDS133" s="9"/>
      <c r="XDT133" s="9"/>
      <c r="XDU133" s="9"/>
      <c r="XDV133" s="9"/>
      <c r="XDW133" s="9"/>
      <c r="XDX133" s="9"/>
      <c r="XDY133" s="9"/>
      <c r="XDZ133" s="9"/>
      <c r="XEA133" s="9"/>
      <c r="XEB133" s="9"/>
      <c r="XEC133" s="9"/>
      <c r="XED133" s="9"/>
      <c r="XEE133" s="9"/>
      <c r="XEF133" s="9"/>
      <c r="XEG133" s="9"/>
      <c r="XEH133" s="9"/>
      <c r="XEI133" s="9"/>
      <c r="XEJ133" s="9"/>
      <c r="XEK133" s="9"/>
      <c r="XEL133" s="9"/>
      <c r="XEM133" s="9"/>
      <c r="XEN133" s="9"/>
      <c r="XEO133" s="9"/>
      <c r="XEP133" s="9"/>
      <c r="XEQ133" s="9"/>
      <c r="XER133" s="9"/>
      <c r="XES133" s="9"/>
      <c r="XET133" s="9"/>
      <c r="XEU133" s="9"/>
      <c r="XEV133" s="9"/>
      <c r="XEW133" s="9"/>
      <c r="XEX133" s="9"/>
      <c r="XEY133" s="9"/>
      <c r="XEZ133" s="9"/>
      <c r="XFA133" s="9"/>
      <c r="XFB133" s="9"/>
      <c r="XFC133" s="9"/>
      <c r="XFD133" s="9"/>
    </row>
    <row r="134" spans="1:8 16325:16384" s="3" customFormat="1" ht="19.95" customHeight="1">
      <c r="A134" s="6" t="str">
        <f t="shared" si="4"/>
        <v>040005</v>
      </c>
      <c r="B134" s="6" t="s">
        <v>14</v>
      </c>
      <c r="C134" s="6" t="s">
        <v>10</v>
      </c>
      <c r="D134" s="6" t="str">
        <f>"512731419"</f>
        <v>512731419</v>
      </c>
      <c r="E134" s="7">
        <v>68</v>
      </c>
      <c r="F134" s="7">
        <v>60.5</v>
      </c>
      <c r="G134" s="7"/>
      <c r="H134" s="7">
        <v>65</v>
      </c>
      <c r="XCW134" s="9"/>
      <c r="XCX134" s="9"/>
      <c r="XCY134" s="9"/>
      <c r="XCZ134" s="9"/>
      <c r="XDA134" s="9"/>
      <c r="XDB134" s="9"/>
      <c r="XDC134" s="9"/>
      <c r="XDD134" s="9"/>
      <c r="XDE134" s="9"/>
      <c r="XDF134" s="9"/>
      <c r="XDG134" s="9"/>
      <c r="XDH134" s="9"/>
      <c r="XDI134" s="9"/>
      <c r="XDJ134" s="9"/>
      <c r="XDK134" s="9"/>
      <c r="XDL134" s="9"/>
      <c r="XDM134" s="9"/>
      <c r="XDN134" s="9"/>
      <c r="XDO134" s="9"/>
      <c r="XDP134" s="9"/>
      <c r="XDQ134" s="9"/>
      <c r="XDR134" s="9"/>
      <c r="XDS134" s="9"/>
      <c r="XDT134" s="9"/>
      <c r="XDU134" s="9"/>
      <c r="XDV134" s="9"/>
      <c r="XDW134" s="9"/>
      <c r="XDX134" s="9"/>
      <c r="XDY134" s="9"/>
      <c r="XDZ134" s="9"/>
      <c r="XEA134" s="9"/>
      <c r="XEB134" s="9"/>
      <c r="XEC134" s="9"/>
      <c r="XED134" s="9"/>
      <c r="XEE134" s="9"/>
      <c r="XEF134" s="9"/>
      <c r="XEG134" s="9"/>
      <c r="XEH134" s="9"/>
      <c r="XEI134" s="9"/>
      <c r="XEJ134" s="9"/>
      <c r="XEK134" s="9"/>
      <c r="XEL134" s="9"/>
      <c r="XEM134" s="9"/>
      <c r="XEN134" s="9"/>
      <c r="XEO134" s="9"/>
      <c r="XEP134" s="9"/>
      <c r="XEQ134" s="9"/>
      <c r="XER134" s="9"/>
      <c r="XES134" s="9"/>
      <c r="XET134" s="9"/>
      <c r="XEU134" s="9"/>
      <c r="XEV134" s="9"/>
      <c r="XEW134" s="9"/>
      <c r="XEX134" s="9"/>
      <c r="XEY134" s="9"/>
      <c r="XEZ134" s="9"/>
      <c r="XFA134" s="9"/>
      <c r="XFB134" s="9"/>
      <c r="XFC134" s="9"/>
      <c r="XFD134" s="9"/>
    </row>
    <row r="135" spans="1:8 16325:16384" s="3" customFormat="1" ht="19.95" customHeight="1">
      <c r="A135" s="6" t="str">
        <f t="shared" si="4"/>
        <v>040005</v>
      </c>
      <c r="B135" s="6" t="s">
        <v>14</v>
      </c>
      <c r="C135" s="6" t="s">
        <v>10</v>
      </c>
      <c r="D135" s="6" t="str">
        <f>"512731413"</f>
        <v>512731413</v>
      </c>
      <c r="E135" s="7">
        <v>100</v>
      </c>
      <c r="F135" s="7">
        <v>80.5</v>
      </c>
      <c r="G135" s="7"/>
      <c r="H135" s="7">
        <v>92.2</v>
      </c>
      <c r="XCW135" s="9"/>
      <c r="XCX135" s="9"/>
      <c r="XCY135" s="9"/>
      <c r="XCZ135" s="9"/>
      <c r="XDA135" s="9"/>
      <c r="XDB135" s="9"/>
      <c r="XDC135" s="9"/>
      <c r="XDD135" s="9"/>
      <c r="XDE135" s="9"/>
      <c r="XDF135" s="9"/>
      <c r="XDG135" s="9"/>
      <c r="XDH135" s="9"/>
      <c r="XDI135" s="9"/>
      <c r="XDJ135" s="9"/>
      <c r="XDK135" s="9"/>
      <c r="XDL135" s="9"/>
      <c r="XDM135" s="9"/>
      <c r="XDN135" s="9"/>
      <c r="XDO135" s="9"/>
      <c r="XDP135" s="9"/>
      <c r="XDQ135" s="9"/>
      <c r="XDR135" s="9"/>
      <c r="XDS135" s="9"/>
      <c r="XDT135" s="9"/>
      <c r="XDU135" s="9"/>
      <c r="XDV135" s="9"/>
      <c r="XDW135" s="9"/>
      <c r="XDX135" s="9"/>
      <c r="XDY135" s="9"/>
      <c r="XDZ135" s="9"/>
      <c r="XEA135" s="9"/>
      <c r="XEB135" s="9"/>
      <c r="XEC135" s="9"/>
      <c r="XED135" s="9"/>
      <c r="XEE135" s="9"/>
      <c r="XEF135" s="9"/>
      <c r="XEG135" s="9"/>
      <c r="XEH135" s="9"/>
      <c r="XEI135" s="9"/>
      <c r="XEJ135" s="9"/>
      <c r="XEK135" s="9"/>
      <c r="XEL135" s="9"/>
      <c r="XEM135" s="9"/>
      <c r="XEN135" s="9"/>
      <c r="XEO135" s="9"/>
      <c r="XEP135" s="9"/>
      <c r="XEQ135" s="9"/>
      <c r="XER135" s="9"/>
      <c r="XES135" s="9"/>
      <c r="XET135" s="9"/>
      <c r="XEU135" s="9"/>
      <c r="XEV135" s="9"/>
      <c r="XEW135" s="9"/>
      <c r="XEX135" s="9"/>
      <c r="XEY135" s="9"/>
      <c r="XEZ135" s="9"/>
      <c r="XFA135" s="9"/>
      <c r="XFB135" s="9"/>
      <c r="XFC135" s="9"/>
      <c r="XFD135" s="9"/>
    </row>
    <row r="136" spans="1:8 16325:16384" s="3" customFormat="1" ht="19.95" customHeight="1">
      <c r="A136" s="6" t="str">
        <f t="shared" si="4"/>
        <v>040005</v>
      </c>
      <c r="B136" s="6" t="s">
        <v>14</v>
      </c>
      <c r="C136" s="6" t="s">
        <v>10</v>
      </c>
      <c r="D136" s="6" t="str">
        <f>"512731501"</f>
        <v>512731501</v>
      </c>
      <c r="E136" s="7">
        <v>86</v>
      </c>
      <c r="F136" s="7">
        <v>68.5</v>
      </c>
      <c r="G136" s="7"/>
      <c r="H136" s="7">
        <v>79</v>
      </c>
      <c r="XCW136" s="9"/>
      <c r="XCX136" s="9"/>
      <c r="XCY136" s="9"/>
      <c r="XCZ136" s="9"/>
      <c r="XDA136" s="9"/>
      <c r="XDB136" s="9"/>
      <c r="XDC136" s="9"/>
      <c r="XDD136" s="9"/>
      <c r="XDE136" s="9"/>
      <c r="XDF136" s="9"/>
      <c r="XDG136" s="9"/>
      <c r="XDH136" s="9"/>
      <c r="XDI136" s="9"/>
      <c r="XDJ136" s="9"/>
      <c r="XDK136" s="9"/>
      <c r="XDL136" s="9"/>
      <c r="XDM136" s="9"/>
      <c r="XDN136" s="9"/>
      <c r="XDO136" s="9"/>
      <c r="XDP136" s="9"/>
      <c r="XDQ136" s="9"/>
      <c r="XDR136" s="9"/>
      <c r="XDS136" s="9"/>
      <c r="XDT136" s="9"/>
      <c r="XDU136" s="9"/>
      <c r="XDV136" s="9"/>
      <c r="XDW136" s="9"/>
      <c r="XDX136" s="9"/>
      <c r="XDY136" s="9"/>
      <c r="XDZ136" s="9"/>
      <c r="XEA136" s="9"/>
      <c r="XEB136" s="9"/>
      <c r="XEC136" s="9"/>
      <c r="XED136" s="9"/>
      <c r="XEE136" s="9"/>
      <c r="XEF136" s="9"/>
      <c r="XEG136" s="9"/>
      <c r="XEH136" s="9"/>
      <c r="XEI136" s="9"/>
      <c r="XEJ136" s="9"/>
      <c r="XEK136" s="9"/>
      <c r="XEL136" s="9"/>
      <c r="XEM136" s="9"/>
      <c r="XEN136" s="9"/>
      <c r="XEO136" s="9"/>
      <c r="XEP136" s="9"/>
      <c r="XEQ136" s="9"/>
      <c r="XER136" s="9"/>
      <c r="XES136" s="9"/>
      <c r="XET136" s="9"/>
      <c r="XEU136" s="9"/>
      <c r="XEV136" s="9"/>
      <c r="XEW136" s="9"/>
      <c r="XEX136" s="9"/>
      <c r="XEY136" s="9"/>
      <c r="XEZ136" s="9"/>
      <c r="XFA136" s="9"/>
      <c r="XFB136" s="9"/>
      <c r="XFC136" s="9"/>
      <c r="XFD136" s="9"/>
    </row>
    <row r="137" spans="1:8 16325:16384" s="3" customFormat="1" ht="19.95" customHeight="1">
      <c r="A137" s="6" t="str">
        <f t="shared" si="4"/>
        <v>040005</v>
      </c>
      <c r="B137" s="6" t="s">
        <v>14</v>
      </c>
      <c r="C137" s="6" t="s">
        <v>10</v>
      </c>
      <c r="D137" s="6" t="str">
        <f>"512731410"</f>
        <v>512731410</v>
      </c>
      <c r="E137" s="7">
        <v>85.5</v>
      </c>
      <c r="F137" s="7">
        <v>71.5</v>
      </c>
      <c r="G137" s="7"/>
      <c r="H137" s="7">
        <v>79.900000000000006</v>
      </c>
      <c r="XCW137" s="9"/>
      <c r="XCX137" s="9"/>
      <c r="XCY137" s="9"/>
      <c r="XCZ137" s="9"/>
      <c r="XDA137" s="9"/>
      <c r="XDB137" s="9"/>
      <c r="XDC137" s="9"/>
      <c r="XDD137" s="9"/>
      <c r="XDE137" s="9"/>
      <c r="XDF137" s="9"/>
      <c r="XDG137" s="9"/>
      <c r="XDH137" s="9"/>
      <c r="XDI137" s="9"/>
      <c r="XDJ137" s="9"/>
      <c r="XDK137" s="9"/>
      <c r="XDL137" s="9"/>
      <c r="XDM137" s="9"/>
      <c r="XDN137" s="9"/>
      <c r="XDO137" s="9"/>
      <c r="XDP137" s="9"/>
      <c r="XDQ137" s="9"/>
      <c r="XDR137" s="9"/>
      <c r="XDS137" s="9"/>
      <c r="XDT137" s="9"/>
      <c r="XDU137" s="9"/>
      <c r="XDV137" s="9"/>
      <c r="XDW137" s="9"/>
      <c r="XDX137" s="9"/>
      <c r="XDY137" s="9"/>
      <c r="XDZ137" s="9"/>
      <c r="XEA137" s="9"/>
      <c r="XEB137" s="9"/>
      <c r="XEC137" s="9"/>
      <c r="XED137" s="9"/>
      <c r="XEE137" s="9"/>
      <c r="XEF137" s="9"/>
      <c r="XEG137" s="9"/>
      <c r="XEH137" s="9"/>
      <c r="XEI137" s="9"/>
      <c r="XEJ137" s="9"/>
      <c r="XEK137" s="9"/>
      <c r="XEL137" s="9"/>
      <c r="XEM137" s="9"/>
      <c r="XEN137" s="9"/>
      <c r="XEO137" s="9"/>
      <c r="XEP137" s="9"/>
      <c r="XEQ137" s="9"/>
      <c r="XER137" s="9"/>
      <c r="XES137" s="9"/>
      <c r="XET137" s="9"/>
      <c r="XEU137" s="9"/>
      <c r="XEV137" s="9"/>
      <c r="XEW137" s="9"/>
      <c r="XEX137" s="9"/>
      <c r="XEY137" s="9"/>
      <c r="XEZ137" s="9"/>
      <c r="XFA137" s="9"/>
      <c r="XFB137" s="9"/>
      <c r="XFC137" s="9"/>
      <c r="XFD137" s="9"/>
    </row>
    <row r="138" spans="1:8 16325:16384" s="3" customFormat="1" ht="19.95" customHeight="1">
      <c r="A138" s="6" t="str">
        <f t="shared" si="4"/>
        <v>040005</v>
      </c>
      <c r="B138" s="6" t="s">
        <v>14</v>
      </c>
      <c r="C138" s="6" t="s">
        <v>10</v>
      </c>
      <c r="D138" s="6" t="str">
        <f>"512731416"</f>
        <v>512731416</v>
      </c>
      <c r="E138" s="7">
        <v>55.5</v>
      </c>
      <c r="F138" s="7">
        <v>49.5</v>
      </c>
      <c r="G138" s="7"/>
      <c r="H138" s="7">
        <v>53.1</v>
      </c>
      <c r="XCW138" s="9"/>
      <c r="XCX138" s="9"/>
      <c r="XCY138" s="9"/>
      <c r="XCZ138" s="9"/>
      <c r="XDA138" s="9"/>
      <c r="XDB138" s="9"/>
      <c r="XDC138" s="9"/>
      <c r="XDD138" s="9"/>
      <c r="XDE138" s="9"/>
      <c r="XDF138" s="9"/>
      <c r="XDG138" s="9"/>
      <c r="XDH138" s="9"/>
      <c r="XDI138" s="9"/>
      <c r="XDJ138" s="9"/>
      <c r="XDK138" s="9"/>
      <c r="XDL138" s="9"/>
      <c r="XDM138" s="9"/>
      <c r="XDN138" s="9"/>
      <c r="XDO138" s="9"/>
      <c r="XDP138" s="9"/>
      <c r="XDQ138" s="9"/>
      <c r="XDR138" s="9"/>
      <c r="XDS138" s="9"/>
      <c r="XDT138" s="9"/>
      <c r="XDU138" s="9"/>
      <c r="XDV138" s="9"/>
      <c r="XDW138" s="9"/>
      <c r="XDX138" s="9"/>
      <c r="XDY138" s="9"/>
      <c r="XDZ138" s="9"/>
      <c r="XEA138" s="9"/>
      <c r="XEB138" s="9"/>
      <c r="XEC138" s="9"/>
      <c r="XED138" s="9"/>
      <c r="XEE138" s="9"/>
      <c r="XEF138" s="9"/>
      <c r="XEG138" s="9"/>
      <c r="XEH138" s="9"/>
      <c r="XEI138" s="9"/>
      <c r="XEJ138" s="9"/>
      <c r="XEK138" s="9"/>
      <c r="XEL138" s="9"/>
      <c r="XEM138" s="9"/>
      <c r="XEN138" s="9"/>
      <c r="XEO138" s="9"/>
      <c r="XEP138" s="9"/>
      <c r="XEQ138" s="9"/>
      <c r="XER138" s="9"/>
      <c r="XES138" s="9"/>
      <c r="XET138" s="9"/>
      <c r="XEU138" s="9"/>
      <c r="XEV138" s="9"/>
      <c r="XEW138" s="9"/>
      <c r="XEX138" s="9"/>
      <c r="XEY138" s="9"/>
      <c r="XEZ138" s="9"/>
      <c r="XFA138" s="9"/>
      <c r="XFB138" s="9"/>
      <c r="XFC138" s="9"/>
      <c r="XFD138" s="9"/>
    </row>
    <row r="139" spans="1:8 16325:16384" s="3" customFormat="1" ht="19.95" customHeight="1">
      <c r="A139" s="6" t="str">
        <f t="shared" si="4"/>
        <v>040005</v>
      </c>
      <c r="B139" s="6" t="s">
        <v>14</v>
      </c>
      <c r="C139" s="6" t="s">
        <v>10</v>
      </c>
      <c r="D139" s="6" t="str">
        <f>"512731423"</f>
        <v>512731423</v>
      </c>
      <c r="E139" s="7">
        <v>96</v>
      </c>
      <c r="F139" s="7">
        <v>79</v>
      </c>
      <c r="G139" s="7"/>
      <c r="H139" s="7">
        <v>89.2</v>
      </c>
      <c r="XCW139" s="9"/>
      <c r="XCX139" s="9"/>
      <c r="XCY139" s="9"/>
      <c r="XCZ139" s="9"/>
      <c r="XDA139" s="9"/>
      <c r="XDB139" s="9"/>
      <c r="XDC139" s="9"/>
      <c r="XDD139" s="9"/>
      <c r="XDE139" s="9"/>
      <c r="XDF139" s="9"/>
      <c r="XDG139" s="9"/>
      <c r="XDH139" s="9"/>
      <c r="XDI139" s="9"/>
      <c r="XDJ139" s="9"/>
      <c r="XDK139" s="9"/>
      <c r="XDL139" s="9"/>
      <c r="XDM139" s="9"/>
      <c r="XDN139" s="9"/>
      <c r="XDO139" s="9"/>
      <c r="XDP139" s="9"/>
      <c r="XDQ139" s="9"/>
      <c r="XDR139" s="9"/>
      <c r="XDS139" s="9"/>
      <c r="XDT139" s="9"/>
      <c r="XDU139" s="9"/>
      <c r="XDV139" s="9"/>
      <c r="XDW139" s="9"/>
      <c r="XDX139" s="9"/>
      <c r="XDY139" s="9"/>
      <c r="XDZ139" s="9"/>
      <c r="XEA139" s="9"/>
      <c r="XEB139" s="9"/>
      <c r="XEC139" s="9"/>
      <c r="XED139" s="9"/>
      <c r="XEE139" s="9"/>
      <c r="XEF139" s="9"/>
      <c r="XEG139" s="9"/>
      <c r="XEH139" s="9"/>
      <c r="XEI139" s="9"/>
      <c r="XEJ139" s="9"/>
      <c r="XEK139" s="9"/>
      <c r="XEL139" s="9"/>
      <c r="XEM139" s="9"/>
      <c r="XEN139" s="9"/>
      <c r="XEO139" s="9"/>
      <c r="XEP139" s="9"/>
      <c r="XEQ139" s="9"/>
      <c r="XER139" s="9"/>
      <c r="XES139" s="9"/>
      <c r="XET139" s="9"/>
      <c r="XEU139" s="9"/>
      <c r="XEV139" s="9"/>
      <c r="XEW139" s="9"/>
      <c r="XEX139" s="9"/>
      <c r="XEY139" s="9"/>
      <c r="XEZ139" s="9"/>
      <c r="XFA139" s="9"/>
      <c r="XFB139" s="9"/>
      <c r="XFC139" s="9"/>
      <c r="XFD139" s="9"/>
    </row>
    <row r="140" spans="1:8 16325:16384" s="3" customFormat="1" ht="19.95" customHeight="1">
      <c r="A140" s="6" t="str">
        <f t="shared" si="4"/>
        <v>040005</v>
      </c>
      <c r="B140" s="6" t="s">
        <v>14</v>
      </c>
      <c r="C140" s="6" t="s">
        <v>10</v>
      </c>
      <c r="D140" s="6" t="str">
        <f>"512731422"</f>
        <v>512731422</v>
      </c>
      <c r="E140" s="7">
        <v>88</v>
      </c>
      <c r="F140" s="7">
        <v>77.5</v>
      </c>
      <c r="G140" s="7"/>
      <c r="H140" s="7">
        <v>83.8</v>
      </c>
      <c r="XCW140" s="9"/>
      <c r="XCX140" s="9"/>
      <c r="XCY140" s="9"/>
      <c r="XCZ140" s="9"/>
      <c r="XDA140" s="9"/>
      <c r="XDB140" s="9"/>
      <c r="XDC140" s="9"/>
      <c r="XDD140" s="9"/>
      <c r="XDE140" s="9"/>
      <c r="XDF140" s="9"/>
      <c r="XDG140" s="9"/>
      <c r="XDH140" s="9"/>
      <c r="XDI140" s="9"/>
      <c r="XDJ140" s="9"/>
      <c r="XDK140" s="9"/>
      <c r="XDL140" s="9"/>
      <c r="XDM140" s="9"/>
      <c r="XDN140" s="9"/>
      <c r="XDO140" s="9"/>
      <c r="XDP140" s="9"/>
      <c r="XDQ140" s="9"/>
      <c r="XDR140" s="9"/>
      <c r="XDS140" s="9"/>
      <c r="XDT140" s="9"/>
      <c r="XDU140" s="9"/>
      <c r="XDV140" s="9"/>
      <c r="XDW140" s="9"/>
      <c r="XDX140" s="9"/>
      <c r="XDY140" s="9"/>
      <c r="XDZ140" s="9"/>
      <c r="XEA140" s="9"/>
      <c r="XEB140" s="9"/>
      <c r="XEC140" s="9"/>
      <c r="XED140" s="9"/>
      <c r="XEE140" s="9"/>
      <c r="XEF140" s="9"/>
      <c r="XEG140" s="9"/>
      <c r="XEH140" s="9"/>
      <c r="XEI140" s="9"/>
      <c r="XEJ140" s="9"/>
      <c r="XEK140" s="9"/>
      <c r="XEL140" s="9"/>
      <c r="XEM140" s="9"/>
      <c r="XEN140" s="9"/>
      <c r="XEO140" s="9"/>
      <c r="XEP140" s="9"/>
      <c r="XEQ140" s="9"/>
      <c r="XER140" s="9"/>
      <c r="XES140" s="9"/>
      <c r="XET140" s="9"/>
      <c r="XEU140" s="9"/>
      <c r="XEV140" s="9"/>
      <c r="XEW140" s="9"/>
      <c r="XEX140" s="9"/>
      <c r="XEY140" s="9"/>
      <c r="XEZ140" s="9"/>
      <c r="XFA140" s="9"/>
      <c r="XFB140" s="9"/>
      <c r="XFC140" s="9"/>
      <c r="XFD140" s="9"/>
    </row>
    <row r="141" spans="1:8 16325:16384" s="3" customFormat="1" ht="19.95" customHeight="1">
      <c r="A141" s="6" t="str">
        <f t="shared" si="4"/>
        <v>040005</v>
      </c>
      <c r="B141" s="6" t="s">
        <v>14</v>
      </c>
      <c r="C141" s="6" t="s">
        <v>10</v>
      </c>
      <c r="D141" s="6" t="str">
        <f>"512731403"</f>
        <v>512731403</v>
      </c>
      <c r="E141" s="7">
        <v>0</v>
      </c>
      <c r="F141" s="7">
        <v>0</v>
      </c>
      <c r="G141" s="7"/>
      <c r="H141" s="7">
        <v>0</v>
      </c>
      <c r="XCW141" s="9"/>
      <c r="XCX141" s="9"/>
      <c r="XCY141" s="9"/>
      <c r="XCZ141" s="9"/>
      <c r="XDA141" s="9"/>
      <c r="XDB141" s="9"/>
      <c r="XDC141" s="9"/>
      <c r="XDD141" s="9"/>
      <c r="XDE141" s="9"/>
      <c r="XDF141" s="9"/>
      <c r="XDG141" s="9"/>
      <c r="XDH141" s="9"/>
      <c r="XDI141" s="9"/>
      <c r="XDJ141" s="9"/>
      <c r="XDK141" s="9"/>
      <c r="XDL141" s="9"/>
      <c r="XDM141" s="9"/>
      <c r="XDN141" s="9"/>
      <c r="XDO141" s="9"/>
      <c r="XDP141" s="9"/>
      <c r="XDQ141" s="9"/>
      <c r="XDR141" s="9"/>
      <c r="XDS141" s="9"/>
      <c r="XDT141" s="9"/>
      <c r="XDU141" s="9"/>
      <c r="XDV141" s="9"/>
      <c r="XDW141" s="9"/>
      <c r="XDX141" s="9"/>
      <c r="XDY141" s="9"/>
      <c r="XDZ141" s="9"/>
      <c r="XEA141" s="9"/>
      <c r="XEB141" s="9"/>
      <c r="XEC141" s="9"/>
      <c r="XED141" s="9"/>
      <c r="XEE141" s="9"/>
      <c r="XEF141" s="9"/>
      <c r="XEG141" s="9"/>
      <c r="XEH141" s="9"/>
      <c r="XEI141" s="9"/>
      <c r="XEJ141" s="9"/>
      <c r="XEK141" s="9"/>
      <c r="XEL141" s="9"/>
      <c r="XEM141" s="9"/>
      <c r="XEN141" s="9"/>
      <c r="XEO141" s="9"/>
      <c r="XEP141" s="9"/>
      <c r="XEQ141" s="9"/>
      <c r="XER141" s="9"/>
      <c r="XES141" s="9"/>
      <c r="XET141" s="9"/>
      <c r="XEU141" s="9"/>
      <c r="XEV141" s="9"/>
      <c r="XEW141" s="9"/>
      <c r="XEX141" s="9"/>
      <c r="XEY141" s="9"/>
      <c r="XEZ141" s="9"/>
      <c r="XFA141" s="9"/>
      <c r="XFB141" s="9"/>
      <c r="XFC141" s="9"/>
      <c r="XFD141" s="9"/>
    </row>
    <row r="142" spans="1:8 16325:16384" s="3" customFormat="1" ht="19.95" customHeight="1">
      <c r="A142" s="6" t="str">
        <f t="shared" si="4"/>
        <v>040005</v>
      </c>
      <c r="B142" s="6" t="s">
        <v>14</v>
      </c>
      <c r="C142" s="6" t="s">
        <v>10</v>
      </c>
      <c r="D142" s="6" t="str">
        <f>"512731402"</f>
        <v>512731402</v>
      </c>
      <c r="E142" s="7">
        <v>98.5</v>
      </c>
      <c r="F142" s="7">
        <v>70.5</v>
      </c>
      <c r="G142" s="7"/>
      <c r="H142" s="7">
        <v>87.3</v>
      </c>
      <c r="XCW142" s="9"/>
      <c r="XCX142" s="9"/>
      <c r="XCY142" s="9"/>
      <c r="XCZ142" s="9"/>
      <c r="XDA142" s="9"/>
      <c r="XDB142" s="9"/>
      <c r="XDC142" s="9"/>
      <c r="XDD142" s="9"/>
      <c r="XDE142" s="9"/>
      <c r="XDF142" s="9"/>
      <c r="XDG142" s="9"/>
      <c r="XDH142" s="9"/>
      <c r="XDI142" s="9"/>
      <c r="XDJ142" s="9"/>
      <c r="XDK142" s="9"/>
      <c r="XDL142" s="9"/>
      <c r="XDM142" s="9"/>
      <c r="XDN142" s="9"/>
      <c r="XDO142" s="9"/>
      <c r="XDP142" s="9"/>
      <c r="XDQ142" s="9"/>
      <c r="XDR142" s="9"/>
      <c r="XDS142" s="9"/>
      <c r="XDT142" s="9"/>
      <c r="XDU142" s="9"/>
      <c r="XDV142" s="9"/>
      <c r="XDW142" s="9"/>
      <c r="XDX142" s="9"/>
      <c r="XDY142" s="9"/>
      <c r="XDZ142" s="9"/>
      <c r="XEA142" s="9"/>
      <c r="XEB142" s="9"/>
      <c r="XEC142" s="9"/>
      <c r="XED142" s="9"/>
      <c r="XEE142" s="9"/>
      <c r="XEF142" s="9"/>
      <c r="XEG142" s="9"/>
      <c r="XEH142" s="9"/>
      <c r="XEI142" s="9"/>
      <c r="XEJ142" s="9"/>
      <c r="XEK142" s="9"/>
      <c r="XEL142" s="9"/>
      <c r="XEM142" s="9"/>
      <c r="XEN142" s="9"/>
      <c r="XEO142" s="9"/>
      <c r="XEP142" s="9"/>
      <c r="XEQ142" s="9"/>
      <c r="XER142" s="9"/>
      <c r="XES142" s="9"/>
      <c r="XET142" s="9"/>
      <c r="XEU142" s="9"/>
      <c r="XEV142" s="9"/>
      <c r="XEW142" s="9"/>
      <c r="XEX142" s="9"/>
      <c r="XEY142" s="9"/>
      <c r="XEZ142" s="9"/>
      <c r="XFA142" s="9"/>
      <c r="XFB142" s="9"/>
      <c r="XFC142" s="9"/>
      <c r="XFD142" s="9"/>
    </row>
    <row r="143" spans="1:8 16325:16384" s="3" customFormat="1" ht="19.95" customHeight="1">
      <c r="A143" s="6" t="str">
        <f t="shared" si="4"/>
        <v>040005</v>
      </c>
      <c r="B143" s="6" t="s">
        <v>14</v>
      </c>
      <c r="C143" s="6" t="s">
        <v>10</v>
      </c>
      <c r="D143" s="6" t="str">
        <f>"512731405"</f>
        <v>512731405</v>
      </c>
      <c r="E143" s="7">
        <v>87</v>
      </c>
      <c r="F143" s="7">
        <v>69</v>
      </c>
      <c r="G143" s="7"/>
      <c r="H143" s="7">
        <v>79.8</v>
      </c>
      <c r="XCW143" s="9"/>
      <c r="XCX143" s="9"/>
      <c r="XCY143" s="9"/>
      <c r="XCZ143" s="9"/>
      <c r="XDA143" s="9"/>
      <c r="XDB143" s="9"/>
      <c r="XDC143" s="9"/>
      <c r="XDD143" s="9"/>
      <c r="XDE143" s="9"/>
      <c r="XDF143" s="9"/>
      <c r="XDG143" s="9"/>
      <c r="XDH143" s="9"/>
      <c r="XDI143" s="9"/>
      <c r="XDJ143" s="9"/>
      <c r="XDK143" s="9"/>
      <c r="XDL143" s="9"/>
      <c r="XDM143" s="9"/>
      <c r="XDN143" s="9"/>
      <c r="XDO143" s="9"/>
      <c r="XDP143" s="9"/>
      <c r="XDQ143" s="9"/>
      <c r="XDR143" s="9"/>
      <c r="XDS143" s="9"/>
      <c r="XDT143" s="9"/>
      <c r="XDU143" s="9"/>
      <c r="XDV143" s="9"/>
      <c r="XDW143" s="9"/>
      <c r="XDX143" s="9"/>
      <c r="XDY143" s="9"/>
      <c r="XDZ143" s="9"/>
      <c r="XEA143" s="9"/>
      <c r="XEB143" s="9"/>
      <c r="XEC143" s="9"/>
      <c r="XED143" s="9"/>
      <c r="XEE143" s="9"/>
      <c r="XEF143" s="9"/>
      <c r="XEG143" s="9"/>
      <c r="XEH143" s="9"/>
      <c r="XEI143" s="9"/>
      <c r="XEJ143" s="9"/>
      <c r="XEK143" s="9"/>
      <c r="XEL143" s="9"/>
      <c r="XEM143" s="9"/>
      <c r="XEN143" s="9"/>
      <c r="XEO143" s="9"/>
      <c r="XEP143" s="9"/>
      <c r="XEQ143" s="9"/>
      <c r="XER143" s="9"/>
      <c r="XES143" s="9"/>
      <c r="XET143" s="9"/>
      <c r="XEU143" s="9"/>
      <c r="XEV143" s="9"/>
      <c r="XEW143" s="9"/>
      <c r="XEX143" s="9"/>
      <c r="XEY143" s="9"/>
      <c r="XEZ143" s="9"/>
      <c r="XFA143" s="9"/>
      <c r="XFB143" s="9"/>
      <c r="XFC143" s="9"/>
      <c r="XFD143" s="9"/>
    </row>
    <row r="144" spans="1:8 16325:16384" s="3" customFormat="1" ht="19.95" customHeight="1">
      <c r="A144" s="6" t="str">
        <f t="shared" si="4"/>
        <v>040005</v>
      </c>
      <c r="B144" s="6" t="s">
        <v>14</v>
      </c>
      <c r="C144" s="6" t="s">
        <v>10</v>
      </c>
      <c r="D144" s="6" t="str">
        <f>"512731414"</f>
        <v>512731414</v>
      </c>
      <c r="E144" s="7">
        <v>69</v>
      </c>
      <c r="F144" s="7">
        <v>59</v>
      </c>
      <c r="G144" s="7"/>
      <c r="H144" s="7">
        <v>65</v>
      </c>
      <c r="XCW144" s="9"/>
      <c r="XCX144" s="9"/>
      <c r="XCY144" s="9"/>
      <c r="XCZ144" s="9"/>
      <c r="XDA144" s="9"/>
      <c r="XDB144" s="9"/>
      <c r="XDC144" s="9"/>
      <c r="XDD144" s="9"/>
      <c r="XDE144" s="9"/>
      <c r="XDF144" s="9"/>
      <c r="XDG144" s="9"/>
      <c r="XDH144" s="9"/>
      <c r="XDI144" s="9"/>
      <c r="XDJ144" s="9"/>
      <c r="XDK144" s="9"/>
      <c r="XDL144" s="9"/>
      <c r="XDM144" s="9"/>
      <c r="XDN144" s="9"/>
      <c r="XDO144" s="9"/>
      <c r="XDP144" s="9"/>
      <c r="XDQ144" s="9"/>
      <c r="XDR144" s="9"/>
      <c r="XDS144" s="9"/>
      <c r="XDT144" s="9"/>
      <c r="XDU144" s="9"/>
      <c r="XDV144" s="9"/>
      <c r="XDW144" s="9"/>
      <c r="XDX144" s="9"/>
      <c r="XDY144" s="9"/>
      <c r="XDZ144" s="9"/>
      <c r="XEA144" s="9"/>
      <c r="XEB144" s="9"/>
      <c r="XEC144" s="9"/>
      <c r="XED144" s="9"/>
      <c r="XEE144" s="9"/>
      <c r="XEF144" s="9"/>
      <c r="XEG144" s="9"/>
      <c r="XEH144" s="9"/>
      <c r="XEI144" s="9"/>
      <c r="XEJ144" s="9"/>
      <c r="XEK144" s="9"/>
      <c r="XEL144" s="9"/>
      <c r="XEM144" s="9"/>
      <c r="XEN144" s="9"/>
      <c r="XEO144" s="9"/>
      <c r="XEP144" s="9"/>
      <c r="XEQ144" s="9"/>
      <c r="XER144" s="9"/>
      <c r="XES144" s="9"/>
      <c r="XET144" s="9"/>
      <c r="XEU144" s="9"/>
      <c r="XEV144" s="9"/>
      <c r="XEW144" s="9"/>
      <c r="XEX144" s="9"/>
      <c r="XEY144" s="9"/>
      <c r="XEZ144" s="9"/>
      <c r="XFA144" s="9"/>
      <c r="XFB144" s="9"/>
      <c r="XFC144" s="9"/>
      <c r="XFD144" s="9"/>
    </row>
    <row r="145" spans="1:8 16325:16384" s="3" customFormat="1" ht="19.95" customHeight="1">
      <c r="A145" s="6" t="str">
        <f t="shared" si="4"/>
        <v>040005</v>
      </c>
      <c r="B145" s="6" t="s">
        <v>14</v>
      </c>
      <c r="C145" s="6" t="s">
        <v>10</v>
      </c>
      <c r="D145" s="6" t="str">
        <f>"512731404"</f>
        <v>512731404</v>
      </c>
      <c r="E145" s="7">
        <v>78.5</v>
      </c>
      <c r="F145" s="7">
        <v>76.5</v>
      </c>
      <c r="G145" s="7"/>
      <c r="H145" s="7">
        <v>77.7</v>
      </c>
      <c r="XCW145" s="9"/>
      <c r="XCX145" s="9"/>
      <c r="XCY145" s="9"/>
      <c r="XCZ145" s="9"/>
      <c r="XDA145" s="9"/>
      <c r="XDB145" s="9"/>
      <c r="XDC145" s="9"/>
      <c r="XDD145" s="9"/>
      <c r="XDE145" s="9"/>
      <c r="XDF145" s="9"/>
      <c r="XDG145" s="9"/>
      <c r="XDH145" s="9"/>
      <c r="XDI145" s="9"/>
      <c r="XDJ145" s="9"/>
      <c r="XDK145" s="9"/>
      <c r="XDL145" s="9"/>
      <c r="XDM145" s="9"/>
      <c r="XDN145" s="9"/>
      <c r="XDO145" s="9"/>
      <c r="XDP145" s="9"/>
      <c r="XDQ145" s="9"/>
      <c r="XDR145" s="9"/>
      <c r="XDS145" s="9"/>
      <c r="XDT145" s="9"/>
      <c r="XDU145" s="9"/>
      <c r="XDV145" s="9"/>
      <c r="XDW145" s="9"/>
      <c r="XDX145" s="9"/>
      <c r="XDY145" s="9"/>
      <c r="XDZ145" s="9"/>
      <c r="XEA145" s="9"/>
      <c r="XEB145" s="9"/>
      <c r="XEC145" s="9"/>
      <c r="XED145" s="9"/>
      <c r="XEE145" s="9"/>
      <c r="XEF145" s="9"/>
      <c r="XEG145" s="9"/>
      <c r="XEH145" s="9"/>
      <c r="XEI145" s="9"/>
      <c r="XEJ145" s="9"/>
      <c r="XEK145" s="9"/>
      <c r="XEL145" s="9"/>
      <c r="XEM145" s="9"/>
      <c r="XEN145" s="9"/>
      <c r="XEO145" s="9"/>
      <c r="XEP145" s="9"/>
      <c r="XEQ145" s="9"/>
      <c r="XER145" s="9"/>
      <c r="XES145" s="9"/>
      <c r="XET145" s="9"/>
      <c r="XEU145" s="9"/>
      <c r="XEV145" s="9"/>
      <c r="XEW145" s="9"/>
      <c r="XEX145" s="9"/>
      <c r="XEY145" s="9"/>
      <c r="XEZ145" s="9"/>
      <c r="XFA145" s="9"/>
      <c r="XFB145" s="9"/>
      <c r="XFC145" s="9"/>
      <c r="XFD145" s="9"/>
    </row>
    <row r="146" spans="1:8 16325:16384" s="3" customFormat="1" ht="19.95" customHeight="1">
      <c r="A146" s="6" t="str">
        <f t="shared" si="4"/>
        <v>040005</v>
      </c>
      <c r="B146" s="6" t="s">
        <v>14</v>
      </c>
      <c r="C146" s="6" t="s">
        <v>10</v>
      </c>
      <c r="D146" s="6" t="str">
        <f>"512731409"</f>
        <v>512731409</v>
      </c>
      <c r="E146" s="7">
        <v>0</v>
      </c>
      <c r="F146" s="7">
        <v>0</v>
      </c>
      <c r="G146" s="7"/>
      <c r="H146" s="7">
        <v>0</v>
      </c>
      <c r="XCW146" s="9"/>
      <c r="XCX146" s="9"/>
      <c r="XCY146" s="9"/>
      <c r="XCZ146" s="9"/>
      <c r="XDA146" s="9"/>
      <c r="XDB146" s="9"/>
      <c r="XDC146" s="9"/>
      <c r="XDD146" s="9"/>
      <c r="XDE146" s="9"/>
      <c r="XDF146" s="9"/>
      <c r="XDG146" s="9"/>
      <c r="XDH146" s="9"/>
      <c r="XDI146" s="9"/>
      <c r="XDJ146" s="9"/>
      <c r="XDK146" s="9"/>
      <c r="XDL146" s="9"/>
      <c r="XDM146" s="9"/>
      <c r="XDN146" s="9"/>
      <c r="XDO146" s="9"/>
      <c r="XDP146" s="9"/>
      <c r="XDQ146" s="9"/>
      <c r="XDR146" s="9"/>
      <c r="XDS146" s="9"/>
      <c r="XDT146" s="9"/>
      <c r="XDU146" s="9"/>
      <c r="XDV146" s="9"/>
      <c r="XDW146" s="9"/>
      <c r="XDX146" s="9"/>
      <c r="XDY146" s="9"/>
      <c r="XDZ146" s="9"/>
      <c r="XEA146" s="9"/>
      <c r="XEB146" s="9"/>
      <c r="XEC146" s="9"/>
      <c r="XED146" s="9"/>
      <c r="XEE146" s="9"/>
      <c r="XEF146" s="9"/>
      <c r="XEG146" s="9"/>
      <c r="XEH146" s="9"/>
      <c r="XEI146" s="9"/>
      <c r="XEJ146" s="9"/>
      <c r="XEK146" s="9"/>
      <c r="XEL146" s="9"/>
      <c r="XEM146" s="9"/>
      <c r="XEN146" s="9"/>
      <c r="XEO146" s="9"/>
      <c r="XEP146" s="9"/>
      <c r="XEQ146" s="9"/>
      <c r="XER146" s="9"/>
      <c r="XES146" s="9"/>
      <c r="XET146" s="9"/>
      <c r="XEU146" s="9"/>
      <c r="XEV146" s="9"/>
      <c r="XEW146" s="9"/>
      <c r="XEX146" s="9"/>
      <c r="XEY146" s="9"/>
      <c r="XEZ146" s="9"/>
      <c r="XFA146" s="9"/>
      <c r="XFB146" s="9"/>
      <c r="XFC146" s="9"/>
      <c r="XFD146" s="9"/>
    </row>
    <row r="147" spans="1:8 16325:16384" s="3" customFormat="1" ht="19.95" customHeight="1">
      <c r="A147" s="6" t="str">
        <f t="shared" si="4"/>
        <v>040005</v>
      </c>
      <c r="B147" s="6" t="s">
        <v>14</v>
      </c>
      <c r="C147" s="6" t="s">
        <v>10</v>
      </c>
      <c r="D147" s="6" t="str">
        <f>"512731418"</f>
        <v>512731418</v>
      </c>
      <c r="E147" s="7">
        <v>88</v>
      </c>
      <c r="F147" s="7">
        <v>69</v>
      </c>
      <c r="G147" s="7"/>
      <c r="H147" s="7">
        <v>80.400000000000006</v>
      </c>
      <c r="XCW147" s="9"/>
      <c r="XCX147" s="9"/>
      <c r="XCY147" s="9"/>
      <c r="XCZ147" s="9"/>
      <c r="XDA147" s="9"/>
      <c r="XDB147" s="9"/>
      <c r="XDC147" s="9"/>
      <c r="XDD147" s="9"/>
      <c r="XDE147" s="9"/>
      <c r="XDF147" s="9"/>
      <c r="XDG147" s="9"/>
      <c r="XDH147" s="9"/>
      <c r="XDI147" s="9"/>
      <c r="XDJ147" s="9"/>
      <c r="XDK147" s="9"/>
      <c r="XDL147" s="9"/>
      <c r="XDM147" s="9"/>
      <c r="XDN147" s="9"/>
      <c r="XDO147" s="9"/>
      <c r="XDP147" s="9"/>
      <c r="XDQ147" s="9"/>
      <c r="XDR147" s="9"/>
      <c r="XDS147" s="9"/>
      <c r="XDT147" s="9"/>
      <c r="XDU147" s="9"/>
      <c r="XDV147" s="9"/>
      <c r="XDW147" s="9"/>
      <c r="XDX147" s="9"/>
      <c r="XDY147" s="9"/>
      <c r="XDZ147" s="9"/>
      <c r="XEA147" s="9"/>
      <c r="XEB147" s="9"/>
      <c r="XEC147" s="9"/>
      <c r="XED147" s="9"/>
      <c r="XEE147" s="9"/>
      <c r="XEF147" s="9"/>
      <c r="XEG147" s="9"/>
      <c r="XEH147" s="9"/>
      <c r="XEI147" s="9"/>
      <c r="XEJ147" s="9"/>
      <c r="XEK147" s="9"/>
      <c r="XEL147" s="9"/>
      <c r="XEM147" s="9"/>
      <c r="XEN147" s="9"/>
      <c r="XEO147" s="9"/>
      <c r="XEP147" s="9"/>
      <c r="XEQ147" s="9"/>
      <c r="XER147" s="9"/>
      <c r="XES147" s="9"/>
      <c r="XET147" s="9"/>
      <c r="XEU147" s="9"/>
      <c r="XEV147" s="9"/>
      <c r="XEW147" s="9"/>
      <c r="XEX147" s="9"/>
      <c r="XEY147" s="9"/>
      <c r="XEZ147" s="9"/>
      <c r="XFA147" s="9"/>
      <c r="XFB147" s="9"/>
      <c r="XFC147" s="9"/>
      <c r="XFD147" s="9"/>
    </row>
    <row r="148" spans="1:8 16325:16384" s="3" customFormat="1" ht="19.95" customHeight="1">
      <c r="A148" s="6" t="str">
        <f t="shared" si="4"/>
        <v>040005</v>
      </c>
      <c r="B148" s="6" t="s">
        <v>14</v>
      </c>
      <c r="C148" s="6" t="s">
        <v>10</v>
      </c>
      <c r="D148" s="6" t="str">
        <f>"512731427"</f>
        <v>512731427</v>
      </c>
      <c r="E148" s="7">
        <v>56.5</v>
      </c>
      <c r="F148" s="7">
        <v>60</v>
      </c>
      <c r="G148" s="7"/>
      <c r="H148" s="7">
        <v>57.9</v>
      </c>
      <c r="XCW148" s="9"/>
      <c r="XCX148" s="9"/>
      <c r="XCY148" s="9"/>
      <c r="XCZ148" s="9"/>
      <c r="XDA148" s="9"/>
      <c r="XDB148" s="9"/>
      <c r="XDC148" s="9"/>
      <c r="XDD148" s="9"/>
      <c r="XDE148" s="9"/>
      <c r="XDF148" s="9"/>
      <c r="XDG148" s="9"/>
      <c r="XDH148" s="9"/>
      <c r="XDI148" s="9"/>
      <c r="XDJ148" s="9"/>
      <c r="XDK148" s="9"/>
      <c r="XDL148" s="9"/>
      <c r="XDM148" s="9"/>
      <c r="XDN148" s="9"/>
      <c r="XDO148" s="9"/>
      <c r="XDP148" s="9"/>
      <c r="XDQ148" s="9"/>
      <c r="XDR148" s="9"/>
      <c r="XDS148" s="9"/>
      <c r="XDT148" s="9"/>
      <c r="XDU148" s="9"/>
      <c r="XDV148" s="9"/>
      <c r="XDW148" s="9"/>
      <c r="XDX148" s="9"/>
      <c r="XDY148" s="9"/>
      <c r="XDZ148" s="9"/>
      <c r="XEA148" s="9"/>
      <c r="XEB148" s="9"/>
      <c r="XEC148" s="9"/>
      <c r="XED148" s="9"/>
      <c r="XEE148" s="9"/>
      <c r="XEF148" s="9"/>
      <c r="XEG148" s="9"/>
      <c r="XEH148" s="9"/>
      <c r="XEI148" s="9"/>
      <c r="XEJ148" s="9"/>
      <c r="XEK148" s="9"/>
      <c r="XEL148" s="9"/>
      <c r="XEM148" s="9"/>
      <c r="XEN148" s="9"/>
      <c r="XEO148" s="9"/>
      <c r="XEP148" s="9"/>
      <c r="XEQ148" s="9"/>
      <c r="XER148" s="9"/>
      <c r="XES148" s="9"/>
      <c r="XET148" s="9"/>
      <c r="XEU148" s="9"/>
      <c r="XEV148" s="9"/>
      <c r="XEW148" s="9"/>
      <c r="XEX148" s="9"/>
      <c r="XEY148" s="9"/>
      <c r="XEZ148" s="9"/>
      <c r="XFA148" s="9"/>
      <c r="XFB148" s="9"/>
      <c r="XFC148" s="9"/>
      <c r="XFD148" s="9"/>
    </row>
    <row r="149" spans="1:8 16325:16384" s="3" customFormat="1" ht="19.95" customHeight="1">
      <c r="A149" s="6" t="str">
        <f t="shared" si="4"/>
        <v>040005</v>
      </c>
      <c r="B149" s="6" t="s">
        <v>14</v>
      </c>
      <c r="C149" s="6" t="s">
        <v>10</v>
      </c>
      <c r="D149" s="6" t="str">
        <f>"512731505"</f>
        <v>512731505</v>
      </c>
      <c r="E149" s="7">
        <v>0</v>
      </c>
      <c r="F149" s="7">
        <v>0</v>
      </c>
      <c r="G149" s="7"/>
      <c r="H149" s="7">
        <v>0</v>
      </c>
      <c r="XCW149" s="9"/>
      <c r="XCX149" s="9"/>
      <c r="XCY149" s="9"/>
      <c r="XCZ149" s="9"/>
      <c r="XDA149" s="9"/>
      <c r="XDB149" s="9"/>
      <c r="XDC149" s="9"/>
      <c r="XDD149" s="9"/>
      <c r="XDE149" s="9"/>
      <c r="XDF149" s="9"/>
      <c r="XDG149" s="9"/>
      <c r="XDH149" s="9"/>
      <c r="XDI149" s="9"/>
      <c r="XDJ149" s="9"/>
      <c r="XDK149" s="9"/>
      <c r="XDL149" s="9"/>
      <c r="XDM149" s="9"/>
      <c r="XDN149" s="9"/>
      <c r="XDO149" s="9"/>
      <c r="XDP149" s="9"/>
      <c r="XDQ149" s="9"/>
      <c r="XDR149" s="9"/>
      <c r="XDS149" s="9"/>
      <c r="XDT149" s="9"/>
      <c r="XDU149" s="9"/>
      <c r="XDV149" s="9"/>
      <c r="XDW149" s="9"/>
      <c r="XDX149" s="9"/>
      <c r="XDY149" s="9"/>
      <c r="XDZ149" s="9"/>
      <c r="XEA149" s="9"/>
      <c r="XEB149" s="9"/>
      <c r="XEC149" s="9"/>
      <c r="XED149" s="9"/>
      <c r="XEE149" s="9"/>
      <c r="XEF149" s="9"/>
      <c r="XEG149" s="9"/>
      <c r="XEH149" s="9"/>
      <c r="XEI149" s="9"/>
      <c r="XEJ149" s="9"/>
      <c r="XEK149" s="9"/>
      <c r="XEL149" s="9"/>
      <c r="XEM149" s="9"/>
      <c r="XEN149" s="9"/>
      <c r="XEO149" s="9"/>
      <c r="XEP149" s="9"/>
      <c r="XEQ149" s="9"/>
      <c r="XER149" s="9"/>
      <c r="XES149" s="9"/>
      <c r="XET149" s="9"/>
      <c r="XEU149" s="9"/>
      <c r="XEV149" s="9"/>
      <c r="XEW149" s="9"/>
      <c r="XEX149" s="9"/>
      <c r="XEY149" s="9"/>
      <c r="XEZ149" s="9"/>
      <c r="XFA149" s="9"/>
      <c r="XFB149" s="9"/>
      <c r="XFC149" s="9"/>
      <c r="XFD149" s="9"/>
    </row>
    <row r="150" spans="1:8 16325:16384" s="3" customFormat="1" ht="19.95" customHeight="1">
      <c r="A150" s="6" t="str">
        <f t="shared" si="4"/>
        <v>040005</v>
      </c>
      <c r="B150" s="6" t="s">
        <v>14</v>
      </c>
      <c r="C150" s="6" t="s">
        <v>10</v>
      </c>
      <c r="D150" s="6" t="str">
        <f>"512731408"</f>
        <v>512731408</v>
      </c>
      <c r="E150" s="7">
        <v>57</v>
      </c>
      <c r="F150" s="7">
        <v>72.5</v>
      </c>
      <c r="G150" s="7"/>
      <c r="H150" s="7">
        <v>63.2</v>
      </c>
      <c r="XCW150" s="9"/>
      <c r="XCX150" s="9"/>
      <c r="XCY150" s="9"/>
      <c r="XCZ150" s="9"/>
      <c r="XDA150" s="9"/>
      <c r="XDB150" s="9"/>
      <c r="XDC150" s="9"/>
      <c r="XDD150" s="9"/>
      <c r="XDE150" s="9"/>
      <c r="XDF150" s="9"/>
      <c r="XDG150" s="9"/>
      <c r="XDH150" s="9"/>
      <c r="XDI150" s="9"/>
      <c r="XDJ150" s="9"/>
      <c r="XDK150" s="9"/>
      <c r="XDL150" s="9"/>
      <c r="XDM150" s="9"/>
      <c r="XDN150" s="9"/>
      <c r="XDO150" s="9"/>
      <c r="XDP150" s="9"/>
      <c r="XDQ150" s="9"/>
      <c r="XDR150" s="9"/>
      <c r="XDS150" s="9"/>
      <c r="XDT150" s="9"/>
      <c r="XDU150" s="9"/>
      <c r="XDV150" s="9"/>
      <c r="XDW150" s="9"/>
      <c r="XDX150" s="9"/>
      <c r="XDY150" s="9"/>
      <c r="XDZ150" s="9"/>
      <c r="XEA150" s="9"/>
      <c r="XEB150" s="9"/>
      <c r="XEC150" s="9"/>
      <c r="XED150" s="9"/>
      <c r="XEE150" s="9"/>
      <c r="XEF150" s="9"/>
      <c r="XEG150" s="9"/>
      <c r="XEH150" s="9"/>
      <c r="XEI150" s="9"/>
      <c r="XEJ150" s="9"/>
      <c r="XEK150" s="9"/>
      <c r="XEL150" s="9"/>
      <c r="XEM150" s="9"/>
      <c r="XEN150" s="9"/>
      <c r="XEO150" s="9"/>
      <c r="XEP150" s="9"/>
      <c r="XEQ150" s="9"/>
      <c r="XER150" s="9"/>
      <c r="XES150" s="9"/>
      <c r="XET150" s="9"/>
      <c r="XEU150" s="9"/>
      <c r="XEV150" s="9"/>
      <c r="XEW150" s="9"/>
      <c r="XEX150" s="9"/>
      <c r="XEY150" s="9"/>
      <c r="XEZ150" s="9"/>
      <c r="XFA150" s="9"/>
      <c r="XFB150" s="9"/>
      <c r="XFC150" s="9"/>
      <c r="XFD150" s="9"/>
    </row>
    <row r="151" spans="1:8 16325:16384" s="3" customFormat="1" ht="19.95" customHeight="1">
      <c r="A151" s="6" t="str">
        <f t="shared" si="4"/>
        <v>040005</v>
      </c>
      <c r="B151" s="6" t="s">
        <v>14</v>
      </c>
      <c r="C151" s="6" t="s">
        <v>10</v>
      </c>
      <c r="D151" s="6" t="str">
        <f>"512731424"</f>
        <v>512731424</v>
      </c>
      <c r="E151" s="7">
        <v>96.5</v>
      </c>
      <c r="F151" s="7">
        <v>80</v>
      </c>
      <c r="G151" s="7"/>
      <c r="H151" s="7">
        <v>89.9</v>
      </c>
      <c r="XCW151" s="9"/>
      <c r="XCX151" s="9"/>
      <c r="XCY151" s="9"/>
      <c r="XCZ151" s="9"/>
      <c r="XDA151" s="9"/>
      <c r="XDB151" s="9"/>
      <c r="XDC151" s="9"/>
      <c r="XDD151" s="9"/>
      <c r="XDE151" s="9"/>
      <c r="XDF151" s="9"/>
      <c r="XDG151" s="9"/>
      <c r="XDH151" s="9"/>
      <c r="XDI151" s="9"/>
      <c r="XDJ151" s="9"/>
      <c r="XDK151" s="9"/>
      <c r="XDL151" s="9"/>
      <c r="XDM151" s="9"/>
      <c r="XDN151" s="9"/>
      <c r="XDO151" s="9"/>
      <c r="XDP151" s="9"/>
      <c r="XDQ151" s="9"/>
      <c r="XDR151" s="9"/>
      <c r="XDS151" s="9"/>
      <c r="XDT151" s="9"/>
      <c r="XDU151" s="9"/>
      <c r="XDV151" s="9"/>
      <c r="XDW151" s="9"/>
      <c r="XDX151" s="9"/>
      <c r="XDY151" s="9"/>
      <c r="XDZ151" s="9"/>
      <c r="XEA151" s="9"/>
      <c r="XEB151" s="9"/>
      <c r="XEC151" s="9"/>
      <c r="XED151" s="9"/>
      <c r="XEE151" s="9"/>
      <c r="XEF151" s="9"/>
      <c r="XEG151" s="9"/>
      <c r="XEH151" s="9"/>
      <c r="XEI151" s="9"/>
      <c r="XEJ151" s="9"/>
      <c r="XEK151" s="9"/>
      <c r="XEL151" s="9"/>
      <c r="XEM151" s="9"/>
      <c r="XEN151" s="9"/>
      <c r="XEO151" s="9"/>
      <c r="XEP151" s="9"/>
      <c r="XEQ151" s="9"/>
      <c r="XER151" s="9"/>
      <c r="XES151" s="9"/>
      <c r="XET151" s="9"/>
      <c r="XEU151" s="9"/>
      <c r="XEV151" s="9"/>
      <c r="XEW151" s="9"/>
      <c r="XEX151" s="9"/>
      <c r="XEY151" s="9"/>
      <c r="XEZ151" s="9"/>
      <c r="XFA151" s="9"/>
      <c r="XFB151" s="9"/>
      <c r="XFC151" s="9"/>
      <c r="XFD151" s="9"/>
    </row>
    <row r="152" spans="1:8 16325:16384" s="3" customFormat="1" ht="19.95" customHeight="1">
      <c r="A152" s="6" t="str">
        <f t="shared" ref="A152:A185" si="5">"040006"</f>
        <v>040006</v>
      </c>
      <c r="B152" s="6" t="s">
        <v>15</v>
      </c>
      <c r="C152" s="6" t="s">
        <v>10</v>
      </c>
      <c r="D152" s="6" t="str">
        <f>"512630505"</f>
        <v>512630505</v>
      </c>
      <c r="E152" s="7">
        <v>71.5</v>
      </c>
      <c r="F152" s="7">
        <v>77</v>
      </c>
      <c r="G152" s="7"/>
      <c r="H152" s="7">
        <v>73.7</v>
      </c>
      <c r="XCW152" s="9"/>
      <c r="XCX152" s="9"/>
      <c r="XCY152" s="9"/>
      <c r="XCZ152" s="9"/>
      <c r="XDA152" s="9"/>
      <c r="XDB152" s="9"/>
      <c r="XDC152" s="9"/>
      <c r="XDD152" s="9"/>
      <c r="XDE152" s="9"/>
      <c r="XDF152" s="9"/>
      <c r="XDG152" s="9"/>
      <c r="XDH152" s="9"/>
      <c r="XDI152" s="9"/>
      <c r="XDJ152" s="9"/>
      <c r="XDK152" s="9"/>
      <c r="XDL152" s="9"/>
      <c r="XDM152" s="9"/>
      <c r="XDN152" s="9"/>
      <c r="XDO152" s="9"/>
      <c r="XDP152" s="9"/>
      <c r="XDQ152" s="9"/>
      <c r="XDR152" s="9"/>
      <c r="XDS152" s="9"/>
      <c r="XDT152" s="9"/>
      <c r="XDU152" s="9"/>
      <c r="XDV152" s="9"/>
      <c r="XDW152" s="9"/>
      <c r="XDX152" s="9"/>
      <c r="XDY152" s="9"/>
      <c r="XDZ152" s="9"/>
      <c r="XEA152" s="9"/>
      <c r="XEB152" s="9"/>
      <c r="XEC152" s="9"/>
      <c r="XED152" s="9"/>
      <c r="XEE152" s="9"/>
      <c r="XEF152" s="9"/>
      <c r="XEG152" s="9"/>
      <c r="XEH152" s="9"/>
      <c r="XEI152" s="9"/>
      <c r="XEJ152" s="9"/>
      <c r="XEK152" s="9"/>
      <c r="XEL152" s="9"/>
      <c r="XEM152" s="9"/>
      <c r="XEN152" s="9"/>
      <c r="XEO152" s="9"/>
      <c r="XEP152" s="9"/>
      <c r="XEQ152" s="9"/>
      <c r="XER152" s="9"/>
      <c r="XES152" s="9"/>
      <c r="XET152" s="9"/>
      <c r="XEU152" s="9"/>
      <c r="XEV152" s="9"/>
      <c r="XEW152" s="9"/>
      <c r="XEX152" s="9"/>
      <c r="XEY152" s="9"/>
      <c r="XEZ152" s="9"/>
      <c r="XFA152" s="9"/>
      <c r="XFB152" s="9"/>
      <c r="XFC152" s="9"/>
      <c r="XFD152" s="9"/>
    </row>
    <row r="153" spans="1:8 16325:16384" s="3" customFormat="1" ht="19.95" customHeight="1">
      <c r="A153" s="6" t="str">
        <f t="shared" si="5"/>
        <v>040006</v>
      </c>
      <c r="B153" s="6" t="s">
        <v>15</v>
      </c>
      <c r="C153" s="6" t="s">
        <v>10</v>
      </c>
      <c r="D153" s="6" t="str">
        <f>"512630424"</f>
        <v>512630424</v>
      </c>
      <c r="E153" s="7">
        <v>86.5</v>
      </c>
      <c r="F153" s="7">
        <v>84.5</v>
      </c>
      <c r="G153" s="7"/>
      <c r="H153" s="7">
        <v>85.7</v>
      </c>
      <c r="XCW153" s="9"/>
      <c r="XCX153" s="9"/>
      <c r="XCY153" s="9"/>
      <c r="XCZ153" s="9"/>
      <c r="XDA153" s="9"/>
      <c r="XDB153" s="9"/>
      <c r="XDC153" s="9"/>
      <c r="XDD153" s="9"/>
      <c r="XDE153" s="9"/>
      <c r="XDF153" s="9"/>
      <c r="XDG153" s="9"/>
      <c r="XDH153" s="9"/>
      <c r="XDI153" s="9"/>
      <c r="XDJ153" s="9"/>
      <c r="XDK153" s="9"/>
      <c r="XDL153" s="9"/>
      <c r="XDM153" s="9"/>
      <c r="XDN153" s="9"/>
      <c r="XDO153" s="9"/>
      <c r="XDP153" s="9"/>
      <c r="XDQ153" s="9"/>
      <c r="XDR153" s="9"/>
      <c r="XDS153" s="9"/>
      <c r="XDT153" s="9"/>
      <c r="XDU153" s="9"/>
      <c r="XDV153" s="9"/>
      <c r="XDW153" s="9"/>
      <c r="XDX153" s="9"/>
      <c r="XDY153" s="9"/>
      <c r="XDZ153" s="9"/>
      <c r="XEA153" s="9"/>
      <c r="XEB153" s="9"/>
      <c r="XEC153" s="9"/>
      <c r="XED153" s="9"/>
      <c r="XEE153" s="9"/>
      <c r="XEF153" s="9"/>
      <c r="XEG153" s="9"/>
      <c r="XEH153" s="9"/>
      <c r="XEI153" s="9"/>
      <c r="XEJ153" s="9"/>
      <c r="XEK153" s="9"/>
      <c r="XEL153" s="9"/>
      <c r="XEM153" s="9"/>
      <c r="XEN153" s="9"/>
      <c r="XEO153" s="9"/>
      <c r="XEP153" s="9"/>
      <c r="XEQ153" s="9"/>
      <c r="XER153" s="9"/>
      <c r="XES153" s="9"/>
      <c r="XET153" s="9"/>
      <c r="XEU153" s="9"/>
      <c r="XEV153" s="9"/>
      <c r="XEW153" s="9"/>
      <c r="XEX153" s="9"/>
      <c r="XEY153" s="9"/>
      <c r="XEZ153" s="9"/>
      <c r="XFA153" s="9"/>
      <c r="XFB153" s="9"/>
      <c r="XFC153" s="9"/>
      <c r="XFD153" s="9"/>
    </row>
    <row r="154" spans="1:8 16325:16384" s="3" customFormat="1" ht="19.95" customHeight="1">
      <c r="A154" s="6" t="str">
        <f t="shared" si="5"/>
        <v>040006</v>
      </c>
      <c r="B154" s="6" t="s">
        <v>15</v>
      </c>
      <c r="C154" s="6" t="s">
        <v>10</v>
      </c>
      <c r="D154" s="6" t="str">
        <f>"512630415"</f>
        <v>512630415</v>
      </c>
      <c r="E154" s="7">
        <v>84.5</v>
      </c>
      <c r="F154" s="7">
        <v>74.5</v>
      </c>
      <c r="G154" s="7"/>
      <c r="H154" s="7">
        <v>80.5</v>
      </c>
      <c r="XCW154" s="9"/>
      <c r="XCX154" s="9"/>
      <c r="XCY154" s="9"/>
      <c r="XCZ154" s="9"/>
      <c r="XDA154" s="9"/>
      <c r="XDB154" s="9"/>
      <c r="XDC154" s="9"/>
      <c r="XDD154" s="9"/>
      <c r="XDE154" s="9"/>
      <c r="XDF154" s="9"/>
      <c r="XDG154" s="9"/>
      <c r="XDH154" s="9"/>
      <c r="XDI154" s="9"/>
      <c r="XDJ154" s="9"/>
      <c r="XDK154" s="9"/>
      <c r="XDL154" s="9"/>
      <c r="XDM154" s="9"/>
      <c r="XDN154" s="9"/>
      <c r="XDO154" s="9"/>
      <c r="XDP154" s="9"/>
      <c r="XDQ154" s="9"/>
      <c r="XDR154" s="9"/>
      <c r="XDS154" s="9"/>
      <c r="XDT154" s="9"/>
      <c r="XDU154" s="9"/>
      <c r="XDV154" s="9"/>
      <c r="XDW154" s="9"/>
      <c r="XDX154" s="9"/>
      <c r="XDY154" s="9"/>
      <c r="XDZ154" s="9"/>
      <c r="XEA154" s="9"/>
      <c r="XEB154" s="9"/>
      <c r="XEC154" s="9"/>
      <c r="XED154" s="9"/>
      <c r="XEE154" s="9"/>
      <c r="XEF154" s="9"/>
      <c r="XEG154" s="9"/>
      <c r="XEH154" s="9"/>
      <c r="XEI154" s="9"/>
      <c r="XEJ154" s="9"/>
      <c r="XEK154" s="9"/>
      <c r="XEL154" s="9"/>
      <c r="XEM154" s="9"/>
      <c r="XEN154" s="9"/>
      <c r="XEO154" s="9"/>
      <c r="XEP154" s="9"/>
      <c r="XEQ154" s="9"/>
      <c r="XER154" s="9"/>
      <c r="XES154" s="9"/>
      <c r="XET154" s="9"/>
      <c r="XEU154" s="9"/>
      <c r="XEV154" s="9"/>
      <c r="XEW154" s="9"/>
      <c r="XEX154" s="9"/>
      <c r="XEY154" s="9"/>
      <c r="XEZ154" s="9"/>
      <c r="XFA154" s="9"/>
      <c r="XFB154" s="9"/>
      <c r="XFC154" s="9"/>
      <c r="XFD154" s="9"/>
    </row>
    <row r="155" spans="1:8 16325:16384" s="3" customFormat="1" ht="19.95" customHeight="1">
      <c r="A155" s="6" t="str">
        <f t="shared" si="5"/>
        <v>040006</v>
      </c>
      <c r="B155" s="6" t="s">
        <v>15</v>
      </c>
      <c r="C155" s="6" t="s">
        <v>10</v>
      </c>
      <c r="D155" s="6" t="str">
        <f>"512630502"</f>
        <v>512630502</v>
      </c>
      <c r="E155" s="7">
        <v>85</v>
      </c>
      <c r="F155" s="7">
        <v>74</v>
      </c>
      <c r="G155" s="7"/>
      <c r="H155" s="7">
        <v>80.599999999999994</v>
      </c>
      <c r="XCW155" s="9"/>
      <c r="XCX155" s="9"/>
      <c r="XCY155" s="9"/>
      <c r="XCZ155" s="9"/>
      <c r="XDA155" s="9"/>
      <c r="XDB155" s="9"/>
      <c r="XDC155" s="9"/>
      <c r="XDD155" s="9"/>
      <c r="XDE155" s="9"/>
      <c r="XDF155" s="9"/>
      <c r="XDG155" s="9"/>
      <c r="XDH155" s="9"/>
      <c r="XDI155" s="9"/>
      <c r="XDJ155" s="9"/>
      <c r="XDK155" s="9"/>
      <c r="XDL155" s="9"/>
      <c r="XDM155" s="9"/>
      <c r="XDN155" s="9"/>
      <c r="XDO155" s="9"/>
      <c r="XDP155" s="9"/>
      <c r="XDQ155" s="9"/>
      <c r="XDR155" s="9"/>
      <c r="XDS155" s="9"/>
      <c r="XDT155" s="9"/>
      <c r="XDU155" s="9"/>
      <c r="XDV155" s="9"/>
      <c r="XDW155" s="9"/>
      <c r="XDX155" s="9"/>
      <c r="XDY155" s="9"/>
      <c r="XDZ155" s="9"/>
      <c r="XEA155" s="9"/>
      <c r="XEB155" s="9"/>
      <c r="XEC155" s="9"/>
      <c r="XED155" s="9"/>
      <c r="XEE155" s="9"/>
      <c r="XEF155" s="9"/>
      <c r="XEG155" s="9"/>
      <c r="XEH155" s="9"/>
      <c r="XEI155" s="9"/>
      <c r="XEJ155" s="9"/>
      <c r="XEK155" s="9"/>
      <c r="XEL155" s="9"/>
      <c r="XEM155" s="9"/>
      <c r="XEN155" s="9"/>
      <c r="XEO155" s="9"/>
      <c r="XEP155" s="9"/>
      <c r="XEQ155" s="9"/>
      <c r="XER155" s="9"/>
      <c r="XES155" s="9"/>
      <c r="XET155" s="9"/>
      <c r="XEU155" s="9"/>
      <c r="XEV155" s="9"/>
      <c r="XEW155" s="9"/>
      <c r="XEX155" s="9"/>
      <c r="XEY155" s="9"/>
      <c r="XEZ155" s="9"/>
      <c r="XFA155" s="9"/>
      <c r="XFB155" s="9"/>
      <c r="XFC155" s="9"/>
      <c r="XFD155" s="9"/>
    </row>
    <row r="156" spans="1:8 16325:16384" s="3" customFormat="1" ht="19.95" customHeight="1">
      <c r="A156" s="6" t="str">
        <f t="shared" si="5"/>
        <v>040006</v>
      </c>
      <c r="B156" s="6" t="s">
        <v>15</v>
      </c>
      <c r="C156" s="6" t="s">
        <v>10</v>
      </c>
      <c r="D156" s="6" t="str">
        <f>"512630510"</f>
        <v>512630510</v>
      </c>
      <c r="E156" s="7">
        <v>93</v>
      </c>
      <c r="F156" s="7">
        <v>67.5</v>
      </c>
      <c r="G156" s="7"/>
      <c r="H156" s="7">
        <v>82.8</v>
      </c>
      <c r="XCW156" s="9"/>
      <c r="XCX156" s="9"/>
      <c r="XCY156" s="9"/>
      <c r="XCZ156" s="9"/>
      <c r="XDA156" s="9"/>
      <c r="XDB156" s="9"/>
      <c r="XDC156" s="9"/>
      <c r="XDD156" s="9"/>
      <c r="XDE156" s="9"/>
      <c r="XDF156" s="9"/>
      <c r="XDG156" s="9"/>
      <c r="XDH156" s="9"/>
      <c r="XDI156" s="9"/>
      <c r="XDJ156" s="9"/>
      <c r="XDK156" s="9"/>
      <c r="XDL156" s="9"/>
      <c r="XDM156" s="9"/>
      <c r="XDN156" s="9"/>
      <c r="XDO156" s="9"/>
      <c r="XDP156" s="9"/>
      <c r="XDQ156" s="9"/>
      <c r="XDR156" s="9"/>
      <c r="XDS156" s="9"/>
      <c r="XDT156" s="9"/>
      <c r="XDU156" s="9"/>
      <c r="XDV156" s="9"/>
      <c r="XDW156" s="9"/>
      <c r="XDX156" s="9"/>
      <c r="XDY156" s="9"/>
      <c r="XDZ156" s="9"/>
      <c r="XEA156" s="9"/>
      <c r="XEB156" s="9"/>
      <c r="XEC156" s="9"/>
      <c r="XED156" s="9"/>
      <c r="XEE156" s="9"/>
      <c r="XEF156" s="9"/>
      <c r="XEG156" s="9"/>
      <c r="XEH156" s="9"/>
      <c r="XEI156" s="9"/>
      <c r="XEJ156" s="9"/>
      <c r="XEK156" s="9"/>
      <c r="XEL156" s="9"/>
      <c r="XEM156" s="9"/>
      <c r="XEN156" s="9"/>
      <c r="XEO156" s="9"/>
      <c r="XEP156" s="9"/>
      <c r="XEQ156" s="9"/>
      <c r="XER156" s="9"/>
      <c r="XES156" s="9"/>
      <c r="XET156" s="9"/>
      <c r="XEU156" s="9"/>
      <c r="XEV156" s="9"/>
      <c r="XEW156" s="9"/>
      <c r="XEX156" s="9"/>
      <c r="XEY156" s="9"/>
      <c r="XEZ156" s="9"/>
      <c r="XFA156" s="9"/>
      <c r="XFB156" s="9"/>
      <c r="XFC156" s="9"/>
      <c r="XFD156" s="9"/>
    </row>
    <row r="157" spans="1:8 16325:16384" s="3" customFormat="1" ht="19.95" customHeight="1">
      <c r="A157" s="6" t="str">
        <f t="shared" si="5"/>
        <v>040006</v>
      </c>
      <c r="B157" s="6" t="s">
        <v>15</v>
      </c>
      <c r="C157" s="6" t="s">
        <v>10</v>
      </c>
      <c r="D157" s="6" t="str">
        <f>"512630422"</f>
        <v>512630422</v>
      </c>
      <c r="E157" s="7">
        <v>75.5</v>
      </c>
      <c r="F157" s="7">
        <v>67</v>
      </c>
      <c r="G157" s="7"/>
      <c r="H157" s="7">
        <v>72.099999999999994</v>
      </c>
      <c r="XCW157" s="9"/>
      <c r="XCX157" s="9"/>
      <c r="XCY157" s="9"/>
      <c r="XCZ157" s="9"/>
      <c r="XDA157" s="9"/>
      <c r="XDB157" s="9"/>
      <c r="XDC157" s="9"/>
      <c r="XDD157" s="9"/>
      <c r="XDE157" s="9"/>
      <c r="XDF157" s="9"/>
      <c r="XDG157" s="9"/>
      <c r="XDH157" s="9"/>
      <c r="XDI157" s="9"/>
      <c r="XDJ157" s="9"/>
      <c r="XDK157" s="9"/>
      <c r="XDL157" s="9"/>
      <c r="XDM157" s="9"/>
      <c r="XDN157" s="9"/>
      <c r="XDO157" s="9"/>
      <c r="XDP157" s="9"/>
      <c r="XDQ157" s="9"/>
      <c r="XDR157" s="9"/>
      <c r="XDS157" s="9"/>
      <c r="XDT157" s="9"/>
      <c r="XDU157" s="9"/>
      <c r="XDV157" s="9"/>
      <c r="XDW157" s="9"/>
      <c r="XDX157" s="9"/>
      <c r="XDY157" s="9"/>
      <c r="XDZ157" s="9"/>
      <c r="XEA157" s="9"/>
      <c r="XEB157" s="9"/>
      <c r="XEC157" s="9"/>
      <c r="XED157" s="9"/>
      <c r="XEE157" s="9"/>
      <c r="XEF157" s="9"/>
      <c r="XEG157" s="9"/>
      <c r="XEH157" s="9"/>
      <c r="XEI157" s="9"/>
      <c r="XEJ157" s="9"/>
      <c r="XEK157" s="9"/>
      <c r="XEL157" s="9"/>
      <c r="XEM157" s="9"/>
      <c r="XEN157" s="9"/>
      <c r="XEO157" s="9"/>
      <c r="XEP157" s="9"/>
      <c r="XEQ157" s="9"/>
      <c r="XER157" s="9"/>
      <c r="XES157" s="9"/>
      <c r="XET157" s="9"/>
      <c r="XEU157" s="9"/>
      <c r="XEV157" s="9"/>
      <c r="XEW157" s="9"/>
      <c r="XEX157" s="9"/>
      <c r="XEY157" s="9"/>
      <c r="XEZ157" s="9"/>
      <c r="XFA157" s="9"/>
      <c r="XFB157" s="9"/>
      <c r="XFC157" s="9"/>
      <c r="XFD157" s="9"/>
    </row>
    <row r="158" spans="1:8 16325:16384" s="3" customFormat="1" ht="19.95" customHeight="1">
      <c r="A158" s="6" t="str">
        <f t="shared" si="5"/>
        <v>040006</v>
      </c>
      <c r="B158" s="6" t="s">
        <v>15</v>
      </c>
      <c r="C158" s="6" t="s">
        <v>10</v>
      </c>
      <c r="D158" s="6" t="str">
        <f>"512630417"</f>
        <v>512630417</v>
      </c>
      <c r="E158" s="7">
        <v>66.5</v>
      </c>
      <c r="F158" s="7">
        <v>80.5</v>
      </c>
      <c r="G158" s="7"/>
      <c r="H158" s="7">
        <v>72.099999999999994</v>
      </c>
      <c r="XCW158" s="9"/>
      <c r="XCX158" s="9"/>
      <c r="XCY158" s="9"/>
      <c r="XCZ158" s="9"/>
      <c r="XDA158" s="9"/>
      <c r="XDB158" s="9"/>
      <c r="XDC158" s="9"/>
      <c r="XDD158" s="9"/>
      <c r="XDE158" s="9"/>
      <c r="XDF158" s="9"/>
      <c r="XDG158" s="9"/>
      <c r="XDH158" s="9"/>
      <c r="XDI158" s="9"/>
      <c r="XDJ158" s="9"/>
      <c r="XDK158" s="9"/>
      <c r="XDL158" s="9"/>
      <c r="XDM158" s="9"/>
      <c r="XDN158" s="9"/>
      <c r="XDO158" s="9"/>
      <c r="XDP158" s="9"/>
      <c r="XDQ158" s="9"/>
      <c r="XDR158" s="9"/>
      <c r="XDS158" s="9"/>
      <c r="XDT158" s="9"/>
      <c r="XDU158" s="9"/>
      <c r="XDV158" s="9"/>
      <c r="XDW158" s="9"/>
      <c r="XDX158" s="9"/>
      <c r="XDY158" s="9"/>
      <c r="XDZ158" s="9"/>
      <c r="XEA158" s="9"/>
      <c r="XEB158" s="9"/>
      <c r="XEC158" s="9"/>
      <c r="XED158" s="9"/>
      <c r="XEE158" s="9"/>
      <c r="XEF158" s="9"/>
      <c r="XEG158" s="9"/>
      <c r="XEH158" s="9"/>
      <c r="XEI158" s="9"/>
      <c r="XEJ158" s="9"/>
      <c r="XEK158" s="9"/>
      <c r="XEL158" s="9"/>
      <c r="XEM158" s="9"/>
      <c r="XEN158" s="9"/>
      <c r="XEO158" s="9"/>
      <c r="XEP158" s="9"/>
      <c r="XEQ158" s="9"/>
      <c r="XER158" s="9"/>
      <c r="XES158" s="9"/>
      <c r="XET158" s="9"/>
      <c r="XEU158" s="9"/>
      <c r="XEV158" s="9"/>
      <c r="XEW158" s="9"/>
      <c r="XEX158" s="9"/>
      <c r="XEY158" s="9"/>
      <c r="XEZ158" s="9"/>
      <c r="XFA158" s="9"/>
      <c r="XFB158" s="9"/>
      <c r="XFC158" s="9"/>
      <c r="XFD158" s="9"/>
    </row>
    <row r="159" spans="1:8 16325:16384" s="3" customFormat="1" ht="19.95" customHeight="1">
      <c r="A159" s="6" t="str">
        <f t="shared" si="5"/>
        <v>040006</v>
      </c>
      <c r="B159" s="6" t="s">
        <v>15</v>
      </c>
      <c r="C159" s="6" t="s">
        <v>10</v>
      </c>
      <c r="D159" s="6" t="str">
        <f>"512630515"</f>
        <v>512630515</v>
      </c>
      <c r="E159" s="7">
        <v>51</v>
      </c>
      <c r="F159" s="7">
        <v>60</v>
      </c>
      <c r="G159" s="7"/>
      <c r="H159" s="7">
        <v>54.6</v>
      </c>
      <c r="XCW159" s="9"/>
      <c r="XCX159" s="9"/>
      <c r="XCY159" s="9"/>
      <c r="XCZ159" s="9"/>
      <c r="XDA159" s="9"/>
      <c r="XDB159" s="9"/>
      <c r="XDC159" s="9"/>
      <c r="XDD159" s="9"/>
      <c r="XDE159" s="9"/>
      <c r="XDF159" s="9"/>
      <c r="XDG159" s="9"/>
      <c r="XDH159" s="9"/>
      <c r="XDI159" s="9"/>
      <c r="XDJ159" s="9"/>
      <c r="XDK159" s="9"/>
      <c r="XDL159" s="9"/>
      <c r="XDM159" s="9"/>
      <c r="XDN159" s="9"/>
      <c r="XDO159" s="9"/>
      <c r="XDP159" s="9"/>
      <c r="XDQ159" s="9"/>
      <c r="XDR159" s="9"/>
      <c r="XDS159" s="9"/>
      <c r="XDT159" s="9"/>
      <c r="XDU159" s="9"/>
      <c r="XDV159" s="9"/>
      <c r="XDW159" s="9"/>
      <c r="XDX159" s="9"/>
      <c r="XDY159" s="9"/>
      <c r="XDZ159" s="9"/>
      <c r="XEA159" s="9"/>
      <c r="XEB159" s="9"/>
      <c r="XEC159" s="9"/>
      <c r="XED159" s="9"/>
      <c r="XEE159" s="9"/>
      <c r="XEF159" s="9"/>
      <c r="XEG159" s="9"/>
      <c r="XEH159" s="9"/>
      <c r="XEI159" s="9"/>
      <c r="XEJ159" s="9"/>
      <c r="XEK159" s="9"/>
      <c r="XEL159" s="9"/>
      <c r="XEM159" s="9"/>
      <c r="XEN159" s="9"/>
      <c r="XEO159" s="9"/>
      <c r="XEP159" s="9"/>
      <c r="XEQ159" s="9"/>
      <c r="XER159" s="9"/>
      <c r="XES159" s="9"/>
      <c r="XET159" s="9"/>
      <c r="XEU159" s="9"/>
      <c r="XEV159" s="9"/>
      <c r="XEW159" s="9"/>
      <c r="XEX159" s="9"/>
      <c r="XEY159" s="9"/>
      <c r="XEZ159" s="9"/>
      <c r="XFA159" s="9"/>
      <c r="XFB159" s="9"/>
      <c r="XFC159" s="9"/>
      <c r="XFD159" s="9"/>
    </row>
    <row r="160" spans="1:8 16325:16384" s="3" customFormat="1" ht="19.95" customHeight="1">
      <c r="A160" s="6" t="str">
        <f t="shared" si="5"/>
        <v>040006</v>
      </c>
      <c r="B160" s="6" t="s">
        <v>15</v>
      </c>
      <c r="C160" s="6" t="s">
        <v>10</v>
      </c>
      <c r="D160" s="6" t="str">
        <f>"512630419"</f>
        <v>512630419</v>
      </c>
      <c r="E160" s="7">
        <v>64</v>
      </c>
      <c r="F160" s="7">
        <v>62.5</v>
      </c>
      <c r="G160" s="7"/>
      <c r="H160" s="7">
        <v>63.4</v>
      </c>
      <c r="XCW160" s="9"/>
      <c r="XCX160" s="9"/>
      <c r="XCY160" s="9"/>
      <c r="XCZ160" s="9"/>
      <c r="XDA160" s="9"/>
      <c r="XDB160" s="9"/>
      <c r="XDC160" s="9"/>
      <c r="XDD160" s="9"/>
      <c r="XDE160" s="9"/>
      <c r="XDF160" s="9"/>
      <c r="XDG160" s="9"/>
      <c r="XDH160" s="9"/>
      <c r="XDI160" s="9"/>
      <c r="XDJ160" s="9"/>
      <c r="XDK160" s="9"/>
      <c r="XDL160" s="9"/>
      <c r="XDM160" s="9"/>
      <c r="XDN160" s="9"/>
      <c r="XDO160" s="9"/>
      <c r="XDP160" s="9"/>
      <c r="XDQ160" s="9"/>
      <c r="XDR160" s="9"/>
      <c r="XDS160" s="9"/>
      <c r="XDT160" s="9"/>
      <c r="XDU160" s="9"/>
      <c r="XDV160" s="9"/>
      <c r="XDW160" s="9"/>
      <c r="XDX160" s="9"/>
      <c r="XDY160" s="9"/>
      <c r="XDZ160" s="9"/>
      <c r="XEA160" s="9"/>
      <c r="XEB160" s="9"/>
      <c r="XEC160" s="9"/>
      <c r="XED160" s="9"/>
      <c r="XEE160" s="9"/>
      <c r="XEF160" s="9"/>
      <c r="XEG160" s="9"/>
      <c r="XEH160" s="9"/>
      <c r="XEI160" s="9"/>
      <c r="XEJ160" s="9"/>
      <c r="XEK160" s="9"/>
      <c r="XEL160" s="9"/>
      <c r="XEM160" s="9"/>
      <c r="XEN160" s="9"/>
      <c r="XEO160" s="9"/>
      <c r="XEP160" s="9"/>
      <c r="XEQ160" s="9"/>
      <c r="XER160" s="9"/>
      <c r="XES160" s="9"/>
      <c r="XET160" s="9"/>
      <c r="XEU160" s="9"/>
      <c r="XEV160" s="9"/>
      <c r="XEW160" s="9"/>
      <c r="XEX160" s="9"/>
      <c r="XEY160" s="9"/>
      <c r="XEZ160" s="9"/>
      <c r="XFA160" s="9"/>
      <c r="XFB160" s="9"/>
      <c r="XFC160" s="9"/>
      <c r="XFD160" s="9"/>
    </row>
    <row r="161" spans="1:8 16325:16384" s="3" customFormat="1" ht="19.95" customHeight="1">
      <c r="A161" s="6" t="str">
        <f t="shared" si="5"/>
        <v>040006</v>
      </c>
      <c r="B161" s="6" t="s">
        <v>15</v>
      </c>
      <c r="C161" s="6" t="s">
        <v>10</v>
      </c>
      <c r="D161" s="6" t="str">
        <f>"512630511"</f>
        <v>512630511</v>
      </c>
      <c r="E161" s="7">
        <v>82.5</v>
      </c>
      <c r="F161" s="7">
        <v>62</v>
      </c>
      <c r="G161" s="7"/>
      <c r="H161" s="7">
        <v>74.3</v>
      </c>
      <c r="XCW161" s="9"/>
      <c r="XCX161" s="9"/>
      <c r="XCY161" s="9"/>
      <c r="XCZ161" s="9"/>
      <c r="XDA161" s="9"/>
      <c r="XDB161" s="9"/>
      <c r="XDC161" s="9"/>
      <c r="XDD161" s="9"/>
      <c r="XDE161" s="9"/>
      <c r="XDF161" s="9"/>
      <c r="XDG161" s="9"/>
      <c r="XDH161" s="9"/>
      <c r="XDI161" s="9"/>
      <c r="XDJ161" s="9"/>
      <c r="XDK161" s="9"/>
      <c r="XDL161" s="9"/>
      <c r="XDM161" s="9"/>
      <c r="XDN161" s="9"/>
      <c r="XDO161" s="9"/>
      <c r="XDP161" s="9"/>
      <c r="XDQ161" s="9"/>
      <c r="XDR161" s="9"/>
      <c r="XDS161" s="9"/>
      <c r="XDT161" s="9"/>
      <c r="XDU161" s="9"/>
      <c r="XDV161" s="9"/>
      <c r="XDW161" s="9"/>
      <c r="XDX161" s="9"/>
      <c r="XDY161" s="9"/>
      <c r="XDZ161" s="9"/>
      <c r="XEA161" s="9"/>
      <c r="XEB161" s="9"/>
      <c r="XEC161" s="9"/>
      <c r="XED161" s="9"/>
      <c r="XEE161" s="9"/>
      <c r="XEF161" s="9"/>
      <c r="XEG161" s="9"/>
      <c r="XEH161" s="9"/>
      <c r="XEI161" s="9"/>
      <c r="XEJ161" s="9"/>
      <c r="XEK161" s="9"/>
      <c r="XEL161" s="9"/>
      <c r="XEM161" s="9"/>
      <c r="XEN161" s="9"/>
      <c r="XEO161" s="9"/>
      <c r="XEP161" s="9"/>
      <c r="XEQ161" s="9"/>
      <c r="XER161" s="9"/>
      <c r="XES161" s="9"/>
      <c r="XET161" s="9"/>
      <c r="XEU161" s="9"/>
      <c r="XEV161" s="9"/>
      <c r="XEW161" s="9"/>
      <c r="XEX161" s="9"/>
      <c r="XEY161" s="9"/>
      <c r="XEZ161" s="9"/>
      <c r="XFA161" s="9"/>
      <c r="XFB161" s="9"/>
      <c r="XFC161" s="9"/>
      <c r="XFD161" s="9"/>
    </row>
    <row r="162" spans="1:8 16325:16384" s="3" customFormat="1" ht="19.95" customHeight="1">
      <c r="A162" s="6" t="str">
        <f t="shared" si="5"/>
        <v>040006</v>
      </c>
      <c r="B162" s="6" t="s">
        <v>15</v>
      </c>
      <c r="C162" s="6" t="s">
        <v>10</v>
      </c>
      <c r="D162" s="6" t="str">
        <f>"512630516"</f>
        <v>512630516</v>
      </c>
      <c r="E162" s="7">
        <v>0</v>
      </c>
      <c r="F162" s="7">
        <v>0</v>
      </c>
      <c r="G162" s="7"/>
      <c r="H162" s="7">
        <v>0</v>
      </c>
      <c r="XCW162" s="9"/>
      <c r="XCX162" s="9"/>
      <c r="XCY162" s="9"/>
      <c r="XCZ162" s="9"/>
      <c r="XDA162" s="9"/>
      <c r="XDB162" s="9"/>
      <c r="XDC162" s="9"/>
      <c r="XDD162" s="9"/>
      <c r="XDE162" s="9"/>
      <c r="XDF162" s="9"/>
      <c r="XDG162" s="9"/>
      <c r="XDH162" s="9"/>
      <c r="XDI162" s="9"/>
      <c r="XDJ162" s="9"/>
      <c r="XDK162" s="9"/>
      <c r="XDL162" s="9"/>
      <c r="XDM162" s="9"/>
      <c r="XDN162" s="9"/>
      <c r="XDO162" s="9"/>
      <c r="XDP162" s="9"/>
      <c r="XDQ162" s="9"/>
      <c r="XDR162" s="9"/>
      <c r="XDS162" s="9"/>
      <c r="XDT162" s="9"/>
      <c r="XDU162" s="9"/>
      <c r="XDV162" s="9"/>
      <c r="XDW162" s="9"/>
      <c r="XDX162" s="9"/>
      <c r="XDY162" s="9"/>
      <c r="XDZ162" s="9"/>
      <c r="XEA162" s="9"/>
      <c r="XEB162" s="9"/>
      <c r="XEC162" s="9"/>
      <c r="XED162" s="9"/>
      <c r="XEE162" s="9"/>
      <c r="XEF162" s="9"/>
      <c r="XEG162" s="9"/>
      <c r="XEH162" s="9"/>
      <c r="XEI162" s="9"/>
      <c r="XEJ162" s="9"/>
      <c r="XEK162" s="9"/>
      <c r="XEL162" s="9"/>
      <c r="XEM162" s="9"/>
      <c r="XEN162" s="9"/>
      <c r="XEO162" s="9"/>
      <c r="XEP162" s="9"/>
      <c r="XEQ162" s="9"/>
      <c r="XER162" s="9"/>
      <c r="XES162" s="9"/>
      <c r="XET162" s="9"/>
      <c r="XEU162" s="9"/>
      <c r="XEV162" s="9"/>
      <c r="XEW162" s="9"/>
      <c r="XEX162" s="9"/>
      <c r="XEY162" s="9"/>
      <c r="XEZ162" s="9"/>
      <c r="XFA162" s="9"/>
      <c r="XFB162" s="9"/>
      <c r="XFC162" s="9"/>
      <c r="XFD162" s="9"/>
    </row>
    <row r="163" spans="1:8 16325:16384" s="3" customFormat="1" ht="19.95" customHeight="1">
      <c r="A163" s="6" t="str">
        <f t="shared" si="5"/>
        <v>040006</v>
      </c>
      <c r="B163" s="6" t="s">
        <v>15</v>
      </c>
      <c r="C163" s="6" t="s">
        <v>10</v>
      </c>
      <c r="D163" s="6" t="str">
        <f>"512630420"</f>
        <v>512630420</v>
      </c>
      <c r="E163" s="7">
        <v>70</v>
      </c>
      <c r="F163" s="7">
        <v>63</v>
      </c>
      <c r="G163" s="7"/>
      <c r="H163" s="7">
        <v>67.2</v>
      </c>
      <c r="XCW163" s="9"/>
      <c r="XCX163" s="9"/>
      <c r="XCY163" s="9"/>
      <c r="XCZ163" s="9"/>
      <c r="XDA163" s="9"/>
      <c r="XDB163" s="9"/>
      <c r="XDC163" s="9"/>
      <c r="XDD163" s="9"/>
      <c r="XDE163" s="9"/>
      <c r="XDF163" s="9"/>
      <c r="XDG163" s="9"/>
      <c r="XDH163" s="9"/>
      <c r="XDI163" s="9"/>
      <c r="XDJ163" s="9"/>
      <c r="XDK163" s="9"/>
      <c r="XDL163" s="9"/>
      <c r="XDM163" s="9"/>
      <c r="XDN163" s="9"/>
      <c r="XDO163" s="9"/>
      <c r="XDP163" s="9"/>
      <c r="XDQ163" s="9"/>
      <c r="XDR163" s="9"/>
      <c r="XDS163" s="9"/>
      <c r="XDT163" s="9"/>
      <c r="XDU163" s="9"/>
      <c r="XDV163" s="9"/>
      <c r="XDW163" s="9"/>
      <c r="XDX163" s="9"/>
      <c r="XDY163" s="9"/>
      <c r="XDZ163" s="9"/>
      <c r="XEA163" s="9"/>
      <c r="XEB163" s="9"/>
      <c r="XEC163" s="9"/>
      <c r="XED163" s="9"/>
      <c r="XEE163" s="9"/>
      <c r="XEF163" s="9"/>
      <c r="XEG163" s="9"/>
      <c r="XEH163" s="9"/>
      <c r="XEI163" s="9"/>
      <c r="XEJ163" s="9"/>
      <c r="XEK163" s="9"/>
      <c r="XEL163" s="9"/>
      <c r="XEM163" s="9"/>
      <c r="XEN163" s="9"/>
      <c r="XEO163" s="9"/>
      <c r="XEP163" s="9"/>
      <c r="XEQ163" s="9"/>
      <c r="XER163" s="9"/>
      <c r="XES163" s="9"/>
      <c r="XET163" s="9"/>
      <c r="XEU163" s="9"/>
      <c r="XEV163" s="9"/>
      <c r="XEW163" s="9"/>
      <c r="XEX163" s="9"/>
      <c r="XEY163" s="9"/>
      <c r="XEZ163" s="9"/>
      <c r="XFA163" s="9"/>
      <c r="XFB163" s="9"/>
      <c r="XFC163" s="9"/>
      <c r="XFD163" s="9"/>
    </row>
    <row r="164" spans="1:8 16325:16384" s="3" customFormat="1" ht="19.95" customHeight="1">
      <c r="A164" s="6" t="str">
        <f t="shared" si="5"/>
        <v>040006</v>
      </c>
      <c r="B164" s="6" t="s">
        <v>15</v>
      </c>
      <c r="C164" s="6" t="s">
        <v>10</v>
      </c>
      <c r="D164" s="6" t="str">
        <f>"512630428"</f>
        <v>512630428</v>
      </c>
      <c r="E164" s="7">
        <v>48.5</v>
      </c>
      <c r="F164" s="7">
        <v>58.5</v>
      </c>
      <c r="G164" s="7"/>
      <c r="H164" s="7">
        <v>52.5</v>
      </c>
      <c r="XCW164" s="9"/>
      <c r="XCX164" s="9"/>
      <c r="XCY164" s="9"/>
      <c r="XCZ164" s="9"/>
      <c r="XDA164" s="9"/>
      <c r="XDB164" s="9"/>
      <c r="XDC164" s="9"/>
      <c r="XDD164" s="9"/>
      <c r="XDE164" s="9"/>
      <c r="XDF164" s="9"/>
      <c r="XDG164" s="9"/>
      <c r="XDH164" s="9"/>
      <c r="XDI164" s="9"/>
      <c r="XDJ164" s="9"/>
      <c r="XDK164" s="9"/>
      <c r="XDL164" s="9"/>
      <c r="XDM164" s="9"/>
      <c r="XDN164" s="9"/>
      <c r="XDO164" s="9"/>
      <c r="XDP164" s="9"/>
      <c r="XDQ164" s="9"/>
      <c r="XDR164" s="9"/>
      <c r="XDS164" s="9"/>
      <c r="XDT164" s="9"/>
      <c r="XDU164" s="9"/>
      <c r="XDV164" s="9"/>
      <c r="XDW164" s="9"/>
      <c r="XDX164" s="9"/>
      <c r="XDY164" s="9"/>
      <c r="XDZ164" s="9"/>
      <c r="XEA164" s="9"/>
      <c r="XEB164" s="9"/>
      <c r="XEC164" s="9"/>
      <c r="XED164" s="9"/>
      <c r="XEE164" s="9"/>
      <c r="XEF164" s="9"/>
      <c r="XEG164" s="9"/>
      <c r="XEH164" s="9"/>
      <c r="XEI164" s="9"/>
      <c r="XEJ164" s="9"/>
      <c r="XEK164" s="9"/>
      <c r="XEL164" s="9"/>
      <c r="XEM164" s="9"/>
      <c r="XEN164" s="9"/>
      <c r="XEO164" s="9"/>
      <c r="XEP164" s="9"/>
      <c r="XEQ164" s="9"/>
      <c r="XER164" s="9"/>
      <c r="XES164" s="9"/>
      <c r="XET164" s="9"/>
      <c r="XEU164" s="9"/>
      <c r="XEV164" s="9"/>
      <c r="XEW164" s="9"/>
      <c r="XEX164" s="9"/>
      <c r="XEY164" s="9"/>
      <c r="XEZ164" s="9"/>
      <c r="XFA164" s="9"/>
      <c r="XFB164" s="9"/>
      <c r="XFC164" s="9"/>
      <c r="XFD164" s="9"/>
    </row>
    <row r="165" spans="1:8 16325:16384" s="3" customFormat="1" ht="19.95" customHeight="1">
      <c r="A165" s="6" t="str">
        <f t="shared" si="5"/>
        <v>040006</v>
      </c>
      <c r="B165" s="6" t="s">
        <v>15</v>
      </c>
      <c r="C165" s="6" t="s">
        <v>10</v>
      </c>
      <c r="D165" s="6" t="str">
        <f>"512630507"</f>
        <v>512630507</v>
      </c>
      <c r="E165" s="7">
        <v>81.5</v>
      </c>
      <c r="F165" s="7">
        <v>0</v>
      </c>
      <c r="G165" s="7"/>
      <c r="H165" s="7">
        <v>48.9</v>
      </c>
      <c r="XCW165" s="9"/>
      <c r="XCX165" s="9"/>
      <c r="XCY165" s="9"/>
      <c r="XCZ165" s="9"/>
      <c r="XDA165" s="9"/>
      <c r="XDB165" s="9"/>
      <c r="XDC165" s="9"/>
      <c r="XDD165" s="9"/>
      <c r="XDE165" s="9"/>
      <c r="XDF165" s="9"/>
      <c r="XDG165" s="9"/>
      <c r="XDH165" s="9"/>
      <c r="XDI165" s="9"/>
      <c r="XDJ165" s="9"/>
      <c r="XDK165" s="9"/>
      <c r="XDL165" s="9"/>
      <c r="XDM165" s="9"/>
      <c r="XDN165" s="9"/>
      <c r="XDO165" s="9"/>
      <c r="XDP165" s="9"/>
      <c r="XDQ165" s="9"/>
      <c r="XDR165" s="9"/>
      <c r="XDS165" s="9"/>
      <c r="XDT165" s="9"/>
      <c r="XDU165" s="9"/>
      <c r="XDV165" s="9"/>
      <c r="XDW165" s="9"/>
      <c r="XDX165" s="9"/>
      <c r="XDY165" s="9"/>
      <c r="XDZ165" s="9"/>
      <c r="XEA165" s="9"/>
      <c r="XEB165" s="9"/>
      <c r="XEC165" s="9"/>
      <c r="XED165" s="9"/>
      <c r="XEE165" s="9"/>
      <c r="XEF165" s="9"/>
      <c r="XEG165" s="9"/>
      <c r="XEH165" s="9"/>
      <c r="XEI165" s="9"/>
      <c r="XEJ165" s="9"/>
      <c r="XEK165" s="9"/>
      <c r="XEL165" s="9"/>
      <c r="XEM165" s="9"/>
      <c r="XEN165" s="9"/>
      <c r="XEO165" s="9"/>
      <c r="XEP165" s="9"/>
      <c r="XEQ165" s="9"/>
      <c r="XER165" s="9"/>
      <c r="XES165" s="9"/>
      <c r="XET165" s="9"/>
      <c r="XEU165" s="9"/>
      <c r="XEV165" s="9"/>
      <c r="XEW165" s="9"/>
      <c r="XEX165" s="9"/>
      <c r="XEY165" s="9"/>
      <c r="XEZ165" s="9"/>
      <c r="XFA165" s="9"/>
      <c r="XFB165" s="9"/>
      <c r="XFC165" s="9"/>
      <c r="XFD165" s="9"/>
    </row>
    <row r="166" spans="1:8 16325:16384" s="3" customFormat="1" ht="19.95" customHeight="1">
      <c r="A166" s="6" t="str">
        <f t="shared" si="5"/>
        <v>040006</v>
      </c>
      <c r="B166" s="6" t="s">
        <v>15</v>
      </c>
      <c r="C166" s="6" t="s">
        <v>10</v>
      </c>
      <c r="D166" s="6" t="str">
        <f>"512630506"</f>
        <v>512630506</v>
      </c>
      <c r="E166" s="7">
        <v>0</v>
      </c>
      <c r="F166" s="7">
        <v>0</v>
      </c>
      <c r="G166" s="7"/>
      <c r="H166" s="7">
        <v>0</v>
      </c>
      <c r="XCW166" s="9"/>
      <c r="XCX166" s="9"/>
      <c r="XCY166" s="9"/>
      <c r="XCZ166" s="9"/>
      <c r="XDA166" s="9"/>
      <c r="XDB166" s="9"/>
      <c r="XDC166" s="9"/>
      <c r="XDD166" s="9"/>
      <c r="XDE166" s="9"/>
      <c r="XDF166" s="9"/>
      <c r="XDG166" s="9"/>
      <c r="XDH166" s="9"/>
      <c r="XDI166" s="9"/>
      <c r="XDJ166" s="9"/>
      <c r="XDK166" s="9"/>
      <c r="XDL166" s="9"/>
      <c r="XDM166" s="9"/>
      <c r="XDN166" s="9"/>
      <c r="XDO166" s="9"/>
      <c r="XDP166" s="9"/>
      <c r="XDQ166" s="9"/>
      <c r="XDR166" s="9"/>
      <c r="XDS166" s="9"/>
      <c r="XDT166" s="9"/>
      <c r="XDU166" s="9"/>
      <c r="XDV166" s="9"/>
      <c r="XDW166" s="9"/>
      <c r="XDX166" s="9"/>
      <c r="XDY166" s="9"/>
      <c r="XDZ166" s="9"/>
      <c r="XEA166" s="9"/>
      <c r="XEB166" s="9"/>
      <c r="XEC166" s="9"/>
      <c r="XED166" s="9"/>
      <c r="XEE166" s="9"/>
      <c r="XEF166" s="9"/>
      <c r="XEG166" s="9"/>
      <c r="XEH166" s="9"/>
      <c r="XEI166" s="9"/>
      <c r="XEJ166" s="9"/>
      <c r="XEK166" s="9"/>
      <c r="XEL166" s="9"/>
      <c r="XEM166" s="9"/>
      <c r="XEN166" s="9"/>
      <c r="XEO166" s="9"/>
      <c r="XEP166" s="9"/>
      <c r="XEQ166" s="9"/>
      <c r="XER166" s="9"/>
      <c r="XES166" s="9"/>
      <c r="XET166" s="9"/>
      <c r="XEU166" s="9"/>
      <c r="XEV166" s="9"/>
      <c r="XEW166" s="9"/>
      <c r="XEX166" s="9"/>
      <c r="XEY166" s="9"/>
      <c r="XEZ166" s="9"/>
      <c r="XFA166" s="9"/>
      <c r="XFB166" s="9"/>
      <c r="XFC166" s="9"/>
      <c r="XFD166" s="9"/>
    </row>
    <row r="167" spans="1:8 16325:16384" s="3" customFormat="1" ht="19.95" customHeight="1">
      <c r="A167" s="6" t="str">
        <f t="shared" si="5"/>
        <v>040006</v>
      </c>
      <c r="B167" s="6" t="s">
        <v>15</v>
      </c>
      <c r="C167" s="6" t="s">
        <v>10</v>
      </c>
      <c r="D167" s="6" t="str">
        <f>"512630501"</f>
        <v>512630501</v>
      </c>
      <c r="E167" s="7">
        <v>94</v>
      </c>
      <c r="F167" s="7">
        <v>68</v>
      </c>
      <c r="G167" s="7"/>
      <c r="H167" s="7">
        <v>83.6</v>
      </c>
      <c r="XCW167" s="9"/>
      <c r="XCX167" s="9"/>
      <c r="XCY167" s="9"/>
      <c r="XCZ167" s="9"/>
      <c r="XDA167" s="9"/>
      <c r="XDB167" s="9"/>
      <c r="XDC167" s="9"/>
      <c r="XDD167" s="9"/>
      <c r="XDE167" s="9"/>
      <c r="XDF167" s="9"/>
      <c r="XDG167" s="9"/>
      <c r="XDH167" s="9"/>
      <c r="XDI167" s="9"/>
      <c r="XDJ167" s="9"/>
      <c r="XDK167" s="9"/>
      <c r="XDL167" s="9"/>
      <c r="XDM167" s="9"/>
      <c r="XDN167" s="9"/>
      <c r="XDO167" s="9"/>
      <c r="XDP167" s="9"/>
      <c r="XDQ167" s="9"/>
      <c r="XDR167" s="9"/>
      <c r="XDS167" s="9"/>
      <c r="XDT167" s="9"/>
      <c r="XDU167" s="9"/>
      <c r="XDV167" s="9"/>
      <c r="XDW167" s="9"/>
      <c r="XDX167" s="9"/>
      <c r="XDY167" s="9"/>
      <c r="XDZ167" s="9"/>
      <c r="XEA167" s="9"/>
      <c r="XEB167" s="9"/>
      <c r="XEC167" s="9"/>
      <c r="XED167" s="9"/>
      <c r="XEE167" s="9"/>
      <c r="XEF167" s="9"/>
      <c r="XEG167" s="9"/>
      <c r="XEH167" s="9"/>
      <c r="XEI167" s="9"/>
      <c r="XEJ167" s="9"/>
      <c r="XEK167" s="9"/>
      <c r="XEL167" s="9"/>
      <c r="XEM167" s="9"/>
      <c r="XEN167" s="9"/>
      <c r="XEO167" s="9"/>
      <c r="XEP167" s="9"/>
      <c r="XEQ167" s="9"/>
      <c r="XER167" s="9"/>
      <c r="XES167" s="9"/>
      <c r="XET167" s="9"/>
      <c r="XEU167" s="9"/>
      <c r="XEV167" s="9"/>
      <c r="XEW167" s="9"/>
      <c r="XEX167" s="9"/>
      <c r="XEY167" s="9"/>
      <c r="XEZ167" s="9"/>
      <c r="XFA167" s="9"/>
      <c r="XFB167" s="9"/>
      <c r="XFC167" s="9"/>
      <c r="XFD167" s="9"/>
    </row>
    <row r="168" spans="1:8 16325:16384" s="3" customFormat="1" ht="19.95" customHeight="1">
      <c r="A168" s="6" t="str">
        <f t="shared" si="5"/>
        <v>040006</v>
      </c>
      <c r="B168" s="6" t="s">
        <v>15</v>
      </c>
      <c r="C168" s="6" t="s">
        <v>10</v>
      </c>
      <c r="D168" s="6" t="str">
        <f>"512630416"</f>
        <v>512630416</v>
      </c>
      <c r="E168" s="7">
        <v>42.5</v>
      </c>
      <c r="F168" s="7">
        <v>0</v>
      </c>
      <c r="G168" s="7"/>
      <c r="H168" s="7">
        <v>25.5</v>
      </c>
      <c r="XCW168" s="9"/>
      <c r="XCX168" s="9"/>
      <c r="XCY168" s="9"/>
      <c r="XCZ168" s="9"/>
      <c r="XDA168" s="9"/>
      <c r="XDB168" s="9"/>
      <c r="XDC168" s="9"/>
      <c r="XDD168" s="9"/>
      <c r="XDE168" s="9"/>
      <c r="XDF168" s="9"/>
      <c r="XDG168" s="9"/>
      <c r="XDH168" s="9"/>
      <c r="XDI168" s="9"/>
      <c r="XDJ168" s="9"/>
      <c r="XDK168" s="9"/>
      <c r="XDL168" s="9"/>
      <c r="XDM168" s="9"/>
      <c r="XDN168" s="9"/>
      <c r="XDO168" s="9"/>
      <c r="XDP168" s="9"/>
      <c r="XDQ168" s="9"/>
      <c r="XDR168" s="9"/>
      <c r="XDS168" s="9"/>
      <c r="XDT168" s="9"/>
      <c r="XDU168" s="9"/>
      <c r="XDV168" s="9"/>
      <c r="XDW168" s="9"/>
      <c r="XDX168" s="9"/>
      <c r="XDY168" s="9"/>
      <c r="XDZ168" s="9"/>
      <c r="XEA168" s="9"/>
      <c r="XEB168" s="9"/>
      <c r="XEC168" s="9"/>
      <c r="XED168" s="9"/>
      <c r="XEE168" s="9"/>
      <c r="XEF168" s="9"/>
      <c r="XEG168" s="9"/>
      <c r="XEH168" s="9"/>
      <c r="XEI168" s="9"/>
      <c r="XEJ168" s="9"/>
      <c r="XEK168" s="9"/>
      <c r="XEL168" s="9"/>
      <c r="XEM168" s="9"/>
      <c r="XEN168" s="9"/>
      <c r="XEO168" s="9"/>
      <c r="XEP168" s="9"/>
      <c r="XEQ168" s="9"/>
      <c r="XER168" s="9"/>
      <c r="XES168" s="9"/>
      <c r="XET168" s="9"/>
      <c r="XEU168" s="9"/>
      <c r="XEV168" s="9"/>
      <c r="XEW168" s="9"/>
      <c r="XEX168" s="9"/>
      <c r="XEY168" s="9"/>
      <c r="XEZ168" s="9"/>
      <c r="XFA168" s="9"/>
      <c r="XFB168" s="9"/>
      <c r="XFC168" s="9"/>
      <c r="XFD168" s="9"/>
    </row>
    <row r="169" spans="1:8 16325:16384" s="3" customFormat="1" ht="19.95" customHeight="1">
      <c r="A169" s="6" t="str">
        <f t="shared" si="5"/>
        <v>040006</v>
      </c>
      <c r="B169" s="6" t="s">
        <v>15</v>
      </c>
      <c r="C169" s="6" t="s">
        <v>10</v>
      </c>
      <c r="D169" s="6" t="str">
        <f>"512630414"</f>
        <v>512630414</v>
      </c>
      <c r="E169" s="7">
        <v>90</v>
      </c>
      <c r="F169" s="7">
        <v>59</v>
      </c>
      <c r="G169" s="7"/>
      <c r="H169" s="7">
        <v>77.599999999999994</v>
      </c>
      <c r="XCW169" s="9"/>
      <c r="XCX169" s="9"/>
      <c r="XCY169" s="9"/>
      <c r="XCZ169" s="9"/>
      <c r="XDA169" s="9"/>
      <c r="XDB169" s="9"/>
      <c r="XDC169" s="9"/>
      <c r="XDD169" s="9"/>
      <c r="XDE169" s="9"/>
      <c r="XDF169" s="9"/>
      <c r="XDG169" s="9"/>
      <c r="XDH169" s="9"/>
      <c r="XDI169" s="9"/>
      <c r="XDJ169" s="9"/>
      <c r="XDK169" s="9"/>
      <c r="XDL169" s="9"/>
      <c r="XDM169" s="9"/>
      <c r="XDN169" s="9"/>
      <c r="XDO169" s="9"/>
      <c r="XDP169" s="9"/>
      <c r="XDQ169" s="9"/>
      <c r="XDR169" s="9"/>
      <c r="XDS169" s="9"/>
      <c r="XDT169" s="9"/>
      <c r="XDU169" s="9"/>
      <c r="XDV169" s="9"/>
      <c r="XDW169" s="9"/>
      <c r="XDX169" s="9"/>
      <c r="XDY169" s="9"/>
      <c r="XDZ169" s="9"/>
      <c r="XEA169" s="9"/>
      <c r="XEB169" s="9"/>
      <c r="XEC169" s="9"/>
      <c r="XED169" s="9"/>
      <c r="XEE169" s="9"/>
      <c r="XEF169" s="9"/>
      <c r="XEG169" s="9"/>
      <c r="XEH169" s="9"/>
      <c r="XEI169" s="9"/>
      <c r="XEJ169" s="9"/>
      <c r="XEK169" s="9"/>
      <c r="XEL169" s="9"/>
      <c r="XEM169" s="9"/>
      <c r="XEN169" s="9"/>
      <c r="XEO169" s="9"/>
      <c r="XEP169" s="9"/>
      <c r="XEQ169" s="9"/>
      <c r="XER169" s="9"/>
      <c r="XES169" s="9"/>
      <c r="XET169" s="9"/>
      <c r="XEU169" s="9"/>
      <c r="XEV169" s="9"/>
      <c r="XEW169" s="9"/>
      <c r="XEX169" s="9"/>
      <c r="XEY169" s="9"/>
      <c r="XEZ169" s="9"/>
      <c r="XFA169" s="9"/>
      <c r="XFB169" s="9"/>
      <c r="XFC169" s="9"/>
      <c r="XFD169" s="9"/>
    </row>
    <row r="170" spans="1:8 16325:16384" s="3" customFormat="1" ht="19.95" customHeight="1">
      <c r="A170" s="6" t="str">
        <f t="shared" si="5"/>
        <v>040006</v>
      </c>
      <c r="B170" s="6" t="s">
        <v>15</v>
      </c>
      <c r="C170" s="6" t="s">
        <v>10</v>
      </c>
      <c r="D170" s="6" t="str">
        <f>"512630514"</f>
        <v>512630514</v>
      </c>
      <c r="E170" s="7">
        <v>55.5</v>
      </c>
      <c r="F170" s="7">
        <v>0</v>
      </c>
      <c r="G170" s="7"/>
      <c r="H170" s="7">
        <v>33.299999999999997</v>
      </c>
      <c r="XCW170" s="9"/>
      <c r="XCX170" s="9"/>
      <c r="XCY170" s="9"/>
      <c r="XCZ170" s="9"/>
      <c r="XDA170" s="9"/>
      <c r="XDB170" s="9"/>
      <c r="XDC170" s="9"/>
      <c r="XDD170" s="9"/>
      <c r="XDE170" s="9"/>
      <c r="XDF170" s="9"/>
      <c r="XDG170" s="9"/>
      <c r="XDH170" s="9"/>
      <c r="XDI170" s="9"/>
      <c r="XDJ170" s="9"/>
      <c r="XDK170" s="9"/>
      <c r="XDL170" s="9"/>
      <c r="XDM170" s="9"/>
      <c r="XDN170" s="9"/>
      <c r="XDO170" s="9"/>
      <c r="XDP170" s="9"/>
      <c r="XDQ170" s="9"/>
      <c r="XDR170" s="9"/>
      <c r="XDS170" s="9"/>
      <c r="XDT170" s="9"/>
      <c r="XDU170" s="9"/>
      <c r="XDV170" s="9"/>
      <c r="XDW170" s="9"/>
      <c r="XDX170" s="9"/>
      <c r="XDY170" s="9"/>
      <c r="XDZ170" s="9"/>
      <c r="XEA170" s="9"/>
      <c r="XEB170" s="9"/>
      <c r="XEC170" s="9"/>
      <c r="XED170" s="9"/>
      <c r="XEE170" s="9"/>
      <c r="XEF170" s="9"/>
      <c r="XEG170" s="9"/>
      <c r="XEH170" s="9"/>
      <c r="XEI170" s="9"/>
      <c r="XEJ170" s="9"/>
      <c r="XEK170" s="9"/>
      <c r="XEL170" s="9"/>
      <c r="XEM170" s="9"/>
      <c r="XEN170" s="9"/>
      <c r="XEO170" s="9"/>
      <c r="XEP170" s="9"/>
      <c r="XEQ170" s="9"/>
      <c r="XER170" s="9"/>
      <c r="XES170" s="9"/>
      <c r="XET170" s="9"/>
      <c r="XEU170" s="9"/>
      <c r="XEV170" s="9"/>
      <c r="XEW170" s="9"/>
      <c r="XEX170" s="9"/>
      <c r="XEY170" s="9"/>
      <c r="XEZ170" s="9"/>
      <c r="XFA170" s="9"/>
      <c r="XFB170" s="9"/>
      <c r="XFC170" s="9"/>
      <c r="XFD170" s="9"/>
    </row>
    <row r="171" spans="1:8 16325:16384" s="3" customFormat="1" ht="19.95" customHeight="1">
      <c r="A171" s="6" t="str">
        <f t="shared" si="5"/>
        <v>040006</v>
      </c>
      <c r="B171" s="6" t="s">
        <v>15</v>
      </c>
      <c r="C171" s="6" t="s">
        <v>10</v>
      </c>
      <c r="D171" s="6" t="str">
        <f>"512630423"</f>
        <v>512630423</v>
      </c>
      <c r="E171" s="7">
        <v>54.5</v>
      </c>
      <c r="F171" s="7">
        <v>68.5</v>
      </c>
      <c r="G171" s="7"/>
      <c r="H171" s="7">
        <v>60.1</v>
      </c>
      <c r="XCW171" s="9"/>
      <c r="XCX171" s="9"/>
      <c r="XCY171" s="9"/>
      <c r="XCZ171" s="9"/>
      <c r="XDA171" s="9"/>
      <c r="XDB171" s="9"/>
      <c r="XDC171" s="9"/>
      <c r="XDD171" s="9"/>
      <c r="XDE171" s="9"/>
      <c r="XDF171" s="9"/>
      <c r="XDG171" s="9"/>
      <c r="XDH171" s="9"/>
      <c r="XDI171" s="9"/>
      <c r="XDJ171" s="9"/>
      <c r="XDK171" s="9"/>
      <c r="XDL171" s="9"/>
      <c r="XDM171" s="9"/>
      <c r="XDN171" s="9"/>
      <c r="XDO171" s="9"/>
      <c r="XDP171" s="9"/>
      <c r="XDQ171" s="9"/>
      <c r="XDR171" s="9"/>
      <c r="XDS171" s="9"/>
      <c r="XDT171" s="9"/>
      <c r="XDU171" s="9"/>
      <c r="XDV171" s="9"/>
      <c r="XDW171" s="9"/>
      <c r="XDX171" s="9"/>
      <c r="XDY171" s="9"/>
      <c r="XDZ171" s="9"/>
      <c r="XEA171" s="9"/>
      <c r="XEB171" s="9"/>
      <c r="XEC171" s="9"/>
      <c r="XED171" s="9"/>
      <c r="XEE171" s="9"/>
      <c r="XEF171" s="9"/>
      <c r="XEG171" s="9"/>
      <c r="XEH171" s="9"/>
      <c r="XEI171" s="9"/>
      <c r="XEJ171" s="9"/>
      <c r="XEK171" s="9"/>
      <c r="XEL171" s="9"/>
      <c r="XEM171" s="9"/>
      <c r="XEN171" s="9"/>
      <c r="XEO171" s="9"/>
      <c r="XEP171" s="9"/>
      <c r="XEQ171" s="9"/>
      <c r="XER171" s="9"/>
      <c r="XES171" s="9"/>
      <c r="XET171" s="9"/>
      <c r="XEU171" s="9"/>
      <c r="XEV171" s="9"/>
      <c r="XEW171" s="9"/>
      <c r="XEX171" s="9"/>
      <c r="XEY171" s="9"/>
      <c r="XEZ171" s="9"/>
      <c r="XFA171" s="9"/>
      <c r="XFB171" s="9"/>
      <c r="XFC171" s="9"/>
      <c r="XFD171" s="9"/>
    </row>
    <row r="172" spans="1:8 16325:16384" s="3" customFormat="1" ht="19.95" customHeight="1">
      <c r="A172" s="6" t="str">
        <f t="shared" si="5"/>
        <v>040006</v>
      </c>
      <c r="B172" s="6" t="s">
        <v>15</v>
      </c>
      <c r="C172" s="6" t="s">
        <v>10</v>
      </c>
      <c r="D172" s="6" t="str">
        <f>"512630425"</f>
        <v>512630425</v>
      </c>
      <c r="E172" s="7">
        <v>0</v>
      </c>
      <c r="F172" s="7">
        <v>0</v>
      </c>
      <c r="G172" s="7"/>
      <c r="H172" s="7">
        <v>0</v>
      </c>
      <c r="XCW172" s="9"/>
      <c r="XCX172" s="9"/>
      <c r="XCY172" s="9"/>
      <c r="XCZ172" s="9"/>
      <c r="XDA172" s="9"/>
      <c r="XDB172" s="9"/>
      <c r="XDC172" s="9"/>
      <c r="XDD172" s="9"/>
      <c r="XDE172" s="9"/>
      <c r="XDF172" s="9"/>
      <c r="XDG172" s="9"/>
      <c r="XDH172" s="9"/>
      <c r="XDI172" s="9"/>
      <c r="XDJ172" s="9"/>
      <c r="XDK172" s="9"/>
      <c r="XDL172" s="9"/>
      <c r="XDM172" s="9"/>
      <c r="XDN172" s="9"/>
      <c r="XDO172" s="9"/>
      <c r="XDP172" s="9"/>
      <c r="XDQ172" s="9"/>
      <c r="XDR172" s="9"/>
      <c r="XDS172" s="9"/>
      <c r="XDT172" s="9"/>
      <c r="XDU172" s="9"/>
      <c r="XDV172" s="9"/>
      <c r="XDW172" s="9"/>
      <c r="XDX172" s="9"/>
      <c r="XDY172" s="9"/>
      <c r="XDZ172" s="9"/>
      <c r="XEA172" s="9"/>
      <c r="XEB172" s="9"/>
      <c r="XEC172" s="9"/>
      <c r="XED172" s="9"/>
      <c r="XEE172" s="9"/>
      <c r="XEF172" s="9"/>
      <c r="XEG172" s="9"/>
      <c r="XEH172" s="9"/>
      <c r="XEI172" s="9"/>
      <c r="XEJ172" s="9"/>
      <c r="XEK172" s="9"/>
      <c r="XEL172" s="9"/>
      <c r="XEM172" s="9"/>
      <c r="XEN172" s="9"/>
      <c r="XEO172" s="9"/>
      <c r="XEP172" s="9"/>
      <c r="XEQ172" s="9"/>
      <c r="XER172" s="9"/>
      <c r="XES172" s="9"/>
      <c r="XET172" s="9"/>
      <c r="XEU172" s="9"/>
      <c r="XEV172" s="9"/>
      <c r="XEW172" s="9"/>
      <c r="XEX172" s="9"/>
      <c r="XEY172" s="9"/>
      <c r="XEZ172" s="9"/>
      <c r="XFA172" s="9"/>
      <c r="XFB172" s="9"/>
      <c r="XFC172" s="9"/>
      <c r="XFD172" s="9"/>
    </row>
    <row r="173" spans="1:8 16325:16384" s="3" customFormat="1" ht="19.95" customHeight="1">
      <c r="A173" s="6" t="str">
        <f t="shared" si="5"/>
        <v>040006</v>
      </c>
      <c r="B173" s="6" t="s">
        <v>15</v>
      </c>
      <c r="C173" s="6" t="s">
        <v>10</v>
      </c>
      <c r="D173" s="6" t="str">
        <f>"512630426"</f>
        <v>512630426</v>
      </c>
      <c r="E173" s="7">
        <v>87.5</v>
      </c>
      <c r="F173" s="7">
        <v>68</v>
      </c>
      <c r="G173" s="7"/>
      <c r="H173" s="7">
        <v>79.7</v>
      </c>
      <c r="XCW173" s="9"/>
      <c r="XCX173" s="9"/>
      <c r="XCY173" s="9"/>
      <c r="XCZ173" s="9"/>
      <c r="XDA173" s="9"/>
      <c r="XDB173" s="9"/>
      <c r="XDC173" s="9"/>
      <c r="XDD173" s="9"/>
      <c r="XDE173" s="9"/>
      <c r="XDF173" s="9"/>
      <c r="XDG173" s="9"/>
      <c r="XDH173" s="9"/>
      <c r="XDI173" s="9"/>
      <c r="XDJ173" s="9"/>
      <c r="XDK173" s="9"/>
      <c r="XDL173" s="9"/>
      <c r="XDM173" s="9"/>
      <c r="XDN173" s="9"/>
      <c r="XDO173" s="9"/>
      <c r="XDP173" s="9"/>
      <c r="XDQ173" s="9"/>
      <c r="XDR173" s="9"/>
      <c r="XDS173" s="9"/>
      <c r="XDT173" s="9"/>
      <c r="XDU173" s="9"/>
      <c r="XDV173" s="9"/>
      <c r="XDW173" s="9"/>
      <c r="XDX173" s="9"/>
      <c r="XDY173" s="9"/>
      <c r="XDZ173" s="9"/>
      <c r="XEA173" s="9"/>
      <c r="XEB173" s="9"/>
      <c r="XEC173" s="9"/>
      <c r="XED173" s="9"/>
      <c r="XEE173" s="9"/>
      <c r="XEF173" s="9"/>
      <c r="XEG173" s="9"/>
      <c r="XEH173" s="9"/>
      <c r="XEI173" s="9"/>
      <c r="XEJ173" s="9"/>
      <c r="XEK173" s="9"/>
      <c r="XEL173" s="9"/>
      <c r="XEM173" s="9"/>
      <c r="XEN173" s="9"/>
      <c r="XEO173" s="9"/>
      <c r="XEP173" s="9"/>
      <c r="XEQ173" s="9"/>
      <c r="XER173" s="9"/>
      <c r="XES173" s="9"/>
      <c r="XET173" s="9"/>
      <c r="XEU173" s="9"/>
      <c r="XEV173" s="9"/>
      <c r="XEW173" s="9"/>
      <c r="XEX173" s="9"/>
      <c r="XEY173" s="9"/>
      <c r="XEZ173" s="9"/>
      <c r="XFA173" s="9"/>
      <c r="XFB173" s="9"/>
      <c r="XFC173" s="9"/>
      <c r="XFD173" s="9"/>
    </row>
    <row r="174" spans="1:8 16325:16384" s="3" customFormat="1" ht="19.95" customHeight="1">
      <c r="A174" s="6" t="str">
        <f t="shared" si="5"/>
        <v>040006</v>
      </c>
      <c r="B174" s="6" t="s">
        <v>15</v>
      </c>
      <c r="C174" s="6" t="s">
        <v>10</v>
      </c>
      <c r="D174" s="6" t="str">
        <f>"512630513"</f>
        <v>512630513</v>
      </c>
      <c r="E174" s="7">
        <v>0</v>
      </c>
      <c r="F174" s="7">
        <v>0</v>
      </c>
      <c r="G174" s="7"/>
      <c r="H174" s="7">
        <v>0</v>
      </c>
      <c r="XCW174" s="9"/>
      <c r="XCX174" s="9"/>
      <c r="XCY174" s="9"/>
      <c r="XCZ174" s="9"/>
      <c r="XDA174" s="9"/>
      <c r="XDB174" s="9"/>
      <c r="XDC174" s="9"/>
      <c r="XDD174" s="9"/>
      <c r="XDE174" s="9"/>
      <c r="XDF174" s="9"/>
      <c r="XDG174" s="9"/>
      <c r="XDH174" s="9"/>
      <c r="XDI174" s="9"/>
      <c r="XDJ174" s="9"/>
      <c r="XDK174" s="9"/>
      <c r="XDL174" s="9"/>
      <c r="XDM174" s="9"/>
      <c r="XDN174" s="9"/>
      <c r="XDO174" s="9"/>
      <c r="XDP174" s="9"/>
      <c r="XDQ174" s="9"/>
      <c r="XDR174" s="9"/>
      <c r="XDS174" s="9"/>
      <c r="XDT174" s="9"/>
      <c r="XDU174" s="9"/>
      <c r="XDV174" s="9"/>
      <c r="XDW174" s="9"/>
      <c r="XDX174" s="9"/>
      <c r="XDY174" s="9"/>
      <c r="XDZ174" s="9"/>
      <c r="XEA174" s="9"/>
      <c r="XEB174" s="9"/>
      <c r="XEC174" s="9"/>
      <c r="XED174" s="9"/>
      <c r="XEE174" s="9"/>
      <c r="XEF174" s="9"/>
      <c r="XEG174" s="9"/>
      <c r="XEH174" s="9"/>
      <c r="XEI174" s="9"/>
      <c r="XEJ174" s="9"/>
      <c r="XEK174" s="9"/>
      <c r="XEL174" s="9"/>
      <c r="XEM174" s="9"/>
      <c r="XEN174" s="9"/>
      <c r="XEO174" s="9"/>
      <c r="XEP174" s="9"/>
      <c r="XEQ174" s="9"/>
      <c r="XER174" s="9"/>
      <c r="XES174" s="9"/>
      <c r="XET174" s="9"/>
      <c r="XEU174" s="9"/>
      <c r="XEV174" s="9"/>
      <c r="XEW174" s="9"/>
      <c r="XEX174" s="9"/>
      <c r="XEY174" s="9"/>
      <c r="XEZ174" s="9"/>
      <c r="XFA174" s="9"/>
      <c r="XFB174" s="9"/>
      <c r="XFC174" s="9"/>
      <c r="XFD174" s="9"/>
    </row>
    <row r="175" spans="1:8 16325:16384" s="3" customFormat="1" ht="19.95" customHeight="1">
      <c r="A175" s="6" t="str">
        <f t="shared" si="5"/>
        <v>040006</v>
      </c>
      <c r="B175" s="6" t="s">
        <v>15</v>
      </c>
      <c r="C175" s="6" t="s">
        <v>10</v>
      </c>
      <c r="D175" s="6" t="str">
        <f>"512630427"</f>
        <v>512630427</v>
      </c>
      <c r="E175" s="7">
        <v>91.5</v>
      </c>
      <c r="F175" s="7">
        <v>83</v>
      </c>
      <c r="G175" s="7"/>
      <c r="H175" s="7">
        <v>88.1</v>
      </c>
      <c r="XCW175" s="9"/>
      <c r="XCX175" s="9"/>
      <c r="XCY175" s="9"/>
      <c r="XCZ175" s="9"/>
      <c r="XDA175" s="9"/>
      <c r="XDB175" s="9"/>
      <c r="XDC175" s="9"/>
      <c r="XDD175" s="9"/>
      <c r="XDE175" s="9"/>
      <c r="XDF175" s="9"/>
      <c r="XDG175" s="9"/>
      <c r="XDH175" s="9"/>
      <c r="XDI175" s="9"/>
      <c r="XDJ175" s="9"/>
      <c r="XDK175" s="9"/>
      <c r="XDL175" s="9"/>
      <c r="XDM175" s="9"/>
      <c r="XDN175" s="9"/>
      <c r="XDO175" s="9"/>
      <c r="XDP175" s="9"/>
      <c r="XDQ175" s="9"/>
      <c r="XDR175" s="9"/>
      <c r="XDS175" s="9"/>
      <c r="XDT175" s="9"/>
      <c r="XDU175" s="9"/>
      <c r="XDV175" s="9"/>
      <c r="XDW175" s="9"/>
      <c r="XDX175" s="9"/>
      <c r="XDY175" s="9"/>
      <c r="XDZ175" s="9"/>
      <c r="XEA175" s="9"/>
      <c r="XEB175" s="9"/>
      <c r="XEC175" s="9"/>
      <c r="XED175" s="9"/>
      <c r="XEE175" s="9"/>
      <c r="XEF175" s="9"/>
      <c r="XEG175" s="9"/>
      <c r="XEH175" s="9"/>
      <c r="XEI175" s="9"/>
      <c r="XEJ175" s="9"/>
      <c r="XEK175" s="9"/>
      <c r="XEL175" s="9"/>
      <c r="XEM175" s="9"/>
      <c r="XEN175" s="9"/>
      <c r="XEO175" s="9"/>
      <c r="XEP175" s="9"/>
      <c r="XEQ175" s="9"/>
      <c r="XER175" s="9"/>
      <c r="XES175" s="9"/>
      <c r="XET175" s="9"/>
      <c r="XEU175" s="9"/>
      <c r="XEV175" s="9"/>
      <c r="XEW175" s="9"/>
      <c r="XEX175" s="9"/>
      <c r="XEY175" s="9"/>
      <c r="XEZ175" s="9"/>
      <c r="XFA175" s="9"/>
      <c r="XFB175" s="9"/>
      <c r="XFC175" s="9"/>
      <c r="XFD175" s="9"/>
    </row>
    <row r="176" spans="1:8 16325:16384" s="3" customFormat="1" ht="19.95" customHeight="1">
      <c r="A176" s="6" t="str">
        <f t="shared" si="5"/>
        <v>040006</v>
      </c>
      <c r="B176" s="6" t="s">
        <v>15</v>
      </c>
      <c r="C176" s="6" t="s">
        <v>10</v>
      </c>
      <c r="D176" s="6" t="str">
        <f>"512630503"</f>
        <v>512630503</v>
      </c>
      <c r="E176" s="7">
        <v>0</v>
      </c>
      <c r="F176" s="7">
        <v>0</v>
      </c>
      <c r="G176" s="7"/>
      <c r="H176" s="7">
        <v>0</v>
      </c>
      <c r="XCW176" s="9"/>
      <c r="XCX176" s="9"/>
      <c r="XCY176" s="9"/>
      <c r="XCZ176" s="9"/>
      <c r="XDA176" s="9"/>
      <c r="XDB176" s="9"/>
      <c r="XDC176" s="9"/>
      <c r="XDD176" s="9"/>
      <c r="XDE176" s="9"/>
      <c r="XDF176" s="9"/>
      <c r="XDG176" s="9"/>
      <c r="XDH176" s="9"/>
      <c r="XDI176" s="9"/>
      <c r="XDJ176" s="9"/>
      <c r="XDK176" s="9"/>
      <c r="XDL176" s="9"/>
      <c r="XDM176" s="9"/>
      <c r="XDN176" s="9"/>
      <c r="XDO176" s="9"/>
      <c r="XDP176" s="9"/>
      <c r="XDQ176" s="9"/>
      <c r="XDR176" s="9"/>
      <c r="XDS176" s="9"/>
      <c r="XDT176" s="9"/>
      <c r="XDU176" s="9"/>
      <c r="XDV176" s="9"/>
      <c r="XDW176" s="9"/>
      <c r="XDX176" s="9"/>
      <c r="XDY176" s="9"/>
      <c r="XDZ176" s="9"/>
      <c r="XEA176" s="9"/>
      <c r="XEB176" s="9"/>
      <c r="XEC176" s="9"/>
      <c r="XED176" s="9"/>
      <c r="XEE176" s="9"/>
      <c r="XEF176" s="9"/>
      <c r="XEG176" s="9"/>
      <c r="XEH176" s="9"/>
      <c r="XEI176" s="9"/>
      <c r="XEJ176" s="9"/>
      <c r="XEK176" s="9"/>
      <c r="XEL176" s="9"/>
      <c r="XEM176" s="9"/>
      <c r="XEN176" s="9"/>
      <c r="XEO176" s="9"/>
      <c r="XEP176" s="9"/>
      <c r="XEQ176" s="9"/>
      <c r="XER176" s="9"/>
      <c r="XES176" s="9"/>
      <c r="XET176" s="9"/>
      <c r="XEU176" s="9"/>
      <c r="XEV176" s="9"/>
      <c r="XEW176" s="9"/>
      <c r="XEX176" s="9"/>
      <c r="XEY176" s="9"/>
      <c r="XEZ176" s="9"/>
      <c r="XFA176" s="9"/>
      <c r="XFB176" s="9"/>
      <c r="XFC176" s="9"/>
      <c r="XFD176" s="9"/>
    </row>
    <row r="177" spans="1:8 16325:16384" s="3" customFormat="1" ht="19.95" customHeight="1">
      <c r="A177" s="6" t="str">
        <f t="shared" si="5"/>
        <v>040006</v>
      </c>
      <c r="B177" s="6" t="s">
        <v>15</v>
      </c>
      <c r="C177" s="6" t="s">
        <v>10</v>
      </c>
      <c r="D177" s="6" t="str">
        <f>"512630508"</f>
        <v>512630508</v>
      </c>
      <c r="E177" s="7">
        <v>83.5</v>
      </c>
      <c r="F177" s="7">
        <v>71.5</v>
      </c>
      <c r="G177" s="7"/>
      <c r="H177" s="7">
        <v>78.7</v>
      </c>
      <c r="XCW177" s="9"/>
      <c r="XCX177" s="9"/>
      <c r="XCY177" s="9"/>
      <c r="XCZ177" s="9"/>
      <c r="XDA177" s="9"/>
      <c r="XDB177" s="9"/>
      <c r="XDC177" s="9"/>
      <c r="XDD177" s="9"/>
      <c r="XDE177" s="9"/>
      <c r="XDF177" s="9"/>
      <c r="XDG177" s="9"/>
      <c r="XDH177" s="9"/>
      <c r="XDI177" s="9"/>
      <c r="XDJ177" s="9"/>
      <c r="XDK177" s="9"/>
      <c r="XDL177" s="9"/>
      <c r="XDM177" s="9"/>
      <c r="XDN177" s="9"/>
      <c r="XDO177" s="9"/>
      <c r="XDP177" s="9"/>
      <c r="XDQ177" s="9"/>
      <c r="XDR177" s="9"/>
      <c r="XDS177" s="9"/>
      <c r="XDT177" s="9"/>
      <c r="XDU177" s="9"/>
      <c r="XDV177" s="9"/>
      <c r="XDW177" s="9"/>
      <c r="XDX177" s="9"/>
      <c r="XDY177" s="9"/>
      <c r="XDZ177" s="9"/>
      <c r="XEA177" s="9"/>
      <c r="XEB177" s="9"/>
      <c r="XEC177" s="9"/>
      <c r="XED177" s="9"/>
      <c r="XEE177" s="9"/>
      <c r="XEF177" s="9"/>
      <c r="XEG177" s="9"/>
      <c r="XEH177" s="9"/>
      <c r="XEI177" s="9"/>
      <c r="XEJ177" s="9"/>
      <c r="XEK177" s="9"/>
      <c r="XEL177" s="9"/>
      <c r="XEM177" s="9"/>
      <c r="XEN177" s="9"/>
      <c r="XEO177" s="9"/>
      <c r="XEP177" s="9"/>
      <c r="XEQ177" s="9"/>
      <c r="XER177" s="9"/>
      <c r="XES177" s="9"/>
      <c r="XET177" s="9"/>
      <c r="XEU177" s="9"/>
      <c r="XEV177" s="9"/>
      <c r="XEW177" s="9"/>
      <c r="XEX177" s="9"/>
      <c r="XEY177" s="9"/>
      <c r="XEZ177" s="9"/>
      <c r="XFA177" s="9"/>
      <c r="XFB177" s="9"/>
      <c r="XFC177" s="9"/>
      <c r="XFD177" s="9"/>
    </row>
    <row r="178" spans="1:8 16325:16384" s="3" customFormat="1" ht="19.95" customHeight="1">
      <c r="A178" s="6" t="str">
        <f t="shared" si="5"/>
        <v>040006</v>
      </c>
      <c r="B178" s="6" t="s">
        <v>15</v>
      </c>
      <c r="C178" s="6" t="s">
        <v>10</v>
      </c>
      <c r="D178" s="6" t="str">
        <f>"512630430"</f>
        <v>512630430</v>
      </c>
      <c r="E178" s="7">
        <v>96.5</v>
      </c>
      <c r="F178" s="7">
        <v>67.5</v>
      </c>
      <c r="G178" s="7"/>
      <c r="H178" s="7">
        <v>84.9</v>
      </c>
      <c r="XCW178" s="9"/>
      <c r="XCX178" s="9"/>
      <c r="XCY178" s="9"/>
      <c r="XCZ178" s="9"/>
      <c r="XDA178" s="9"/>
      <c r="XDB178" s="9"/>
      <c r="XDC178" s="9"/>
      <c r="XDD178" s="9"/>
      <c r="XDE178" s="9"/>
      <c r="XDF178" s="9"/>
      <c r="XDG178" s="9"/>
      <c r="XDH178" s="9"/>
      <c r="XDI178" s="9"/>
      <c r="XDJ178" s="9"/>
      <c r="XDK178" s="9"/>
      <c r="XDL178" s="9"/>
      <c r="XDM178" s="9"/>
      <c r="XDN178" s="9"/>
      <c r="XDO178" s="9"/>
      <c r="XDP178" s="9"/>
      <c r="XDQ178" s="9"/>
      <c r="XDR178" s="9"/>
      <c r="XDS178" s="9"/>
      <c r="XDT178" s="9"/>
      <c r="XDU178" s="9"/>
      <c r="XDV178" s="9"/>
      <c r="XDW178" s="9"/>
      <c r="XDX178" s="9"/>
      <c r="XDY178" s="9"/>
      <c r="XDZ178" s="9"/>
      <c r="XEA178" s="9"/>
      <c r="XEB178" s="9"/>
      <c r="XEC178" s="9"/>
      <c r="XED178" s="9"/>
      <c r="XEE178" s="9"/>
      <c r="XEF178" s="9"/>
      <c r="XEG178" s="9"/>
      <c r="XEH178" s="9"/>
      <c r="XEI178" s="9"/>
      <c r="XEJ178" s="9"/>
      <c r="XEK178" s="9"/>
      <c r="XEL178" s="9"/>
      <c r="XEM178" s="9"/>
      <c r="XEN178" s="9"/>
      <c r="XEO178" s="9"/>
      <c r="XEP178" s="9"/>
      <c r="XEQ178" s="9"/>
      <c r="XER178" s="9"/>
      <c r="XES178" s="9"/>
      <c r="XET178" s="9"/>
      <c r="XEU178" s="9"/>
      <c r="XEV178" s="9"/>
      <c r="XEW178" s="9"/>
      <c r="XEX178" s="9"/>
      <c r="XEY178" s="9"/>
      <c r="XEZ178" s="9"/>
      <c r="XFA178" s="9"/>
      <c r="XFB178" s="9"/>
      <c r="XFC178" s="9"/>
      <c r="XFD178" s="9"/>
    </row>
    <row r="179" spans="1:8 16325:16384" s="3" customFormat="1" ht="19.95" customHeight="1">
      <c r="A179" s="6" t="str">
        <f t="shared" si="5"/>
        <v>040006</v>
      </c>
      <c r="B179" s="6" t="s">
        <v>15</v>
      </c>
      <c r="C179" s="6" t="s">
        <v>10</v>
      </c>
      <c r="D179" s="6" t="str">
        <f>"512630418"</f>
        <v>512630418</v>
      </c>
      <c r="E179" s="7">
        <v>0</v>
      </c>
      <c r="F179" s="7">
        <v>0</v>
      </c>
      <c r="G179" s="7"/>
      <c r="H179" s="7">
        <v>0</v>
      </c>
      <c r="XCW179" s="9"/>
      <c r="XCX179" s="9"/>
      <c r="XCY179" s="9"/>
      <c r="XCZ179" s="9"/>
      <c r="XDA179" s="9"/>
      <c r="XDB179" s="9"/>
      <c r="XDC179" s="9"/>
      <c r="XDD179" s="9"/>
      <c r="XDE179" s="9"/>
      <c r="XDF179" s="9"/>
      <c r="XDG179" s="9"/>
      <c r="XDH179" s="9"/>
      <c r="XDI179" s="9"/>
      <c r="XDJ179" s="9"/>
      <c r="XDK179" s="9"/>
      <c r="XDL179" s="9"/>
      <c r="XDM179" s="9"/>
      <c r="XDN179" s="9"/>
      <c r="XDO179" s="9"/>
      <c r="XDP179" s="9"/>
      <c r="XDQ179" s="9"/>
      <c r="XDR179" s="9"/>
      <c r="XDS179" s="9"/>
      <c r="XDT179" s="9"/>
      <c r="XDU179" s="9"/>
      <c r="XDV179" s="9"/>
      <c r="XDW179" s="9"/>
      <c r="XDX179" s="9"/>
      <c r="XDY179" s="9"/>
      <c r="XDZ179" s="9"/>
      <c r="XEA179" s="9"/>
      <c r="XEB179" s="9"/>
      <c r="XEC179" s="9"/>
      <c r="XED179" s="9"/>
      <c r="XEE179" s="9"/>
      <c r="XEF179" s="9"/>
      <c r="XEG179" s="9"/>
      <c r="XEH179" s="9"/>
      <c r="XEI179" s="9"/>
      <c r="XEJ179" s="9"/>
      <c r="XEK179" s="9"/>
      <c r="XEL179" s="9"/>
      <c r="XEM179" s="9"/>
      <c r="XEN179" s="9"/>
      <c r="XEO179" s="9"/>
      <c r="XEP179" s="9"/>
      <c r="XEQ179" s="9"/>
      <c r="XER179" s="9"/>
      <c r="XES179" s="9"/>
      <c r="XET179" s="9"/>
      <c r="XEU179" s="9"/>
      <c r="XEV179" s="9"/>
      <c r="XEW179" s="9"/>
      <c r="XEX179" s="9"/>
      <c r="XEY179" s="9"/>
      <c r="XEZ179" s="9"/>
      <c r="XFA179" s="9"/>
      <c r="XFB179" s="9"/>
      <c r="XFC179" s="9"/>
      <c r="XFD179" s="9"/>
    </row>
    <row r="180" spans="1:8 16325:16384" s="3" customFormat="1" ht="19.95" customHeight="1">
      <c r="A180" s="6" t="str">
        <f t="shared" si="5"/>
        <v>040006</v>
      </c>
      <c r="B180" s="6" t="s">
        <v>15</v>
      </c>
      <c r="C180" s="6" t="s">
        <v>10</v>
      </c>
      <c r="D180" s="6" t="str">
        <f>"512630509"</f>
        <v>512630509</v>
      </c>
      <c r="E180" s="7">
        <v>78</v>
      </c>
      <c r="F180" s="7">
        <v>78</v>
      </c>
      <c r="G180" s="7"/>
      <c r="H180" s="7">
        <v>78</v>
      </c>
      <c r="XCW180" s="9"/>
      <c r="XCX180" s="9"/>
      <c r="XCY180" s="9"/>
      <c r="XCZ180" s="9"/>
      <c r="XDA180" s="9"/>
      <c r="XDB180" s="9"/>
      <c r="XDC180" s="9"/>
      <c r="XDD180" s="9"/>
      <c r="XDE180" s="9"/>
      <c r="XDF180" s="9"/>
      <c r="XDG180" s="9"/>
      <c r="XDH180" s="9"/>
      <c r="XDI180" s="9"/>
      <c r="XDJ180" s="9"/>
      <c r="XDK180" s="9"/>
      <c r="XDL180" s="9"/>
      <c r="XDM180" s="9"/>
      <c r="XDN180" s="9"/>
      <c r="XDO180" s="9"/>
      <c r="XDP180" s="9"/>
      <c r="XDQ180" s="9"/>
      <c r="XDR180" s="9"/>
      <c r="XDS180" s="9"/>
      <c r="XDT180" s="9"/>
      <c r="XDU180" s="9"/>
      <c r="XDV180" s="9"/>
      <c r="XDW180" s="9"/>
      <c r="XDX180" s="9"/>
      <c r="XDY180" s="9"/>
      <c r="XDZ180" s="9"/>
      <c r="XEA180" s="9"/>
      <c r="XEB180" s="9"/>
      <c r="XEC180" s="9"/>
      <c r="XED180" s="9"/>
      <c r="XEE180" s="9"/>
      <c r="XEF180" s="9"/>
      <c r="XEG180" s="9"/>
      <c r="XEH180" s="9"/>
      <c r="XEI180" s="9"/>
      <c r="XEJ180" s="9"/>
      <c r="XEK180" s="9"/>
      <c r="XEL180" s="9"/>
      <c r="XEM180" s="9"/>
      <c r="XEN180" s="9"/>
      <c r="XEO180" s="9"/>
      <c r="XEP180" s="9"/>
      <c r="XEQ180" s="9"/>
      <c r="XER180" s="9"/>
      <c r="XES180" s="9"/>
      <c r="XET180" s="9"/>
      <c r="XEU180" s="9"/>
      <c r="XEV180" s="9"/>
      <c r="XEW180" s="9"/>
      <c r="XEX180" s="9"/>
      <c r="XEY180" s="9"/>
      <c r="XEZ180" s="9"/>
      <c r="XFA180" s="9"/>
      <c r="XFB180" s="9"/>
      <c r="XFC180" s="9"/>
      <c r="XFD180" s="9"/>
    </row>
    <row r="181" spans="1:8 16325:16384" s="3" customFormat="1" ht="19.95" customHeight="1">
      <c r="A181" s="6" t="str">
        <f t="shared" si="5"/>
        <v>040006</v>
      </c>
      <c r="B181" s="6" t="s">
        <v>15</v>
      </c>
      <c r="C181" s="6" t="s">
        <v>10</v>
      </c>
      <c r="D181" s="6" t="str">
        <f>"512630512"</f>
        <v>512630512</v>
      </c>
      <c r="E181" s="7">
        <v>57</v>
      </c>
      <c r="F181" s="7">
        <v>61.5</v>
      </c>
      <c r="G181" s="7"/>
      <c r="H181" s="7">
        <v>58.8</v>
      </c>
      <c r="XCW181" s="9"/>
      <c r="XCX181" s="9"/>
      <c r="XCY181" s="9"/>
      <c r="XCZ181" s="9"/>
      <c r="XDA181" s="9"/>
      <c r="XDB181" s="9"/>
      <c r="XDC181" s="9"/>
      <c r="XDD181" s="9"/>
      <c r="XDE181" s="9"/>
      <c r="XDF181" s="9"/>
      <c r="XDG181" s="9"/>
      <c r="XDH181" s="9"/>
      <c r="XDI181" s="9"/>
      <c r="XDJ181" s="9"/>
      <c r="XDK181" s="9"/>
      <c r="XDL181" s="9"/>
      <c r="XDM181" s="9"/>
      <c r="XDN181" s="9"/>
      <c r="XDO181" s="9"/>
      <c r="XDP181" s="9"/>
      <c r="XDQ181" s="9"/>
      <c r="XDR181" s="9"/>
      <c r="XDS181" s="9"/>
      <c r="XDT181" s="9"/>
      <c r="XDU181" s="9"/>
      <c r="XDV181" s="9"/>
      <c r="XDW181" s="9"/>
      <c r="XDX181" s="9"/>
      <c r="XDY181" s="9"/>
      <c r="XDZ181" s="9"/>
      <c r="XEA181" s="9"/>
      <c r="XEB181" s="9"/>
      <c r="XEC181" s="9"/>
      <c r="XED181" s="9"/>
      <c r="XEE181" s="9"/>
      <c r="XEF181" s="9"/>
      <c r="XEG181" s="9"/>
      <c r="XEH181" s="9"/>
      <c r="XEI181" s="9"/>
      <c r="XEJ181" s="9"/>
      <c r="XEK181" s="9"/>
      <c r="XEL181" s="9"/>
      <c r="XEM181" s="9"/>
      <c r="XEN181" s="9"/>
      <c r="XEO181" s="9"/>
      <c r="XEP181" s="9"/>
      <c r="XEQ181" s="9"/>
      <c r="XER181" s="9"/>
      <c r="XES181" s="9"/>
      <c r="XET181" s="9"/>
      <c r="XEU181" s="9"/>
      <c r="XEV181" s="9"/>
      <c r="XEW181" s="9"/>
      <c r="XEX181" s="9"/>
      <c r="XEY181" s="9"/>
      <c r="XEZ181" s="9"/>
      <c r="XFA181" s="9"/>
      <c r="XFB181" s="9"/>
      <c r="XFC181" s="9"/>
      <c r="XFD181" s="9"/>
    </row>
    <row r="182" spans="1:8 16325:16384" s="3" customFormat="1" ht="19.95" customHeight="1">
      <c r="A182" s="6" t="str">
        <f t="shared" si="5"/>
        <v>040006</v>
      </c>
      <c r="B182" s="6" t="s">
        <v>15</v>
      </c>
      <c r="C182" s="6" t="s">
        <v>10</v>
      </c>
      <c r="D182" s="6" t="str">
        <f>"512630504"</f>
        <v>512630504</v>
      </c>
      <c r="E182" s="7">
        <v>62.5</v>
      </c>
      <c r="F182" s="7">
        <v>63.5</v>
      </c>
      <c r="G182" s="7"/>
      <c r="H182" s="7">
        <v>62.9</v>
      </c>
      <c r="XCW182" s="9"/>
      <c r="XCX182" s="9"/>
      <c r="XCY182" s="9"/>
      <c r="XCZ182" s="9"/>
      <c r="XDA182" s="9"/>
      <c r="XDB182" s="9"/>
      <c r="XDC182" s="9"/>
      <c r="XDD182" s="9"/>
      <c r="XDE182" s="9"/>
      <c r="XDF182" s="9"/>
      <c r="XDG182" s="9"/>
      <c r="XDH182" s="9"/>
      <c r="XDI182" s="9"/>
      <c r="XDJ182" s="9"/>
      <c r="XDK182" s="9"/>
      <c r="XDL182" s="9"/>
      <c r="XDM182" s="9"/>
      <c r="XDN182" s="9"/>
      <c r="XDO182" s="9"/>
      <c r="XDP182" s="9"/>
      <c r="XDQ182" s="9"/>
      <c r="XDR182" s="9"/>
      <c r="XDS182" s="9"/>
      <c r="XDT182" s="9"/>
      <c r="XDU182" s="9"/>
      <c r="XDV182" s="9"/>
      <c r="XDW182" s="9"/>
      <c r="XDX182" s="9"/>
      <c r="XDY182" s="9"/>
      <c r="XDZ182" s="9"/>
      <c r="XEA182" s="9"/>
      <c r="XEB182" s="9"/>
      <c r="XEC182" s="9"/>
      <c r="XED182" s="9"/>
      <c r="XEE182" s="9"/>
      <c r="XEF182" s="9"/>
      <c r="XEG182" s="9"/>
      <c r="XEH182" s="9"/>
      <c r="XEI182" s="9"/>
      <c r="XEJ182" s="9"/>
      <c r="XEK182" s="9"/>
      <c r="XEL182" s="9"/>
      <c r="XEM182" s="9"/>
      <c r="XEN182" s="9"/>
      <c r="XEO182" s="9"/>
      <c r="XEP182" s="9"/>
      <c r="XEQ182" s="9"/>
      <c r="XER182" s="9"/>
      <c r="XES182" s="9"/>
      <c r="XET182" s="9"/>
      <c r="XEU182" s="9"/>
      <c r="XEV182" s="9"/>
      <c r="XEW182" s="9"/>
      <c r="XEX182" s="9"/>
      <c r="XEY182" s="9"/>
      <c r="XEZ182" s="9"/>
      <c r="XFA182" s="9"/>
      <c r="XFB182" s="9"/>
      <c r="XFC182" s="9"/>
      <c r="XFD182" s="9"/>
    </row>
    <row r="183" spans="1:8 16325:16384" s="3" customFormat="1" ht="19.95" customHeight="1">
      <c r="A183" s="6" t="str">
        <f t="shared" si="5"/>
        <v>040006</v>
      </c>
      <c r="B183" s="6" t="s">
        <v>15</v>
      </c>
      <c r="C183" s="6" t="s">
        <v>10</v>
      </c>
      <c r="D183" s="6" t="str">
        <f>"512630517"</f>
        <v>512630517</v>
      </c>
      <c r="E183" s="7">
        <v>68.5</v>
      </c>
      <c r="F183" s="7">
        <v>63.5</v>
      </c>
      <c r="G183" s="7"/>
      <c r="H183" s="7">
        <v>66.5</v>
      </c>
      <c r="XCW183" s="9"/>
      <c r="XCX183" s="9"/>
      <c r="XCY183" s="9"/>
      <c r="XCZ183" s="9"/>
      <c r="XDA183" s="9"/>
      <c r="XDB183" s="9"/>
      <c r="XDC183" s="9"/>
      <c r="XDD183" s="9"/>
      <c r="XDE183" s="9"/>
      <c r="XDF183" s="9"/>
      <c r="XDG183" s="9"/>
      <c r="XDH183" s="9"/>
      <c r="XDI183" s="9"/>
      <c r="XDJ183" s="9"/>
      <c r="XDK183" s="9"/>
      <c r="XDL183" s="9"/>
      <c r="XDM183" s="9"/>
      <c r="XDN183" s="9"/>
      <c r="XDO183" s="9"/>
      <c r="XDP183" s="9"/>
      <c r="XDQ183" s="9"/>
      <c r="XDR183" s="9"/>
      <c r="XDS183" s="9"/>
      <c r="XDT183" s="9"/>
      <c r="XDU183" s="9"/>
      <c r="XDV183" s="9"/>
      <c r="XDW183" s="9"/>
      <c r="XDX183" s="9"/>
      <c r="XDY183" s="9"/>
      <c r="XDZ183" s="9"/>
      <c r="XEA183" s="9"/>
      <c r="XEB183" s="9"/>
      <c r="XEC183" s="9"/>
      <c r="XED183" s="9"/>
      <c r="XEE183" s="9"/>
      <c r="XEF183" s="9"/>
      <c r="XEG183" s="9"/>
      <c r="XEH183" s="9"/>
      <c r="XEI183" s="9"/>
      <c r="XEJ183" s="9"/>
      <c r="XEK183" s="9"/>
      <c r="XEL183" s="9"/>
      <c r="XEM183" s="9"/>
      <c r="XEN183" s="9"/>
      <c r="XEO183" s="9"/>
      <c r="XEP183" s="9"/>
      <c r="XEQ183" s="9"/>
      <c r="XER183" s="9"/>
      <c r="XES183" s="9"/>
      <c r="XET183" s="9"/>
      <c r="XEU183" s="9"/>
      <c r="XEV183" s="9"/>
      <c r="XEW183" s="9"/>
      <c r="XEX183" s="9"/>
      <c r="XEY183" s="9"/>
      <c r="XEZ183" s="9"/>
      <c r="XFA183" s="9"/>
      <c r="XFB183" s="9"/>
      <c r="XFC183" s="9"/>
      <c r="XFD183" s="9"/>
    </row>
    <row r="184" spans="1:8 16325:16384" s="3" customFormat="1" ht="19.95" customHeight="1">
      <c r="A184" s="6" t="str">
        <f t="shared" si="5"/>
        <v>040006</v>
      </c>
      <c r="B184" s="6" t="s">
        <v>15</v>
      </c>
      <c r="C184" s="6" t="s">
        <v>10</v>
      </c>
      <c r="D184" s="6" t="str">
        <f>"512630421"</f>
        <v>512630421</v>
      </c>
      <c r="E184" s="7">
        <v>0</v>
      </c>
      <c r="F184" s="7">
        <v>0</v>
      </c>
      <c r="G184" s="7"/>
      <c r="H184" s="7">
        <v>0</v>
      </c>
      <c r="XCW184" s="9"/>
      <c r="XCX184" s="9"/>
      <c r="XCY184" s="9"/>
      <c r="XCZ184" s="9"/>
      <c r="XDA184" s="9"/>
      <c r="XDB184" s="9"/>
      <c r="XDC184" s="9"/>
      <c r="XDD184" s="9"/>
      <c r="XDE184" s="9"/>
      <c r="XDF184" s="9"/>
      <c r="XDG184" s="9"/>
      <c r="XDH184" s="9"/>
      <c r="XDI184" s="9"/>
      <c r="XDJ184" s="9"/>
      <c r="XDK184" s="9"/>
      <c r="XDL184" s="9"/>
      <c r="XDM184" s="9"/>
      <c r="XDN184" s="9"/>
      <c r="XDO184" s="9"/>
      <c r="XDP184" s="9"/>
      <c r="XDQ184" s="9"/>
      <c r="XDR184" s="9"/>
      <c r="XDS184" s="9"/>
      <c r="XDT184" s="9"/>
      <c r="XDU184" s="9"/>
      <c r="XDV184" s="9"/>
      <c r="XDW184" s="9"/>
      <c r="XDX184" s="9"/>
      <c r="XDY184" s="9"/>
      <c r="XDZ184" s="9"/>
      <c r="XEA184" s="9"/>
      <c r="XEB184" s="9"/>
      <c r="XEC184" s="9"/>
      <c r="XED184" s="9"/>
      <c r="XEE184" s="9"/>
      <c r="XEF184" s="9"/>
      <c r="XEG184" s="9"/>
      <c r="XEH184" s="9"/>
      <c r="XEI184" s="9"/>
      <c r="XEJ184" s="9"/>
      <c r="XEK184" s="9"/>
      <c r="XEL184" s="9"/>
      <c r="XEM184" s="9"/>
      <c r="XEN184" s="9"/>
      <c r="XEO184" s="9"/>
      <c r="XEP184" s="9"/>
      <c r="XEQ184" s="9"/>
      <c r="XER184" s="9"/>
      <c r="XES184" s="9"/>
      <c r="XET184" s="9"/>
      <c r="XEU184" s="9"/>
      <c r="XEV184" s="9"/>
      <c r="XEW184" s="9"/>
      <c r="XEX184" s="9"/>
      <c r="XEY184" s="9"/>
      <c r="XEZ184" s="9"/>
      <c r="XFA184" s="9"/>
      <c r="XFB184" s="9"/>
      <c r="XFC184" s="9"/>
      <c r="XFD184" s="9"/>
    </row>
    <row r="185" spans="1:8 16325:16384" s="3" customFormat="1" ht="19.95" customHeight="1">
      <c r="A185" s="6" t="str">
        <f t="shared" si="5"/>
        <v>040006</v>
      </c>
      <c r="B185" s="6" t="s">
        <v>15</v>
      </c>
      <c r="C185" s="6" t="s">
        <v>10</v>
      </c>
      <c r="D185" s="6" t="str">
        <f>"512630429"</f>
        <v>512630429</v>
      </c>
      <c r="E185" s="7">
        <v>71</v>
      </c>
      <c r="F185" s="7">
        <v>64.5</v>
      </c>
      <c r="G185" s="7"/>
      <c r="H185" s="7">
        <v>68.400000000000006</v>
      </c>
      <c r="XCW185" s="9"/>
      <c r="XCX185" s="9"/>
      <c r="XCY185" s="9"/>
      <c r="XCZ185" s="9"/>
      <c r="XDA185" s="9"/>
      <c r="XDB185" s="9"/>
      <c r="XDC185" s="9"/>
      <c r="XDD185" s="9"/>
      <c r="XDE185" s="9"/>
      <c r="XDF185" s="9"/>
      <c r="XDG185" s="9"/>
      <c r="XDH185" s="9"/>
      <c r="XDI185" s="9"/>
      <c r="XDJ185" s="9"/>
      <c r="XDK185" s="9"/>
      <c r="XDL185" s="9"/>
      <c r="XDM185" s="9"/>
      <c r="XDN185" s="9"/>
      <c r="XDO185" s="9"/>
      <c r="XDP185" s="9"/>
      <c r="XDQ185" s="9"/>
      <c r="XDR185" s="9"/>
      <c r="XDS185" s="9"/>
      <c r="XDT185" s="9"/>
      <c r="XDU185" s="9"/>
      <c r="XDV185" s="9"/>
      <c r="XDW185" s="9"/>
      <c r="XDX185" s="9"/>
      <c r="XDY185" s="9"/>
      <c r="XDZ185" s="9"/>
      <c r="XEA185" s="9"/>
      <c r="XEB185" s="9"/>
      <c r="XEC185" s="9"/>
      <c r="XED185" s="9"/>
      <c r="XEE185" s="9"/>
      <c r="XEF185" s="9"/>
      <c r="XEG185" s="9"/>
      <c r="XEH185" s="9"/>
      <c r="XEI185" s="9"/>
      <c r="XEJ185" s="9"/>
      <c r="XEK185" s="9"/>
      <c r="XEL185" s="9"/>
      <c r="XEM185" s="9"/>
      <c r="XEN185" s="9"/>
      <c r="XEO185" s="9"/>
      <c r="XEP185" s="9"/>
      <c r="XEQ185" s="9"/>
      <c r="XER185" s="9"/>
      <c r="XES185" s="9"/>
      <c r="XET185" s="9"/>
      <c r="XEU185" s="9"/>
      <c r="XEV185" s="9"/>
      <c r="XEW185" s="9"/>
      <c r="XEX185" s="9"/>
      <c r="XEY185" s="9"/>
      <c r="XEZ185" s="9"/>
      <c r="XFA185" s="9"/>
      <c r="XFB185" s="9"/>
      <c r="XFC185" s="9"/>
      <c r="XFD185" s="9"/>
    </row>
    <row r="186" spans="1:8 16325:16384" s="3" customFormat="1" ht="19.95" customHeight="1">
      <c r="A186" s="6" t="str">
        <f t="shared" ref="A186:A212" si="6">"040007"</f>
        <v>040007</v>
      </c>
      <c r="B186" s="6" t="s">
        <v>16</v>
      </c>
      <c r="C186" s="6" t="s">
        <v>17</v>
      </c>
      <c r="D186" s="6" t="str">
        <f>"512734817"</f>
        <v>512734817</v>
      </c>
      <c r="E186" s="7">
        <v>0</v>
      </c>
      <c r="F186" s="7">
        <v>0</v>
      </c>
      <c r="G186" s="7"/>
      <c r="H186" s="7">
        <v>0</v>
      </c>
      <c r="XCW186" s="9"/>
      <c r="XCX186" s="9"/>
      <c r="XCY186" s="9"/>
      <c r="XCZ186" s="9"/>
      <c r="XDA186" s="9"/>
      <c r="XDB186" s="9"/>
      <c r="XDC186" s="9"/>
      <c r="XDD186" s="9"/>
      <c r="XDE186" s="9"/>
      <c r="XDF186" s="9"/>
      <c r="XDG186" s="9"/>
      <c r="XDH186" s="9"/>
      <c r="XDI186" s="9"/>
      <c r="XDJ186" s="9"/>
      <c r="XDK186" s="9"/>
      <c r="XDL186" s="9"/>
      <c r="XDM186" s="9"/>
      <c r="XDN186" s="9"/>
      <c r="XDO186" s="9"/>
      <c r="XDP186" s="9"/>
      <c r="XDQ186" s="9"/>
      <c r="XDR186" s="9"/>
      <c r="XDS186" s="9"/>
      <c r="XDT186" s="9"/>
      <c r="XDU186" s="9"/>
      <c r="XDV186" s="9"/>
      <c r="XDW186" s="9"/>
      <c r="XDX186" s="9"/>
      <c r="XDY186" s="9"/>
      <c r="XDZ186" s="9"/>
      <c r="XEA186" s="9"/>
      <c r="XEB186" s="9"/>
      <c r="XEC186" s="9"/>
      <c r="XED186" s="9"/>
      <c r="XEE186" s="9"/>
      <c r="XEF186" s="9"/>
      <c r="XEG186" s="9"/>
      <c r="XEH186" s="9"/>
      <c r="XEI186" s="9"/>
      <c r="XEJ186" s="9"/>
      <c r="XEK186" s="9"/>
      <c r="XEL186" s="9"/>
      <c r="XEM186" s="9"/>
      <c r="XEN186" s="9"/>
      <c r="XEO186" s="9"/>
      <c r="XEP186" s="9"/>
      <c r="XEQ186" s="9"/>
      <c r="XER186" s="9"/>
      <c r="XES186" s="9"/>
      <c r="XET186" s="9"/>
      <c r="XEU186" s="9"/>
      <c r="XEV186" s="9"/>
      <c r="XEW186" s="9"/>
      <c r="XEX186" s="9"/>
      <c r="XEY186" s="9"/>
      <c r="XEZ186" s="9"/>
      <c r="XFA186" s="9"/>
      <c r="XFB186" s="9"/>
      <c r="XFC186" s="9"/>
      <c r="XFD186" s="9"/>
    </row>
    <row r="187" spans="1:8 16325:16384" s="3" customFormat="1" ht="19.95" customHeight="1">
      <c r="A187" s="6" t="str">
        <f t="shared" si="6"/>
        <v>040007</v>
      </c>
      <c r="B187" s="6" t="s">
        <v>16</v>
      </c>
      <c r="C187" s="6" t="s">
        <v>17</v>
      </c>
      <c r="D187" s="6" t="str">
        <f>"512734801"</f>
        <v>512734801</v>
      </c>
      <c r="E187" s="7">
        <v>76.5</v>
      </c>
      <c r="F187" s="7">
        <v>0</v>
      </c>
      <c r="G187" s="7"/>
      <c r="H187" s="7">
        <v>45.9</v>
      </c>
      <c r="XCW187" s="9"/>
      <c r="XCX187" s="9"/>
      <c r="XCY187" s="9"/>
      <c r="XCZ187" s="9"/>
      <c r="XDA187" s="9"/>
      <c r="XDB187" s="9"/>
      <c r="XDC187" s="9"/>
      <c r="XDD187" s="9"/>
      <c r="XDE187" s="9"/>
      <c r="XDF187" s="9"/>
      <c r="XDG187" s="9"/>
      <c r="XDH187" s="9"/>
      <c r="XDI187" s="9"/>
      <c r="XDJ187" s="9"/>
      <c r="XDK187" s="9"/>
      <c r="XDL187" s="9"/>
      <c r="XDM187" s="9"/>
      <c r="XDN187" s="9"/>
      <c r="XDO187" s="9"/>
      <c r="XDP187" s="9"/>
      <c r="XDQ187" s="9"/>
      <c r="XDR187" s="9"/>
      <c r="XDS187" s="9"/>
      <c r="XDT187" s="9"/>
      <c r="XDU187" s="9"/>
      <c r="XDV187" s="9"/>
      <c r="XDW187" s="9"/>
      <c r="XDX187" s="9"/>
      <c r="XDY187" s="9"/>
      <c r="XDZ187" s="9"/>
      <c r="XEA187" s="9"/>
      <c r="XEB187" s="9"/>
      <c r="XEC187" s="9"/>
      <c r="XED187" s="9"/>
      <c r="XEE187" s="9"/>
      <c r="XEF187" s="9"/>
      <c r="XEG187" s="9"/>
      <c r="XEH187" s="9"/>
      <c r="XEI187" s="9"/>
      <c r="XEJ187" s="9"/>
      <c r="XEK187" s="9"/>
      <c r="XEL187" s="9"/>
      <c r="XEM187" s="9"/>
      <c r="XEN187" s="9"/>
      <c r="XEO187" s="9"/>
      <c r="XEP187" s="9"/>
      <c r="XEQ187" s="9"/>
      <c r="XER187" s="9"/>
      <c r="XES187" s="9"/>
      <c r="XET187" s="9"/>
      <c r="XEU187" s="9"/>
      <c r="XEV187" s="9"/>
      <c r="XEW187" s="9"/>
      <c r="XEX187" s="9"/>
      <c r="XEY187" s="9"/>
      <c r="XEZ187" s="9"/>
      <c r="XFA187" s="9"/>
      <c r="XFB187" s="9"/>
      <c r="XFC187" s="9"/>
      <c r="XFD187" s="9"/>
    </row>
    <row r="188" spans="1:8 16325:16384" s="3" customFormat="1" ht="19.95" customHeight="1">
      <c r="A188" s="6" t="str">
        <f t="shared" si="6"/>
        <v>040007</v>
      </c>
      <c r="B188" s="6" t="s">
        <v>16</v>
      </c>
      <c r="C188" s="6" t="s">
        <v>17</v>
      </c>
      <c r="D188" s="6" t="str">
        <f>"512734802"</f>
        <v>512734802</v>
      </c>
      <c r="E188" s="7">
        <v>0</v>
      </c>
      <c r="F188" s="7">
        <v>0</v>
      </c>
      <c r="G188" s="7"/>
      <c r="H188" s="7">
        <v>0</v>
      </c>
      <c r="XCW188" s="9"/>
      <c r="XCX188" s="9"/>
      <c r="XCY188" s="9"/>
      <c r="XCZ188" s="9"/>
      <c r="XDA188" s="9"/>
      <c r="XDB188" s="9"/>
      <c r="XDC188" s="9"/>
      <c r="XDD188" s="9"/>
      <c r="XDE188" s="9"/>
      <c r="XDF188" s="9"/>
      <c r="XDG188" s="9"/>
      <c r="XDH188" s="9"/>
      <c r="XDI188" s="9"/>
      <c r="XDJ188" s="9"/>
      <c r="XDK188" s="9"/>
      <c r="XDL188" s="9"/>
      <c r="XDM188" s="9"/>
      <c r="XDN188" s="9"/>
      <c r="XDO188" s="9"/>
      <c r="XDP188" s="9"/>
      <c r="XDQ188" s="9"/>
      <c r="XDR188" s="9"/>
      <c r="XDS188" s="9"/>
      <c r="XDT188" s="9"/>
      <c r="XDU188" s="9"/>
      <c r="XDV188" s="9"/>
      <c r="XDW188" s="9"/>
      <c r="XDX188" s="9"/>
      <c r="XDY188" s="9"/>
      <c r="XDZ188" s="9"/>
      <c r="XEA188" s="9"/>
      <c r="XEB188" s="9"/>
      <c r="XEC188" s="9"/>
      <c r="XED188" s="9"/>
      <c r="XEE188" s="9"/>
      <c r="XEF188" s="9"/>
      <c r="XEG188" s="9"/>
      <c r="XEH188" s="9"/>
      <c r="XEI188" s="9"/>
      <c r="XEJ188" s="9"/>
      <c r="XEK188" s="9"/>
      <c r="XEL188" s="9"/>
      <c r="XEM188" s="9"/>
      <c r="XEN188" s="9"/>
      <c r="XEO188" s="9"/>
      <c r="XEP188" s="9"/>
      <c r="XEQ188" s="9"/>
      <c r="XER188" s="9"/>
      <c r="XES188" s="9"/>
      <c r="XET188" s="9"/>
      <c r="XEU188" s="9"/>
      <c r="XEV188" s="9"/>
      <c r="XEW188" s="9"/>
      <c r="XEX188" s="9"/>
      <c r="XEY188" s="9"/>
      <c r="XEZ188" s="9"/>
      <c r="XFA188" s="9"/>
      <c r="XFB188" s="9"/>
      <c r="XFC188" s="9"/>
      <c r="XFD188" s="9"/>
    </row>
    <row r="189" spans="1:8 16325:16384" s="3" customFormat="1" ht="19.95" customHeight="1">
      <c r="A189" s="6" t="str">
        <f t="shared" si="6"/>
        <v>040007</v>
      </c>
      <c r="B189" s="6" t="s">
        <v>16</v>
      </c>
      <c r="C189" s="6" t="s">
        <v>17</v>
      </c>
      <c r="D189" s="6" t="str">
        <f>"512734815"</f>
        <v>512734815</v>
      </c>
      <c r="E189" s="7">
        <v>0</v>
      </c>
      <c r="F189" s="7">
        <v>0</v>
      </c>
      <c r="G189" s="7"/>
      <c r="H189" s="7">
        <v>0</v>
      </c>
      <c r="XCW189" s="9"/>
      <c r="XCX189" s="9"/>
      <c r="XCY189" s="9"/>
      <c r="XCZ189" s="9"/>
      <c r="XDA189" s="9"/>
      <c r="XDB189" s="9"/>
      <c r="XDC189" s="9"/>
      <c r="XDD189" s="9"/>
      <c r="XDE189" s="9"/>
      <c r="XDF189" s="9"/>
      <c r="XDG189" s="9"/>
      <c r="XDH189" s="9"/>
      <c r="XDI189" s="9"/>
      <c r="XDJ189" s="9"/>
      <c r="XDK189" s="9"/>
      <c r="XDL189" s="9"/>
      <c r="XDM189" s="9"/>
      <c r="XDN189" s="9"/>
      <c r="XDO189" s="9"/>
      <c r="XDP189" s="9"/>
      <c r="XDQ189" s="9"/>
      <c r="XDR189" s="9"/>
      <c r="XDS189" s="9"/>
      <c r="XDT189" s="9"/>
      <c r="XDU189" s="9"/>
      <c r="XDV189" s="9"/>
      <c r="XDW189" s="9"/>
      <c r="XDX189" s="9"/>
      <c r="XDY189" s="9"/>
      <c r="XDZ189" s="9"/>
      <c r="XEA189" s="9"/>
      <c r="XEB189" s="9"/>
      <c r="XEC189" s="9"/>
      <c r="XED189" s="9"/>
      <c r="XEE189" s="9"/>
      <c r="XEF189" s="9"/>
      <c r="XEG189" s="9"/>
      <c r="XEH189" s="9"/>
      <c r="XEI189" s="9"/>
      <c r="XEJ189" s="9"/>
      <c r="XEK189" s="9"/>
      <c r="XEL189" s="9"/>
      <c r="XEM189" s="9"/>
      <c r="XEN189" s="9"/>
      <c r="XEO189" s="9"/>
      <c r="XEP189" s="9"/>
      <c r="XEQ189" s="9"/>
      <c r="XER189" s="9"/>
      <c r="XES189" s="9"/>
      <c r="XET189" s="9"/>
      <c r="XEU189" s="9"/>
      <c r="XEV189" s="9"/>
      <c r="XEW189" s="9"/>
      <c r="XEX189" s="9"/>
      <c r="XEY189" s="9"/>
      <c r="XEZ189" s="9"/>
      <c r="XFA189" s="9"/>
      <c r="XFB189" s="9"/>
      <c r="XFC189" s="9"/>
      <c r="XFD189" s="9"/>
    </row>
    <row r="190" spans="1:8 16325:16384" s="3" customFormat="1" ht="19.95" customHeight="1">
      <c r="A190" s="6" t="str">
        <f t="shared" si="6"/>
        <v>040007</v>
      </c>
      <c r="B190" s="6" t="s">
        <v>16</v>
      </c>
      <c r="C190" s="6" t="s">
        <v>17</v>
      </c>
      <c r="D190" s="6" t="str">
        <f>"512734809"</f>
        <v>512734809</v>
      </c>
      <c r="E190" s="7">
        <v>0</v>
      </c>
      <c r="F190" s="7">
        <v>0</v>
      </c>
      <c r="G190" s="7"/>
      <c r="H190" s="7">
        <v>0</v>
      </c>
      <c r="XCW190" s="9"/>
      <c r="XCX190" s="9"/>
      <c r="XCY190" s="9"/>
      <c r="XCZ190" s="9"/>
      <c r="XDA190" s="9"/>
      <c r="XDB190" s="9"/>
      <c r="XDC190" s="9"/>
      <c r="XDD190" s="9"/>
      <c r="XDE190" s="9"/>
      <c r="XDF190" s="9"/>
      <c r="XDG190" s="9"/>
      <c r="XDH190" s="9"/>
      <c r="XDI190" s="9"/>
      <c r="XDJ190" s="9"/>
      <c r="XDK190" s="9"/>
      <c r="XDL190" s="9"/>
      <c r="XDM190" s="9"/>
      <c r="XDN190" s="9"/>
      <c r="XDO190" s="9"/>
      <c r="XDP190" s="9"/>
      <c r="XDQ190" s="9"/>
      <c r="XDR190" s="9"/>
      <c r="XDS190" s="9"/>
      <c r="XDT190" s="9"/>
      <c r="XDU190" s="9"/>
      <c r="XDV190" s="9"/>
      <c r="XDW190" s="9"/>
      <c r="XDX190" s="9"/>
      <c r="XDY190" s="9"/>
      <c r="XDZ190" s="9"/>
      <c r="XEA190" s="9"/>
      <c r="XEB190" s="9"/>
      <c r="XEC190" s="9"/>
      <c r="XED190" s="9"/>
      <c r="XEE190" s="9"/>
      <c r="XEF190" s="9"/>
      <c r="XEG190" s="9"/>
      <c r="XEH190" s="9"/>
      <c r="XEI190" s="9"/>
      <c r="XEJ190" s="9"/>
      <c r="XEK190" s="9"/>
      <c r="XEL190" s="9"/>
      <c r="XEM190" s="9"/>
      <c r="XEN190" s="9"/>
      <c r="XEO190" s="9"/>
      <c r="XEP190" s="9"/>
      <c r="XEQ190" s="9"/>
      <c r="XER190" s="9"/>
      <c r="XES190" s="9"/>
      <c r="XET190" s="9"/>
      <c r="XEU190" s="9"/>
      <c r="XEV190" s="9"/>
      <c r="XEW190" s="9"/>
      <c r="XEX190" s="9"/>
      <c r="XEY190" s="9"/>
      <c r="XEZ190" s="9"/>
      <c r="XFA190" s="9"/>
      <c r="XFB190" s="9"/>
      <c r="XFC190" s="9"/>
      <c r="XFD190" s="9"/>
    </row>
    <row r="191" spans="1:8 16325:16384" s="3" customFormat="1" ht="19.95" customHeight="1">
      <c r="A191" s="6" t="str">
        <f t="shared" si="6"/>
        <v>040007</v>
      </c>
      <c r="B191" s="6" t="s">
        <v>16</v>
      </c>
      <c r="C191" s="6" t="s">
        <v>17</v>
      </c>
      <c r="D191" s="6" t="str">
        <f>"512734807"</f>
        <v>512734807</v>
      </c>
      <c r="E191" s="7">
        <v>0</v>
      </c>
      <c r="F191" s="7">
        <v>0</v>
      </c>
      <c r="G191" s="7"/>
      <c r="H191" s="7">
        <v>0</v>
      </c>
      <c r="XCW191" s="9"/>
      <c r="XCX191" s="9"/>
      <c r="XCY191" s="9"/>
      <c r="XCZ191" s="9"/>
      <c r="XDA191" s="9"/>
      <c r="XDB191" s="9"/>
      <c r="XDC191" s="9"/>
      <c r="XDD191" s="9"/>
      <c r="XDE191" s="9"/>
      <c r="XDF191" s="9"/>
      <c r="XDG191" s="9"/>
      <c r="XDH191" s="9"/>
      <c r="XDI191" s="9"/>
      <c r="XDJ191" s="9"/>
      <c r="XDK191" s="9"/>
      <c r="XDL191" s="9"/>
      <c r="XDM191" s="9"/>
      <c r="XDN191" s="9"/>
      <c r="XDO191" s="9"/>
      <c r="XDP191" s="9"/>
      <c r="XDQ191" s="9"/>
      <c r="XDR191" s="9"/>
      <c r="XDS191" s="9"/>
      <c r="XDT191" s="9"/>
      <c r="XDU191" s="9"/>
      <c r="XDV191" s="9"/>
      <c r="XDW191" s="9"/>
      <c r="XDX191" s="9"/>
      <c r="XDY191" s="9"/>
      <c r="XDZ191" s="9"/>
      <c r="XEA191" s="9"/>
      <c r="XEB191" s="9"/>
      <c r="XEC191" s="9"/>
      <c r="XED191" s="9"/>
      <c r="XEE191" s="9"/>
      <c r="XEF191" s="9"/>
      <c r="XEG191" s="9"/>
      <c r="XEH191" s="9"/>
      <c r="XEI191" s="9"/>
      <c r="XEJ191" s="9"/>
      <c r="XEK191" s="9"/>
      <c r="XEL191" s="9"/>
      <c r="XEM191" s="9"/>
      <c r="XEN191" s="9"/>
      <c r="XEO191" s="9"/>
      <c r="XEP191" s="9"/>
      <c r="XEQ191" s="9"/>
      <c r="XER191" s="9"/>
      <c r="XES191" s="9"/>
      <c r="XET191" s="9"/>
      <c r="XEU191" s="9"/>
      <c r="XEV191" s="9"/>
      <c r="XEW191" s="9"/>
      <c r="XEX191" s="9"/>
      <c r="XEY191" s="9"/>
      <c r="XEZ191" s="9"/>
      <c r="XFA191" s="9"/>
      <c r="XFB191" s="9"/>
      <c r="XFC191" s="9"/>
      <c r="XFD191" s="9"/>
    </row>
    <row r="192" spans="1:8 16325:16384" s="3" customFormat="1" ht="19.95" customHeight="1">
      <c r="A192" s="6" t="str">
        <f t="shared" si="6"/>
        <v>040007</v>
      </c>
      <c r="B192" s="6" t="s">
        <v>16</v>
      </c>
      <c r="C192" s="6" t="s">
        <v>17</v>
      </c>
      <c r="D192" s="6" t="str">
        <f>"512734810"</f>
        <v>512734810</v>
      </c>
      <c r="E192" s="7">
        <v>0</v>
      </c>
      <c r="F192" s="7">
        <v>0</v>
      </c>
      <c r="G192" s="7"/>
      <c r="H192" s="7">
        <v>0</v>
      </c>
      <c r="XCW192" s="9"/>
      <c r="XCX192" s="9"/>
      <c r="XCY192" s="9"/>
      <c r="XCZ192" s="9"/>
      <c r="XDA192" s="9"/>
      <c r="XDB192" s="9"/>
      <c r="XDC192" s="9"/>
      <c r="XDD192" s="9"/>
      <c r="XDE192" s="9"/>
      <c r="XDF192" s="9"/>
      <c r="XDG192" s="9"/>
      <c r="XDH192" s="9"/>
      <c r="XDI192" s="9"/>
      <c r="XDJ192" s="9"/>
      <c r="XDK192" s="9"/>
      <c r="XDL192" s="9"/>
      <c r="XDM192" s="9"/>
      <c r="XDN192" s="9"/>
      <c r="XDO192" s="9"/>
      <c r="XDP192" s="9"/>
      <c r="XDQ192" s="9"/>
      <c r="XDR192" s="9"/>
      <c r="XDS192" s="9"/>
      <c r="XDT192" s="9"/>
      <c r="XDU192" s="9"/>
      <c r="XDV192" s="9"/>
      <c r="XDW192" s="9"/>
      <c r="XDX192" s="9"/>
      <c r="XDY192" s="9"/>
      <c r="XDZ192" s="9"/>
      <c r="XEA192" s="9"/>
      <c r="XEB192" s="9"/>
      <c r="XEC192" s="9"/>
      <c r="XED192" s="9"/>
      <c r="XEE192" s="9"/>
      <c r="XEF192" s="9"/>
      <c r="XEG192" s="9"/>
      <c r="XEH192" s="9"/>
      <c r="XEI192" s="9"/>
      <c r="XEJ192" s="9"/>
      <c r="XEK192" s="9"/>
      <c r="XEL192" s="9"/>
      <c r="XEM192" s="9"/>
      <c r="XEN192" s="9"/>
      <c r="XEO192" s="9"/>
      <c r="XEP192" s="9"/>
      <c r="XEQ192" s="9"/>
      <c r="XER192" s="9"/>
      <c r="XES192" s="9"/>
      <c r="XET192" s="9"/>
      <c r="XEU192" s="9"/>
      <c r="XEV192" s="9"/>
      <c r="XEW192" s="9"/>
      <c r="XEX192" s="9"/>
      <c r="XEY192" s="9"/>
      <c r="XEZ192" s="9"/>
      <c r="XFA192" s="9"/>
      <c r="XFB192" s="9"/>
      <c r="XFC192" s="9"/>
      <c r="XFD192" s="9"/>
    </row>
    <row r="193" spans="1:8 16325:16384" s="3" customFormat="1" ht="19.95" customHeight="1">
      <c r="A193" s="6" t="str">
        <f t="shared" si="6"/>
        <v>040007</v>
      </c>
      <c r="B193" s="6" t="s">
        <v>16</v>
      </c>
      <c r="C193" s="6" t="s">
        <v>17</v>
      </c>
      <c r="D193" s="6" t="str">
        <f>"512734803"</f>
        <v>512734803</v>
      </c>
      <c r="E193" s="7">
        <v>51.5</v>
      </c>
      <c r="F193" s="7">
        <v>59.5</v>
      </c>
      <c r="G193" s="7"/>
      <c r="H193" s="7">
        <v>54.7</v>
      </c>
      <c r="XCW193" s="9"/>
      <c r="XCX193" s="9"/>
      <c r="XCY193" s="9"/>
      <c r="XCZ193" s="9"/>
      <c r="XDA193" s="9"/>
      <c r="XDB193" s="9"/>
      <c r="XDC193" s="9"/>
      <c r="XDD193" s="9"/>
      <c r="XDE193" s="9"/>
      <c r="XDF193" s="9"/>
      <c r="XDG193" s="9"/>
      <c r="XDH193" s="9"/>
      <c r="XDI193" s="9"/>
      <c r="XDJ193" s="9"/>
      <c r="XDK193" s="9"/>
      <c r="XDL193" s="9"/>
      <c r="XDM193" s="9"/>
      <c r="XDN193" s="9"/>
      <c r="XDO193" s="9"/>
      <c r="XDP193" s="9"/>
      <c r="XDQ193" s="9"/>
      <c r="XDR193" s="9"/>
      <c r="XDS193" s="9"/>
      <c r="XDT193" s="9"/>
      <c r="XDU193" s="9"/>
      <c r="XDV193" s="9"/>
      <c r="XDW193" s="9"/>
      <c r="XDX193" s="9"/>
      <c r="XDY193" s="9"/>
      <c r="XDZ193" s="9"/>
      <c r="XEA193" s="9"/>
      <c r="XEB193" s="9"/>
      <c r="XEC193" s="9"/>
      <c r="XED193" s="9"/>
      <c r="XEE193" s="9"/>
      <c r="XEF193" s="9"/>
      <c r="XEG193" s="9"/>
      <c r="XEH193" s="9"/>
      <c r="XEI193" s="9"/>
      <c r="XEJ193" s="9"/>
      <c r="XEK193" s="9"/>
      <c r="XEL193" s="9"/>
      <c r="XEM193" s="9"/>
      <c r="XEN193" s="9"/>
      <c r="XEO193" s="9"/>
      <c r="XEP193" s="9"/>
      <c r="XEQ193" s="9"/>
      <c r="XER193" s="9"/>
      <c r="XES193" s="9"/>
      <c r="XET193" s="9"/>
      <c r="XEU193" s="9"/>
      <c r="XEV193" s="9"/>
      <c r="XEW193" s="9"/>
      <c r="XEX193" s="9"/>
      <c r="XEY193" s="9"/>
      <c r="XEZ193" s="9"/>
      <c r="XFA193" s="9"/>
      <c r="XFB193" s="9"/>
      <c r="XFC193" s="9"/>
      <c r="XFD193" s="9"/>
    </row>
    <row r="194" spans="1:8 16325:16384" s="3" customFormat="1" ht="19.95" customHeight="1">
      <c r="A194" s="6" t="str">
        <f t="shared" si="6"/>
        <v>040007</v>
      </c>
      <c r="B194" s="6" t="s">
        <v>16</v>
      </c>
      <c r="C194" s="6" t="s">
        <v>17</v>
      </c>
      <c r="D194" s="6" t="str">
        <f>"512734812"</f>
        <v>512734812</v>
      </c>
      <c r="E194" s="7">
        <v>0</v>
      </c>
      <c r="F194" s="7">
        <v>0</v>
      </c>
      <c r="G194" s="7"/>
      <c r="H194" s="7">
        <v>0</v>
      </c>
      <c r="XCW194" s="9"/>
      <c r="XCX194" s="9"/>
      <c r="XCY194" s="9"/>
      <c r="XCZ194" s="9"/>
      <c r="XDA194" s="9"/>
      <c r="XDB194" s="9"/>
      <c r="XDC194" s="9"/>
      <c r="XDD194" s="9"/>
      <c r="XDE194" s="9"/>
      <c r="XDF194" s="9"/>
      <c r="XDG194" s="9"/>
      <c r="XDH194" s="9"/>
      <c r="XDI194" s="9"/>
      <c r="XDJ194" s="9"/>
      <c r="XDK194" s="9"/>
      <c r="XDL194" s="9"/>
      <c r="XDM194" s="9"/>
      <c r="XDN194" s="9"/>
      <c r="XDO194" s="9"/>
      <c r="XDP194" s="9"/>
      <c r="XDQ194" s="9"/>
      <c r="XDR194" s="9"/>
      <c r="XDS194" s="9"/>
      <c r="XDT194" s="9"/>
      <c r="XDU194" s="9"/>
      <c r="XDV194" s="9"/>
      <c r="XDW194" s="9"/>
      <c r="XDX194" s="9"/>
      <c r="XDY194" s="9"/>
      <c r="XDZ194" s="9"/>
      <c r="XEA194" s="9"/>
      <c r="XEB194" s="9"/>
      <c r="XEC194" s="9"/>
      <c r="XED194" s="9"/>
      <c r="XEE194" s="9"/>
      <c r="XEF194" s="9"/>
      <c r="XEG194" s="9"/>
      <c r="XEH194" s="9"/>
      <c r="XEI194" s="9"/>
      <c r="XEJ194" s="9"/>
      <c r="XEK194" s="9"/>
      <c r="XEL194" s="9"/>
      <c r="XEM194" s="9"/>
      <c r="XEN194" s="9"/>
      <c r="XEO194" s="9"/>
      <c r="XEP194" s="9"/>
      <c r="XEQ194" s="9"/>
      <c r="XER194" s="9"/>
      <c r="XES194" s="9"/>
      <c r="XET194" s="9"/>
      <c r="XEU194" s="9"/>
      <c r="XEV194" s="9"/>
      <c r="XEW194" s="9"/>
      <c r="XEX194" s="9"/>
      <c r="XEY194" s="9"/>
      <c r="XEZ194" s="9"/>
      <c r="XFA194" s="9"/>
      <c r="XFB194" s="9"/>
      <c r="XFC194" s="9"/>
      <c r="XFD194" s="9"/>
    </row>
    <row r="195" spans="1:8 16325:16384" s="3" customFormat="1" ht="19.95" customHeight="1">
      <c r="A195" s="6" t="str">
        <f t="shared" si="6"/>
        <v>040007</v>
      </c>
      <c r="B195" s="6" t="s">
        <v>16</v>
      </c>
      <c r="C195" s="6" t="s">
        <v>17</v>
      </c>
      <c r="D195" s="6" t="str">
        <f>"512734727"</f>
        <v>512734727</v>
      </c>
      <c r="E195" s="7">
        <v>0</v>
      </c>
      <c r="F195" s="7">
        <v>0</v>
      </c>
      <c r="G195" s="7"/>
      <c r="H195" s="7">
        <v>0</v>
      </c>
      <c r="XCW195" s="9"/>
      <c r="XCX195" s="9"/>
      <c r="XCY195" s="9"/>
      <c r="XCZ195" s="9"/>
      <c r="XDA195" s="9"/>
      <c r="XDB195" s="9"/>
      <c r="XDC195" s="9"/>
      <c r="XDD195" s="9"/>
      <c r="XDE195" s="9"/>
      <c r="XDF195" s="9"/>
      <c r="XDG195" s="9"/>
      <c r="XDH195" s="9"/>
      <c r="XDI195" s="9"/>
      <c r="XDJ195" s="9"/>
      <c r="XDK195" s="9"/>
      <c r="XDL195" s="9"/>
      <c r="XDM195" s="9"/>
      <c r="XDN195" s="9"/>
      <c r="XDO195" s="9"/>
      <c r="XDP195" s="9"/>
      <c r="XDQ195" s="9"/>
      <c r="XDR195" s="9"/>
      <c r="XDS195" s="9"/>
      <c r="XDT195" s="9"/>
      <c r="XDU195" s="9"/>
      <c r="XDV195" s="9"/>
      <c r="XDW195" s="9"/>
      <c r="XDX195" s="9"/>
      <c r="XDY195" s="9"/>
      <c r="XDZ195" s="9"/>
      <c r="XEA195" s="9"/>
      <c r="XEB195" s="9"/>
      <c r="XEC195" s="9"/>
      <c r="XED195" s="9"/>
      <c r="XEE195" s="9"/>
      <c r="XEF195" s="9"/>
      <c r="XEG195" s="9"/>
      <c r="XEH195" s="9"/>
      <c r="XEI195" s="9"/>
      <c r="XEJ195" s="9"/>
      <c r="XEK195" s="9"/>
      <c r="XEL195" s="9"/>
      <c r="XEM195" s="9"/>
      <c r="XEN195" s="9"/>
      <c r="XEO195" s="9"/>
      <c r="XEP195" s="9"/>
      <c r="XEQ195" s="9"/>
      <c r="XER195" s="9"/>
      <c r="XES195" s="9"/>
      <c r="XET195" s="9"/>
      <c r="XEU195" s="9"/>
      <c r="XEV195" s="9"/>
      <c r="XEW195" s="9"/>
      <c r="XEX195" s="9"/>
      <c r="XEY195" s="9"/>
      <c r="XEZ195" s="9"/>
      <c r="XFA195" s="9"/>
      <c r="XFB195" s="9"/>
      <c r="XFC195" s="9"/>
      <c r="XFD195" s="9"/>
    </row>
    <row r="196" spans="1:8 16325:16384" s="3" customFormat="1" ht="19.95" customHeight="1">
      <c r="A196" s="6" t="str">
        <f t="shared" si="6"/>
        <v>040007</v>
      </c>
      <c r="B196" s="6" t="s">
        <v>16</v>
      </c>
      <c r="C196" s="6" t="s">
        <v>17</v>
      </c>
      <c r="D196" s="6" t="str">
        <f>"512734723"</f>
        <v>512734723</v>
      </c>
      <c r="E196" s="7">
        <v>0</v>
      </c>
      <c r="F196" s="7">
        <v>0</v>
      </c>
      <c r="G196" s="7"/>
      <c r="H196" s="7">
        <v>0</v>
      </c>
      <c r="XCW196" s="9"/>
      <c r="XCX196" s="9"/>
      <c r="XCY196" s="9"/>
      <c r="XCZ196" s="9"/>
      <c r="XDA196" s="9"/>
      <c r="XDB196" s="9"/>
      <c r="XDC196" s="9"/>
      <c r="XDD196" s="9"/>
      <c r="XDE196" s="9"/>
      <c r="XDF196" s="9"/>
      <c r="XDG196" s="9"/>
      <c r="XDH196" s="9"/>
      <c r="XDI196" s="9"/>
      <c r="XDJ196" s="9"/>
      <c r="XDK196" s="9"/>
      <c r="XDL196" s="9"/>
      <c r="XDM196" s="9"/>
      <c r="XDN196" s="9"/>
      <c r="XDO196" s="9"/>
      <c r="XDP196" s="9"/>
      <c r="XDQ196" s="9"/>
      <c r="XDR196" s="9"/>
      <c r="XDS196" s="9"/>
      <c r="XDT196" s="9"/>
      <c r="XDU196" s="9"/>
      <c r="XDV196" s="9"/>
      <c r="XDW196" s="9"/>
      <c r="XDX196" s="9"/>
      <c r="XDY196" s="9"/>
      <c r="XDZ196" s="9"/>
      <c r="XEA196" s="9"/>
      <c r="XEB196" s="9"/>
      <c r="XEC196" s="9"/>
      <c r="XED196" s="9"/>
      <c r="XEE196" s="9"/>
      <c r="XEF196" s="9"/>
      <c r="XEG196" s="9"/>
      <c r="XEH196" s="9"/>
      <c r="XEI196" s="9"/>
      <c r="XEJ196" s="9"/>
      <c r="XEK196" s="9"/>
      <c r="XEL196" s="9"/>
      <c r="XEM196" s="9"/>
      <c r="XEN196" s="9"/>
      <c r="XEO196" s="9"/>
      <c r="XEP196" s="9"/>
      <c r="XEQ196" s="9"/>
      <c r="XER196" s="9"/>
      <c r="XES196" s="9"/>
      <c r="XET196" s="9"/>
      <c r="XEU196" s="9"/>
      <c r="XEV196" s="9"/>
      <c r="XEW196" s="9"/>
      <c r="XEX196" s="9"/>
      <c r="XEY196" s="9"/>
      <c r="XEZ196" s="9"/>
      <c r="XFA196" s="9"/>
      <c r="XFB196" s="9"/>
      <c r="XFC196" s="9"/>
      <c r="XFD196" s="9"/>
    </row>
    <row r="197" spans="1:8 16325:16384" s="3" customFormat="1" ht="19.95" customHeight="1">
      <c r="A197" s="6" t="str">
        <f t="shared" si="6"/>
        <v>040007</v>
      </c>
      <c r="B197" s="6" t="s">
        <v>16</v>
      </c>
      <c r="C197" s="6" t="s">
        <v>17</v>
      </c>
      <c r="D197" s="6" t="str">
        <f>"512734814"</f>
        <v>512734814</v>
      </c>
      <c r="E197" s="7">
        <v>76</v>
      </c>
      <c r="F197" s="7">
        <v>67.5</v>
      </c>
      <c r="G197" s="7"/>
      <c r="H197" s="7">
        <v>72.599999999999994</v>
      </c>
      <c r="XCW197" s="9"/>
      <c r="XCX197" s="9"/>
      <c r="XCY197" s="9"/>
      <c r="XCZ197" s="9"/>
      <c r="XDA197" s="9"/>
      <c r="XDB197" s="9"/>
      <c r="XDC197" s="9"/>
      <c r="XDD197" s="9"/>
      <c r="XDE197" s="9"/>
      <c r="XDF197" s="9"/>
      <c r="XDG197" s="9"/>
      <c r="XDH197" s="9"/>
      <c r="XDI197" s="9"/>
      <c r="XDJ197" s="9"/>
      <c r="XDK197" s="9"/>
      <c r="XDL197" s="9"/>
      <c r="XDM197" s="9"/>
      <c r="XDN197" s="9"/>
      <c r="XDO197" s="9"/>
      <c r="XDP197" s="9"/>
      <c r="XDQ197" s="9"/>
      <c r="XDR197" s="9"/>
      <c r="XDS197" s="9"/>
      <c r="XDT197" s="9"/>
      <c r="XDU197" s="9"/>
      <c r="XDV197" s="9"/>
      <c r="XDW197" s="9"/>
      <c r="XDX197" s="9"/>
      <c r="XDY197" s="9"/>
      <c r="XDZ197" s="9"/>
      <c r="XEA197" s="9"/>
      <c r="XEB197" s="9"/>
      <c r="XEC197" s="9"/>
      <c r="XED197" s="9"/>
      <c r="XEE197" s="9"/>
      <c r="XEF197" s="9"/>
      <c r="XEG197" s="9"/>
      <c r="XEH197" s="9"/>
      <c r="XEI197" s="9"/>
      <c r="XEJ197" s="9"/>
      <c r="XEK197" s="9"/>
      <c r="XEL197" s="9"/>
      <c r="XEM197" s="9"/>
      <c r="XEN197" s="9"/>
      <c r="XEO197" s="9"/>
      <c r="XEP197" s="9"/>
      <c r="XEQ197" s="9"/>
      <c r="XER197" s="9"/>
      <c r="XES197" s="9"/>
      <c r="XET197" s="9"/>
      <c r="XEU197" s="9"/>
      <c r="XEV197" s="9"/>
      <c r="XEW197" s="9"/>
      <c r="XEX197" s="9"/>
      <c r="XEY197" s="9"/>
      <c r="XEZ197" s="9"/>
      <c r="XFA197" s="9"/>
      <c r="XFB197" s="9"/>
      <c r="XFC197" s="9"/>
      <c r="XFD197" s="9"/>
    </row>
    <row r="198" spans="1:8 16325:16384" s="3" customFormat="1" ht="19.95" customHeight="1">
      <c r="A198" s="6" t="str">
        <f t="shared" si="6"/>
        <v>040007</v>
      </c>
      <c r="B198" s="6" t="s">
        <v>16</v>
      </c>
      <c r="C198" s="6" t="s">
        <v>17</v>
      </c>
      <c r="D198" s="6" t="str">
        <f>"512734728"</f>
        <v>512734728</v>
      </c>
      <c r="E198" s="7">
        <v>0</v>
      </c>
      <c r="F198" s="7">
        <v>0</v>
      </c>
      <c r="G198" s="7"/>
      <c r="H198" s="7">
        <v>0</v>
      </c>
      <c r="XCW198" s="9"/>
      <c r="XCX198" s="9"/>
      <c r="XCY198" s="9"/>
      <c r="XCZ198" s="9"/>
      <c r="XDA198" s="9"/>
      <c r="XDB198" s="9"/>
      <c r="XDC198" s="9"/>
      <c r="XDD198" s="9"/>
      <c r="XDE198" s="9"/>
      <c r="XDF198" s="9"/>
      <c r="XDG198" s="9"/>
      <c r="XDH198" s="9"/>
      <c r="XDI198" s="9"/>
      <c r="XDJ198" s="9"/>
      <c r="XDK198" s="9"/>
      <c r="XDL198" s="9"/>
      <c r="XDM198" s="9"/>
      <c r="XDN198" s="9"/>
      <c r="XDO198" s="9"/>
      <c r="XDP198" s="9"/>
      <c r="XDQ198" s="9"/>
      <c r="XDR198" s="9"/>
      <c r="XDS198" s="9"/>
      <c r="XDT198" s="9"/>
      <c r="XDU198" s="9"/>
      <c r="XDV198" s="9"/>
      <c r="XDW198" s="9"/>
      <c r="XDX198" s="9"/>
      <c r="XDY198" s="9"/>
      <c r="XDZ198" s="9"/>
      <c r="XEA198" s="9"/>
      <c r="XEB198" s="9"/>
      <c r="XEC198" s="9"/>
      <c r="XED198" s="9"/>
      <c r="XEE198" s="9"/>
      <c r="XEF198" s="9"/>
      <c r="XEG198" s="9"/>
      <c r="XEH198" s="9"/>
      <c r="XEI198" s="9"/>
      <c r="XEJ198" s="9"/>
      <c r="XEK198" s="9"/>
      <c r="XEL198" s="9"/>
      <c r="XEM198" s="9"/>
      <c r="XEN198" s="9"/>
      <c r="XEO198" s="9"/>
      <c r="XEP198" s="9"/>
      <c r="XEQ198" s="9"/>
      <c r="XER198" s="9"/>
      <c r="XES198" s="9"/>
      <c r="XET198" s="9"/>
      <c r="XEU198" s="9"/>
      <c r="XEV198" s="9"/>
      <c r="XEW198" s="9"/>
      <c r="XEX198" s="9"/>
      <c r="XEY198" s="9"/>
      <c r="XEZ198" s="9"/>
      <c r="XFA198" s="9"/>
      <c r="XFB198" s="9"/>
      <c r="XFC198" s="9"/>
      <c r="XFD198" s="9"/>
    </row>
    <row r="199" spans="1:8 16325:16384" s="3" customFormat="1" ht="19.95" customHeight="1">
      <c r="A199" s="6" t="str">
        <f t="shared" si="6"/>
        <v>040007</v>
      </c>
      <c r="B199" s="6" t="s">
        <v>16</v>
      </c>
      <c r="C199" s="6" t="s">
        <v>17</v>
      </c>
      <c r="D199" s="6" t="str">
        <f>"512734813"</f>
        <v>512734813</v>
      </c>
      <c r="E199" s="7">
        <v>0</v>
      </c>
      <c r="F199" s="7">
        <v>0</v>
      </c>
      <c r="G199" s="7"/>
      <c r="H199" s="7">
        <v>0</v>
      </c>
      <c r="XCW199" s="9"/>
      <c r="XCX199" s="9"/>
      <c r="XCY199" s="9"/>
      <c r="XCZ199" s="9"/>
      <c r="XDA199" s="9"/>
      <c r="XDB199" s="9"/>
      <c r="XDC199" s="9"/>
      <c r="XDD199" s="9"/>
      <c r="XDE199" s="9"/>
      <c r="XDF199" s="9"/>
      <c r="XDG199" s="9"/>
      <c r="XDH199" s="9"/>
      <c r="XDI199" s="9"/>
      <c r="XDJ199" s="9"/>
      <c r="XDK199" s="9"/>
      <c r="XDL199" s="9"/>
      <c r="XDM199" s="9"/>
      <c r="XDN199" s="9"/>
      <c r="XDO199" s="9"/>
      <c r="XDP199" s="9"/>
      <c r="XDQ199" s="9"/>
      <c r="XDR199" s="9"/>
      <c r="XDS199" s="9"/>
      <c r="XDT199" s="9"/>
      <c r="XDU199" s="9"/>
      <c r="XDV199" s="9"/>
      <c r="XDW199" s="9"/>
      <c r="XDX199" s="9"/>
      <c r="XDY199" s="9"/>
      <c r="XDZ199" s="9"/>
      <c r="XEA199" s="9"/>
      <c r="XEB199" s="9"/>
      <c r="XEC199" s="9"/>
      <c r="XED199" s="9"/>
      <c r="XEE199" s="9"/>
      <c r="XEF199" s="9"/>
      <c r="XEG199" s="9"/>
      <c r="XEH199" s="9"/>
      <c r="XEI199" s="9"/>
      <c r="XEJ199" s="9"/>
      <c r="XEK199" s="9"/>
      <c r="XEL199" s="9"/>
      <c r="XEM199" s="9"/>
      <c r="XEN199" s="9"/>
      <c r="XEO199" s="9"/>
      <c r="XEP199" s="9"/>
      <c r="XEQ199" s="9"/>
      <c r="XER199" s="9"/>
      <c r="XES199" s="9"/>
      <c r="XET199" s="9"/>
      <c r="XEU199" s="9"/>
      <c r="XEV199" s="9"/>
      <c r="XEW199" s="9"/>
      <c r="XEX199" s="9"/>
      <c r="XEY199" s="9"/>
      <c r="XEZ199" s="9"/>
      <c r="XFA199" s="9"/>
      <c r="XFB199" s="9"/>
      <c r="XFC199" s="9"/>
      <c r="XFD199" s="9"/>
    </row>
    <row r="200" spans="1:8 16325:16384" s="3" customFormat="1" ht="19.95" customHeight="1">
      <c r="A200" s="6" t="str">
        <f t="shared" si="6"/>
        <v>040007</v>
      </c>
      <c r="B200" s="6" t="s">
        <v>16</v>
      </c>
      <c r="C200" s="6" t="s">
        <v>17</v>
      </c>
      <c r="D200" s="6" t="str">
        <f>"512734811"</f>
        <v>512734811</v>
      </c>
      <c r="E200" s="7">
        <v>0</v>
      </c>
      <c r="F200" s="7">
        <v>0</v>
      </c>
      <c r="G200" s="7"/>
      <c r="H200" s="7">
        <v>0</v>
      </c>
      <c r="XCW200" s="9"/>
      <c r="XCX200" s="9"/>
      <c r="XCY200" s="9"/>
      <c r="XCZ200" s="9"/>
      <c r="XDA200" s="9"/>
      <c r="XDB200" s="9"/>
      <c r="XDC200" s="9"/>
      <c r="XDD200" s="9"/>
      <c r="XDE200" s="9"/>
      <c r="XDF200" s="9"/>
      <c r="XDG200" s="9"/>
      <c r="XDH200" s="9"/>
      <c r="XDI200" s="9"/>
      <c r="XDJ200" s="9"/>
      <c r="XDK200" s="9"/>
      <c r="XDL200" s="9"/>
      <c r="XDM200" s="9"/>
      <c r="XDN200" s="9"/>
      <c r="XDO200" s="9"/>
      <c r="XDP200" s="9"/>
      <c r="XDQ200" s="9"/>
      <c r="XDR200" s="9"/>
      <c r="XDS200" s="9"/>
      <c r="XDT200" s="9"/>
      <c r="XDU200" s="9"/>
      <c r="XDV200" s="9"/>
      <c r="XDW200" s="9"/>
      <c r="XDX200" s="9"/>
      <c r="XDY200" s="9"/>
      <c r="XDZ200" s="9"/>
      <c r="XEA200" s="9"/>
      <c r="XEB200" s="9"/>
      <c r="XEC200" s="9"/>
      <c r="XED200" s="9"/>
      <c r="XEE200" s="9"/>
      <c r="XEF200" s="9"/>
      <c r="XEG200" s="9"/>
      <c r="XEH200" s="9"/>
      <c r="XEI200" s="9"/>
      <c r="XEJ200" s="9"/>
      <c r="XEK200" s="9"/>
      <c r="XEL200" s="9"/>
      <c r="XEM200" s="9"/>
      <c r="XEN200" s="9"/>
      <c r="XEO200" s="9"/>
      <c r="XEP200" s="9"/>
      <c r="XEQ200" s="9"/>
      <c r="XER200" s="9"/>
      <c r="XES200" s="9"/>
      <c r="XET200" s="9"/>
      <c r="XEU200" s="9"/>
      <c r="XEV200" s="9"/>
      <c r="XEW200" s="9"/>
      <c r="XEX200" s="9"/>
      <c r="XEY200" s="9"/>
      <c r="XEZ200" s="9"/>
      <c r="XFA200" s="9"/>
      <c r="XFB200" s="9"/>
      <c r="XFC200" s="9"/>
      <c r="XFD200" s="9"/>
    </row>
    <row r="201" spans="1:8 16325:16384" s="3" customFormat="1" ht="19.95" customHeight="1">
      <c r="A201" s="6" t="str">
        <f t="shared" si="6"/>
        <v>040007</v>
      </c>
      <c r="B201" s="6" t="s">
        <v>16</v>
      </c>
      <c r="C201" s="6" t="s">
        <v>17</v>
      </c>
      <c r="D201" s="6" t="str">
        <f>"512734804"</f>
        <v>512734804</v>
      </c>
      <c r="E201" s="7">
        <v>0</v>
      </c>
      <c r="F201" s="7">
        <v>0</v>
      </c>
      <c r="G201" s="7"/>
      <c r="H201" s="7">
        <v>0</v>
      </c>
      <c r="XCW201" s="9"/>
      <c r="XCX201" s="9"/>
      <c r="XCY201" s="9"/>
      <c r="XCZ201" s="9"/>
      <c r="XDA201" s="9"/>
      <c r="XDB201" s="9"/>
      <c r="XDC201" s="9"/>
      <c r="XDD201" s="9"/>
      <c r="XDE201" s="9"/>
      <c r="XDF201" s="9"/>
      <c r="XDG201" s="9"/>
      <c r="XDH201" s="9"/>
      <c r="XDI201" s="9"/>
      <c r="XDJ201" s="9"/>
      <c r="XDK201" s="9"/>
      <c r="XDL201" s="9"/>
      <c r="XDM201" s="9"/>
      <c r="XDN201" s="9"/>
      <c r="XDO201" s="9"/>
      <c r="XDP201" s="9"/>
      <c r="XDQ201" s="9"/>
      <c r="XDR201" s="9"/>
      <c r="XDS201" s="9"/>
      <c r="XDT201" s="9"/>
      <c r="XDU201" s="9"/>
      <c r="XDV201" s="9"/>
      <c r="XDW201" s="9"/>
      <c r="XDX201" s="9"/>
      <c r="XDY201" s="9"/>
      <c r="XDZ201" s="9"/>
      <c r="XEA201" s="9"/>
      <c r="XEB201" s="9"/>
      <c r="XEC201" s="9"/>
      <c r="XED201" s="9"/>
      <c r="XEE201" s="9"/>
      <c r="XEF201" s="9"/>
      <c r="XEG201" s="9"/>
      <c r="XEH201" s="9"/>
      <c r="XEI201" s="9"/>
      <c r="XEJ201" s="9"/>
      <c r="XEK201" s="9"/>
      <c r="XEL201" s="9"/>
      <c r="XEM201" s="9"/>
      <c r="XEN201" s="9"/>
      <c r="XEO201" s="9"/>
      <c r="XEP201" s="9"/>
      <c r="XEQ201" s="9"/>
      <c r="XER201" s="9"/>
      <c r="XES201" s="9"/>
      <c r="XET201" s="9"/>
      <c r="XEU201" s="9"/>
      <c r="XEV201" s="9"/>
      <c r="XEW201" s="9"/>
      <c r="XEX201" s="9"/>
      <c r="XEY201" s="9"/>
      <c r="XEZ201" s="9"/>
      <c r="XFA201" s="9"/>
      <c r="XFB201" s="9"/>
      <c r="XFC201" s="9"/>
      <c r="XFD201" s="9"/>
    </row>
    <row r="202" spans="1:8 16325:16384" s="3" customFormat="1" ht="19.95" customHeight="1">
      <c r="A202" s="6" t="str">
        <f t="shared" si="6"/>
        <v>040007</v>
      </c>
      <c r="B202" s="6" t="s">
        <v>16</v>
      </c>
      <c r="C202" s="6" t="s">
        <v>17</v>
      </c>
      <c r="D202" s="6" t="str">
        <f>"512734808"</f>
        <v>512734808</v>
      </c>
      <c r="E202" s="7">
        <v>0</v>
      </c>
      <c r="F202" s="7">
        <v>0</v>
      </c>
      <c r="G202" s="7"/>
      <c r="H202" s="7">
        <v>0</v>
      </c>
      <c r="XCW202" s="9"/>
      <c r="XCX202" s="9"/>
      <c r="XCY202" s="9"/>
      <c r="XCZ202" s="9"/>
      <c r="XDA202" s="9"/>
      <c r="XDB202" s="9"/>
      <c r="XDC202" s="9"/>
      <c r="XDD202" s="9"/>
      <c r="XDE202" s="9"/>
      <c r="XDF202" s="9"/>
      <c r="XDG202" s="9"/>
      <c r="XDH202" s="9"/>
      <c r="XDI202" s="9"/>
      <c r="XDJ202" s="9"/>
      <c r="XDK202" s="9"/>
      <c r="XDL202" s="9"/>
      <c r="XDM202" s="9"/>
      <c r="XDN202" s="9"/>
      <c r="XDO202" s="9"/>
      <c r="XDP202" s="9"/>
      <c r="XDQ202" s="9"/>
      <c r="XDR202" s="9"/>
      <c r="XDS202" s="9"/>
      <c r="XDT202" s="9"/>
      <c r="XDU202" s="9"/>
      <c r="XDV202" s="9"/>
      <c r="XDW202" s="9"/>
      <c r="XDX202" s="9"/>
      <c r="XDY202" s="9"/>
      <c r="XDZ202" s="9"/>
      <c r="XEA202" s="9"/>
      <c r="XEB202" s="9"/>
      <c r="XEC202" s="9"/>
      <c r="XED202" s="9"/>
      <c r="XEE202" s="9"/>
      <c r="XEF202" s="9"/>
      <c r="XEG202" s="9"/>
      <c r="XEH202" s="9"/>
      <c r="XEI202" s="9"/>
      <c r="XEJ202" s="9"/>
      <c r="XEK202" s="9"/>
      <c r="XEL202" s="9"/>
      <c r="XEM202" s="9"/>
      <c r="XEN202" s="9"/>
      <c r="XEO202" s="9"/>
      <c r="XEP202" s="9"/>
      <c r="XEQ202" s="9"/>
      <c r="XER202" s="9"/>
      <c r="XES202" s="9"/>
      <c r="XET202" s="9"/>
      <c r="XEU202" s="9"/>
      <c r="XEV202" s="9"/>
      <c r="XEW202" s="9"/>
      <c r="XEX202" s="9"/>
      <c r="XEY202" s="9"/>
      <c r="XEZ202" s="9"/>
      <c r="XFA202" s="9"/>
      <c r="XFB202" s="9"/>
      <c r="XFC202" s="9"/>
      <c r="XFD202" s="9"/>
    </row>
    <row r="203" spans="1:8 16325:16384" s="3" customFormat="1" ht="19.95" customHeight="1">
      <c r="A203" s="6" t="str">
        <f t="shared" si="6"/>
        <v>040007</v>
      </c>
      <c r="B203" s="6" t="s">
        <v>16</v>
      </c>
      <c r="C203" s="6" t="s">
        <v>17</v>
      </c>
      <c r="D203" s="6" t="str">
        <f>"512734726"</f>
        <v>512734726</v>
      </c>
      <c r="E203" s="7">
        <v>0</v>
      </c>
      <c r="F203" s="7">
        <v>0</v>
      </c>
      <c r="G203" s="7"/>
      <c r="H203" s="7">
        <v>0</v>
      </c>
      <c r="XCW203" s="9"/>
      <c r="XCX203" s="9"/>
      <c r="XCY203" s="9"/>
      <c r="XCZ203" s="9"/>
      <c r="XDA203" s="9"/>
      <c r="XDB203" s="9"/>
      <c r="XDC203" s="9"/>
      <c r="XDD203" s="9"/>
      <c r="XDE203" s="9"/>
      <c r="XDF203" s="9"/>
      <c r="XDG203" s="9"/>
      <c r="XDH203" s="9"/>
      <c r="XDI203" s="9"/>
      <c r="XDJ203" s="9"/>
      <c r="XDK203" s="9"/>
      <c r="XDL203" s="9"/>
      <c r="XDM203" s="9"/>
      <c r="XDN203" s="9"/>
      <c r="XDO203" s="9"/>
      <c r="XDP203" s="9"/>
      <c r="XDQ203" s="9"/>
      <c r="XDR203" s="9"/>
      <c r="XDS203" s="9"/>
      <c r="XDT203" s="9"/>
      <c r="XDU203" s="9"/>
      <c r="XDV203" s="9"/>
      <c r="XDW203" s="9"/>
      <c r="XDX203" s="9"/>
      <c r="XDY203" s="9"/>
      <c r="XDZ203" s="9"/>
      <c r="XEA203" s="9"/>
      <c r="XEB203" s="9"/>
      <c r="XEC203" s="9"/>
      <c r="XED203" s="9"/>
      <c r="XEE203" s="9"/>
      <c r="XEF203" s="9"/>
      <c r="XEG203" s="9"/>
      <c r="XEH203" s="9"/>
      <c r="XEI203" s="9"/>
      <c r="XEJ203" s="9"/>
      <c r="XEK203" s="9"/>
      <c r="XEL203" s="9"/>
      <c r="XEM203" s="9"/>
      <c r="XEN203" s="9"/>
      <c r="XEO203" s="9"/>
      <c r="XEP203" s="9"/>
      <c r="XEQ203" s="9"/>
      <c r="XER203" s="9"/>
      <c r="XES203" s="9"/>
      <c r="XET203" s="9"/>
      <c r="XEU203" s="9"/>
      <c r="XEV203" s="9"/>
      <c r="XEW203" s="9"/>
      <c r="XEX203" s="9"/>
      <c r="XEY203" s="9"/>
      <c r="XEZ203" s="9"/>
      <c r="XFA203" s="9"/>
      <c r="XFB203" s="9"/>
      <c r="XFC203" s="9"/>
      <c r="XFD203" s="9"/>
    </row>
    <row r="204" spans="1:8 16325:16384" s="3" customFormat="1" ht="19.95" customHeight="1">
      <c r="A204" s="6" t="str">
        <f t="shared" si="6"/>
        <v>040007</v>
      </c>
      <c r="B204" s="6" t="s">
        <v>16</v>
      </c>
      <c r="C204" s="6" t="s">
        <v>17</v>
      </c>
      <c r="D204" s="6" t="str">
        <f>"512734805"</f>
        <v>512734805</v>
      </c>
      <c r="E204" s="7">
        <v>0</v>
      </c>
      <c r="F204" s="7">
        <v>0</v>
      </c>
      <c r="G204" s="7"/>
      <c r="H204" s="7">
        <v>0</v>
      </c>
      <c r="XCW204" s="9"/>
      <c r="XCX204" s="9"/>
      <c r="XCY204" s="9"/>
      <c r="XCZ204" s="9"/>
      <c r="XDA204" s="9"/>
      <c r="XDB204" s="9"/>
      <c r="XDC204" s="9"/>
      <c r="XDD204" s="9"/>
      <c r="XDE204" s="9"/>
      <c r="XDF204" s="9"/>
      <c r="XDG204" s="9"/>
      <c r="XDH204" s="9"/>
      <c r="XDI204" s="9"/>
      <c r="XDJ204" s="9"/>
      <c r="XDK204" s="9"/>
      <c r="XDL204" s="9"/>
      <c r="XDM204" s="9"/>
      <c r="XDN204" s="9"/>
      <c r="XDO204" s="9"/>
      <c r="XDP204" s="9"/>
      <c r="XDQ204" s="9"/>
      <c r="XDR204" s="9"/>
      <c r="XDS204" s="9"/>
      <c r="XDT204" s="9"/>
      <c r="XDU204" s="9"/>
      <c r="XDV204" s="9"/>
      <c r="XDW204" s="9"/>
      <c r="XDX204" s="9"/>
      <c r="XDY204" s="9"/>
      <c r="XDZ204" s="9"/>
      <c r="XEA204" s="9"/>
      <c r="XEB204" s="9"/>
      <c r="XEC204" s="9"/>
      <c r="XED204" s="9"/>
      <c r="XEE204" s="9"/>
      <c r="XEF204" s="9"/>
      <c r="XEG204" s="9"/>
      <c r="XEH204" s="9"/>
      <c r="XEI204" s="9"/>
      <c r="XEJ204" s="9"/>
      <c r="XEK204" s="9"/>
      <c r="XEL204" s="9"/>
      <c r="XEM204" s="9"/>
      <c r="XEN204" s="9"/>
      <c r="XEO204" s="9"/>
      <c r="XEP204" s="9"/>
      <c r="XEQ204" s="9"/>
      <c r="XER204" s="9"/>
      <c r="XES204" s="9"/>
      <c r="XET204" s="9"/>
      <c r="XEU204" s="9"/>
      <c r="XEV204" s="9"/>
      <c r="XEW204" s="9"/>
      <c r="XEX204" s="9"/>
      <c r="XEY204" s="9"/>
      <c r="XEZ204" s="9"/>
      <c r="XFA204" s="9"/>
      <c r="XFB204" s="9"/>
      <c r="XFC204" s="9"/>
      <c r="XFD204" s="9"/>
    </row>
    <row r="205" spans="1:8 16325:16384" s="3" customFormat="1" ht="19.95" customHeight="1">
      <c r="A205" s="6" t="str">
        <f t="shared" si="6"/>
        <v>040007</v>
      </c>
      <c r="B205" s="6" t="s">
        <v>16</v>
      </c>
      <c r="C205" s="6" t="s">
        <v>17</v>
      </c>
      <c r="D205" s="6" t="str">
        <f>"512734724"</f>
        <v>512734724</v>
      </c>
      <c r="E205" s="7">
        <v>0</v>
      </c>
      <c r="F205" s="7">
        <v>0</v>
      </c>
      <c r="G205" s="7"/>
      <c r="H205" s="7">
        <v>0</v>
      </c>
      <c r="XCW205" s="9"/>
      <c r="XCX205" s="9"/>
      <c r="XCY205" s="9"/>
      <c r="XCZ205" s="9"/>
      <c r="XDA205" s="9"/>
      <c r="XDB205" s="9"/>
      <c r="XDC205" s="9"/>
      <c r="XDD205" s="9"/>
      <c r="XDE205" s="9"/>
      <c r="XDF205" s="9"/>
      <c r="XDG205" s="9"/>
      <c r="XDH205" s="9"/>
      <c r="XDI205" s="9"/>
      <c r="XDJ205" s="9"/>
      <c r="XDK205" s="9"/>
      <c r="XDL205" s="9"/>
      <c r="XDM205" s="9"/>
      <c r="XDN205" s="9"/>
      <c r="XDO205" s="9"/>
      <c r="XDP205" s="9"/>
      <c r="XDQ205" s="9"/>
      <c r="XDR205" s="9"/>
      <c r="XDS205" s="9"/>
      <c r="XDT205" s="9"/>
      <c r="XDU205" s="9"/>
      <c r="XDV205" s="9"/>
      <c r="XDW205" s="9"/>
      <c r="XDX205" s="9"/>
      <c r="XDY205" s="9"/>
      <c r="XDZ205" s="9"/>
      <c r="XEA205" s="9"/>
      <c r="XEB205" s="9"/>
      <c r="XEC205" s="9"/>
      <c r="XED205" s="9"/>
      <c r="XEE205" s="9"/>
      <c r="XEF205" s="9"/>
      <c r="XEG205" s="9"/>
      <c r="XEH205" s="9"/>
      <c r="XEI205" s="9"/>
      <c r="XEJ205" s="9"/>
      <c r="XEK205" s="9"/>
      <c r="XEL205" s="9"/>
      <c r="XEM205" s="9"/>
      <c r="XEN205" s="9"/>
      <c r="XEO205" s="9"/>
      <c r="XEP205" s="9"/>
      <c r="XEQ205" s="9"/>
      <c r="XER205" s="9"/>
      <c r="XES205" s="9"/>
      <c r="XET205" s="9"/>
      <c r="XEU205" s="9"/>
      <c r="XEV205" s="9"/>
      <c r="XEW205" s="9"/>
      <c r="XEX205" s="9"/>
      <c r="XEY205" s="9"/>
      <c r="XEZ205" s="9"/>
      <c r="XFA205" s="9"/>
      <c r="XFB205" s="9"/>
      <c r="XFC205" s="9"/>
      <c r="XFD205" s="9"/>
    </row>
    <row r="206" spans="1:8 16325:16384" s="3" customFormat="1" ht="19.95" customHeight="1">
      <c r="A206" s="6" t="str">
        <f t="shared" si="6"/>
        <v>040007</v>
      </c>
      <c r="B206" s="6" t="s">
        <v>16</v>
      </c>
      <c r="C206" s="6" t="s">
        <v>17</v>
      </c>
      <c r="D206" s="6" t="str">
        <f>"512734725"</f>
        <v>512734725</v>
      </c>
      <c r="E206" s="7">
        <v>0</v>
      </c>
      <c r="F206" s="7">
        <v>0</v>
      </c>
      <c r="G206" s="7"/>
      <c r="H206" s="7">
        <v>0</v>
      </c>
      <c r="XCW206" s="9"/>
      <c r="XCX206" s="9"/>
      <c r="XCY206" s="9"/>
      <c r="XCZ206" s="9"/>
      <c r="XDA206" s="9"/>
      <c r="XDB206" s="9"/>
      <c r="XDC206" s="9"/>
      <c r="XDD206" s="9"/>
      <c r="XDE206" s="9"/>
      <c r="XDF206" s="9"/>
      <c r="XDG206" s="9"/>
      <c r="XDH206" s="9"/>
      <c r="XDI206" s="9"/>
      <c r="XDJ206" s="9"/>
      <c r="XDK206" s="9"/>
      <c r="XDL206" s="9"/>
      <c r="XDM206" s="9"/>
      <c r="XDN206" s="9"/>
      <c r="XDO206" s="9"/>
      <c r="XDP206" s="9"/>
      <c r="XDQ206" s="9"/>
      <c r="XDR206" s="9"/>
      <c r="XDS206" s="9"/>
      <c r="XDT206" s="9"/>
      <c r="XDU206" s="9"/>
      <c r="XDV206" s="9"/>
      <c r="XDW206" s="9"/>
      <c r="XDX206" s="9"/>
      <c r="XDY206" s="9"/>
      <c r="XDZ206" s="9"/>
      <c r="XEA206" s="9"/>
      <c r="XEB206" s="9"/>
      <c r="XEC206" s="9"/>
      <c r="XED206" s="9"/>
      <c r="XEE206" s="9"/>
      <c r="XEF206" s="9"/>
      <c r="XEG206" s="9"/>
      <c r="XEH206" s="9"/>
      <c r="XEI206" s="9"/>
      <c r="XEJ206" s="9"/>
      <c r="XEK206" s="9"/>
      <c r="XEL206" s="9"/>
      <c r="XEM206" s="9"/>
      <c r="XEN206" s="9"/>
      <c r="XEO206" s="9"/>
      <c r="XEP206" s="9"/>
      <c r="XEQ206" s="9"/>
      <c r="XER206" s="9"/>
      <c r="XES206" s="9"/>
      <c r="XET206" s="9"/>
      <c r="XEU206" s="9"/>
      <c r="XEV206" s="9"/>
      <c r="XEW206" s="9"/>
      <c r="XEX206" s="9"/>
      <c r="XEY206" s="9"/>
      <c r="XEZ206" s="9"/>
      <c r="XFA206" s="9"/>
      <c r="XFB206" s="9"/>
      <c r="XFC206" s="9"/>
      <c r="XFD206" s="9"/>
    </row>
    <row r="207" spans="1:8 16325:16384" s="3" customFormat="1" ht="19.95" customHeight="1">
      <c r="A207" s="6" t="str">
        <f t="shared" si="6"/>
        <v>040007</v>
      </c>
      <c r="B207" s="6" t="s">
        <v>16</v>
      </c>
      <c r="C207" s="6" t="s">
        <v>17</v>
      </c>
      <c r="D207" s="6" t="str">
        <f>"512734806"</f>
        <v>512734806</v>
      </c>
      <c r="E207" s="7">
        <v>55</v>
      </c>
      <c r="F207" s="7">
        <v>53</v>
      </c>
      <c r="G207" s="7"/>
      <c r="H207" s="7">
        <v>54.2</v>
      </c>
      <c r="XCW207" s="9"/>
      <c r="XCX207" s="9"/>
      <c r="XCY207" s="9"/>
      <c r="XCZ207" s="9"/>
      <c r="XDA207" s="9"/>
      <c r="XDB207" s="9"/>
      <c r="XDC207" s="9"/>
      <c r="XDD207" s="9"/>
      <c r="XDE207" s="9"/>
      <c r="XDF207" s="9"/>
      <c r="XDG207" s="9"/>
      <c r="XDH207" s="9"/>
      <c r="XDI207" s="9"/>
      <c r="XDJ207" s="9"/>
      <c r="XDK207" s="9"/>
      <c r="XDL207" s="9"/>
      <c r="XDM207" s="9"/>
      <c r="XDN207" s="9"/>
      <c r="XDO207" s="9"/>
      <c r="XDP207" s="9"/>
      <c r="XDQ207" s="9"/>
      <c r="XDR207" s="9"/>
      <c r="XDS207" s="9"/>
      <c r="XDT207" s="9"/>
      <c r="XDU207" s="9"/>
      <c r="XDV207" s="9"/>
      <c r="XDW207" s="9"/>
      <c r="XDX207" s="9"/>
      <c r="XDY207" s="9"/>
      <c r="XDZ207" s="9"/>
      <c r="XEA207" s="9"/>
      <c r="XEB207" s="9"/>
      <c r="XEC207" s="9"/>
      <c r="XED207" s="9"/>
      <c r="XEE207" s="9"/>
      <c r="XEF207" s="9"/>
      <c r="XEG207" s="9"/>
      <c r="XEH207" s="9"/>
      <c r="XEI207" s="9"/>
      <c r="XEJ207" s="9"/>
      <c r="XEK207" s="9"/>
      <c r="XEL207" s="9"/>
      <c r="XEM207" s="9"/>
      <c r="XEN207" s="9"/>
      <c r="XEO207" s="9"/>
      <c r="XEP207" s="9"/>
      <c r="XEQ207" s="9"/>
      <c r="XER207" s="9"/>
      <c r="XES207" s="9"/>
      <c r="XET207" s="9"/>
      <c r="XEU207" s="9"/>
      <c r="XEV207" s="9"/>
      <c r="XEW207" s="9"/>
      <c r="XEX207" s="9"/>
      <c r="XEY207" s="9"/>
      <c r="XEZ207" s="9"/>
      <c r="XFA207" s="9"/>
      <c r="XFB207" s="9"/>
      <c r="XFC207" s="9"/>
      <c r="XFD207" s="9"/>
    </row>
    <row r="208" spans="1:8 16325:16384" s="3" customFormat="1" ht="19.95" customHeight="1">
      <c r="A208" s="6" t="str">
        <f t="shared" si="6"/>
        <v>040007</v>
      </c>
      <c r="B208" s="6" t="s">
        <v>16</v>
      </c>
      <c r="C208" s="6" t="s">
        <v>17</v>
      </c>
      <c r="D208" s="6" t="str">
        <f>"512734722"</f>
        <v>512734722</v>
      </c>
      <c r="E208" s="7">
        <v>0</v>
      </c>
      <c r="F208" s="7">
        <v>0</v>
      </c>
      <c r="G208" s="7"/>
      <c r="H208" s="7">
        <v>0</v>
      </c>
      <c r="XCW208" s="9"/>
      <c r="XCX208" s="9"/>
      <c r="XCY208" s="9"/>
      <c r="XCZ208" s="9"/>
      <c r="XDA208" s="9"/>
      <c r="XDB208" s="9"/>
      <c r="XDC208" s="9"/>
      <c r="XDD208" s="9"/>
      <c r="XDE208" s="9"/>
      <c r="XDF208" s="9"/>
      <c r="XDG208" s="9"/>
      <c r="XDH208" s="9"/>
      <c r="XDI208" s="9"/>
      <c r="XDJ208" s="9"/>
      <c r="XDK208" s="9"/>
      <c r="XDL208" s="9"/>
      <c r="XDM208" s="9"/>
      <c r="XDN208" s="9"/>
      <c r="XDO208" s="9"/>
      <c r="XDP208" s="9"/>
      <c r="XDQ208" s="9"/>
      <c r="XDR208" s="9"/>
      <c r="XDS208" s="9"/>
      <c r="XDT208" s="9"/>
      <c r="XDU208" s="9"/>
      <c r="XDV208" s="9"/>
      <c r="XDW208" s="9"/>
      <c r="XDX208" s="9"/>
      <c r="XDY208" s="9"/>
      <c r="XDZ208" s="9"/>
      <c r="XEA208" s="9"/>
      <c r="XEB208" s="9"/>
      <c r="XEC208" s="9"/>
      <c r="XED208" s="9"/>
      <c r="XEE208" s="9"/>
      <c r="XEF208" s="9"/>
      <c r="XEG208" s="9"/>
      <c r="XEH208" s="9"/>
      <c r="XEI208" s="9"/>
      <c r="XEJ208" s="9"/>
      <c r="XEK208" s="9"/>
      <c r="XEL208" s="9"/>
      <c r="XEM208" s="9"/>
      <c r="XEN208" s="9"/>
      <c r="XEO208" s="9"/>
      <c r="XEP208" s="9"/>
      <c r="XEQ208" s="9"/>
      <c r="XER208" s="9"/>
      <c r="XES208" s="9"/>
      <c r="XET208" s="9"/>
      <c r="XEU208" s="9"/>
      <c r="XEV208" s="9"/>
      <c r="XEW208" s="9"/>
      <c r="XEX208" s="9"/>
      <c r="XEY208" s="9"/>
      <c r="XEZ208" s="9"/>
      <c r="XFA208" s="9"/>
      <c r="XFB208" s="9"/>
      <c r="XFC208" s="9"/>
      <c r="XFD208" s="9"/>
    </row>
    <row r="209" spans="1:8 16325:16384" s="3" customFormat="1" ht="19.95" customHeight="1">
      <c r="A209" s="6" t="str">
        <f t="shared" si="6"/>
        <v>040007</v>
      </c>
      <c r="B209" s="6" t="s">
        <v>16</v>
      </c>
      <c r="C209" s="6" t="s">
        <v>17</v>
      </c>
      <c r="D209" s="6" t="str">
        <f>"512734729"</f>
        <v>512734729</v>
      </c>
      <c r="E209" s="7">
        <v>0</v>
      </c>
      <c r="F209" s="7">
        <v>0</v>
      </c>
      <c r="G209" s="7"/>
      <c r="H209" s="7">
        <v>0</v>
      </c>
      <c r="XCW209" s="9"/>
      <c r="XCX209" s="9"/>
      <c r="XCY209" s="9"/>
      <c r="XCZ209" s="9"/>
      <c r="XDA209" s="9"/>
      <c r="XDB209" s="9"/>
      <c r="XDC209" s="9"/>
      <c r="XDD209" s="9"/>
      <c r="XDE209" s="9"/>
      <c r="XDF209" s="9"/>
      <c r="XDG209" s="9"/>
      <c r="XDH209" s="9"/>
      <c r="XDI209" s="9"/>
      <c r="XDJ209" s="9"/>
      <c r="XDK209" s="9"/>
      <c r="XDL209" s="9"/>
      <c r="XDM209" s="9"/>
      <c r="XDN209" s="9"/>
      <c r="XDO209" s="9"/>
      <c r="XDP209" s="9"/>
      <c r="XDQ209" s="9"/>
      <c r="XDR209" s="9"/>
      <c r="XDS209" s="9"/>
      <c r="XDT209" s="9"/>
      <c r="XDU209" s="9"/>
      <c r="XDV209" s="9"/>
      <c r="XDW209" s="9"/>
      <c r="XDX209" s="9"/>
      <c r="XDY209" s="9"/>
      <c r="XDZ209" s="9"/>
      <c r="XEA209" s="9"/>
      <c r="XEB209" s="9"/>
      <c r="XEC209" s="9"/>
      <c r="XED209" s="9"/>
      <c r="XEE209" s="9"/>
      <c r="XEF209" s="9"/>
      <c r="XEG209" s="9"/>
      <c r="XEH209" s="9"/>
      <c r="XEI209" s="9"/>
      <c r="XEJ209" s="9"/>
      <c r="XEK209" s="9"/>
      <c r="XEL209" s="9"/>
      <c r="XEM209" s="9"/>
      <c r="XEN209" s="9"/>
      <c r="XEO209" s="9"/>
      <c r="XEP209" s="9"/>
      <c r="XEQ209" s="9"/>
      <c r="XER209" s="9"/>
      <c r="XES209" s="9"/>
      <c r="XET209" s="9"/>
      <c r="XEU209" s="9"/>
      <c r="XEV209" s="9"/>
      <c r="XEW209" s="9"/>
      <c r="XEX209" s="9"/>
      <c r="XEY209" s="9"/>
      <c r="XEZ209" s="9"/>
      <c r="XFA209" s="9"/>
      <c r="XFB209" s="9"/>
      <c r="XFC209" s="9"/>
      <c r="XFD209" s="9"/>
    </row>
    <row r="210" spans="1:8 16325:16384" s="3" customFormat="1" ht="19.95" customHeight="1">
      <c r="A210" s="6" t="str">
        <f t="shared" si="6"/>
        <v>040007</v>
      </c>
      <c r="B210" s="6" t="s">
        <v>16</v>
      </c>
      <c r="C210" s="6" t="s">
        <v>17</v>
      </c>
      <c r="D210" s="6" t="str">
        <f>"512734721"</f>
        <v>512734721</v>
      </c>
      <c r="E210" s="7">
        <v>0</v>
      </c>
      <c r="F210" s="7">
        <v>0</v>
      </c>
      <c r="G210" s="7"/>
      <c r="H210" s="7">
        <v>0</v>
      </c>
      <c r="XCW210" s="9"/>
      <c r="XCX210" s="9"/>
      <c r="XCY210" s="9"/>
      <c r="XCZ210" s="9"/>
      <c r="XDA210" s="9"/>
      <c r="XDB210" s="9"/>
      <c r="XDC210" s="9"/>
      <c r="XDD210" s="9"/>
      <c r="XDE210" s="9"/>
      <c r="XDF210" s="9"/>
      <c r="XDG210" s="9"/>
      <c r="XDH210" s="9"/>
      <c r="XDI210" s="9"/>
      <c r="XDJ210" s="9"/>
      <c r="XDK210" s="9"/>
      <c r="XDL210" s="9"/>
      <c r="XDM210" s="9"/>
      <c r="XDN210" s="9"/>
      <c r="XDO210" s="9"/>
      <c r="XDP210" s="9"/>
      <c r="XDQ210" s="9"/>
      <c r="XDR210" s="9"/>
      <c r="XDS210" s="9"/>
      <c r="XDT210" s="9"/>
      <c r="XDU210" s="9"/>
      <c r="XDV210" s="9"/>
      <c r="XDW210" s="9"/>
      <c r="XDX210" s="9"/>
      <c r="XDY210" s="9"/>
      <c r="XDZ210" s="9"/>
      <c r="XEA210" s="9"/>
      <c r="XEB210" s="9"/>
      <c r="XEC210" s="9"/>
      <c r="XED210" s="9"/>
      <c r="XEE210" s="9"/>
      <c r="XEF210" s="9"/>
      <c r="XEG210" s="9"/>
      <c r="XEH210" s="9"/>
      <c r="XEI210" s="9"/>
      <c r="XEJ210" s="9"/>
      <c r="XEK210" s="9"/>
      <c r="XEL210" s="9"/>
      <c r="XEM210" s="9"/>
      <c r="XEN210" s="9"/>
      <c r="XEO210" s="9"/>
      <c r="XEP210" s="9"/>
      <c r="XEQ210" s="9"/>
      <c r="XER210" s="9"/>
      <c r="XES210" s="9"/>
      <c r="XET210" s="9"/>
      <c r="XEU210" s="9"/>
      <c r="XEV210" s="9"/>
      <c r="XEW210" s="9"/>
      <c r="XEX210" s="9"/>
      <c r="XEY210" s="9"/>
      <c r="XEZ210" s="9"/>
      <c r="XFA210" s="9"/>
      <c r="XFB210" s="9"/>
      <c r="XFC210" s="9"/>
      <c r="XFD210" s="9"/>
    </row>
    <row r="211" spans="1:8 16325:16384" s="3" customFormat="1" ht="19.95" customHeight="1">
      <c r="A211" s="6" t="str">
        <f t="shared" si="6"/>
        <v>040007</v>
      </c>
      <c r="B211" s="6" t="s">
        <v>16</v>
      </c>
      <c r="C211" s="6" t="s">
        <v>17</v>
      </c>
      <c r="D211" s="6" t="str">
        <f>"512734730"</f>
        <v>512734730</v>
      </c>
      <c r="E211" s="7">
        <v>81.5</v>
      </c>
      <c r="F211" s="7">
        <v>89.5</v>
      </c>
      <c r="G211" s="7"/>
      <c r="H211" s="7">
        <v>84.7</v>
      </c>
      <c r="XCW211" s="9"/>
      <c r="XCX211" s="9"/>
      <c r="XCY211" s="9"/>
      <c r="XCZ211" s="9"/>
      <c r="XDA211" s="9"/>
      <c r="XDB211" s="9"/>
      <c r="XDC211" s="9"/>
      <c r="XDD211" s="9"/>
      <c r="XDE211" s="9"/>
      <c r="XDF211" s="9"/>
      <c r="XDG211" s="9"/>
      <c r="XDH211" s="9"/>
      <c r="XDI211" s="9"/>
      <c r="XDJ211" s="9"/>
      <c r="XDK211" s="9"/>
      <c r="XDL211" s="9"/>
      <c r="XDM211" s="9"/>
      <c r="XDN211" s="9"/>
      <c r="XDO211" s="9"/>
      <c r="XDP211" s="9"/>
      <c r="XDQ211" s="9"/>
      <c r="XDR211" s="9"/>
      <c r="XDS211" s="9"/>
      <c r="XDT211" s="9"/>
      <c r="XDU211" s="9"/>
      <c r="XDV211" s="9"/>
      <c r="XDW211" s="9"/>
      <c r="XDX211" s="9"/>
      <c r="XDY211" s="9"/>
      <c r="XDZ211" s="9"/>
      <c r="XEA211" s="9"/>
      <c r="XEB211" s="9"/>
      <c r="XEC211" s="9"/>
      <c r="XED211" s="9"/>
      <c r="XEE211" s="9"/>
      <c r="XEF211" s="9"/>
      <c r="XEG211" s="9"/>
      <c r="XEH211" s="9"/>
      <c r="XEI211" s="9"/>
      <c r="XEJ211" s="9"/>
      <c r="XEK211" s="9"/>
      <c r="XEL211" s="9"/>
      <c r="XEM211" s="9"/>
      <c r="XEN211" s="9"/>
      <c r="XEO211" s="9"/>
      <c r="XEP211" s="9"/>
      <c r="XEQ211" s="9"/>
      <c r="XER211" s="9"/>
      <c r="XES211" s="9"/>
      <c r="XET211" s="9"/>
      <c r="XEU211" s="9"/>
      <c r="XEV211" s="9"/>
      <c r="XEW211" s="9"/>
      <c r="XEX211" s="9"/>
      <c r="XEY211" s="9"/>
      <c r="XEZ211" s="9"/>
      <c r="XFA211" s="9"/>
      <c r="XFB211" s="9"/>
      <c r="XFC211" s="9"/>
      <c r="XFD211" s="9"/>
    </row>
    <row r="212" spans="1:8 16325:16384" s="3" customFormat="1" ht="19.95" customHeight="1">
      <c r="A212" s="6" t="str">
        <f t="shared" si="6"/>
        <v>040007</v>
      </c>
      <c r="B212" s="6" t="s">
        <v>16</v>
      </c>
      <c r="C212" s="6" t="s">
        <v>17</v>
      </c>
      <c r="D212" s="6" t="str">
        <f>"512734816"</f>
        <v>512734816</v>
      </c>
      <c r="E212" s="7">
        <v>60.5</v>
      </c>
      <c r="F212" s="7">
        <v>63</v>
      </c>
      <c r="G212" s="7"/>
      <c r="H212" s="7">
        <v>61.5</v>
      </c>
      <c r="XCW212" s="9"/>
      <c r="XCX212" s="9"/>
      <c r="XCY212" s="9"/>
      <c r="XCZ212" s="9"/>
      <c r="XDA212" s="9"/>
      <c r="XDB212" s="9"/>
      <c r="XDC212" s="9"/>
      <c r="XDD212" s="9"/>
      <c r="XDE212" s="9"/>
      <c r="XDF212" s="9"/>
      <c r="XDG212" s="9"/>
      <c r="XDH212" s="9"/>
      <c r="XDI212" s="9"/>
      <c r="XDJ212" s="9"/>
      <c r="XDK212" s="9"/>
      <c r="XDL212" s="9"/>
      <c r="XDM212" s="9"/>
      <c r="XDN212" s="9"/>
      <c r="XDO212" s="9"/>
      <c r="XDP212" s="9"/>
      <c r="XDQ212" s="9"/>
      <c r="XDR212" s="9"/>
      <c r="XDS212" s="9"/>
      <c r="XDT212" s="9"/>
      <c r="XDU212" s="9"/>
      <c r="XDV212" s="9"/>
      <c r="XDW212" s="9"/>
      <c r="XDX212" s="9"/>
      <c r="XDY212" s="9"/>
      <c r="XDZ212" s="9"/>
      <c r="XEA212" s="9"/>
      <c r="XEB212" s="9"/>
      <c r="XEC212" s="9"/>
      <c r="XED212" s="9"/>
      <c r="XEE212" s="9"/>
      <c r="XEF212" s="9"/>
      <c r="XEG212" s="9"/>
      <c r="XEH212" s="9"/>
      <c r="XEI212" s="9"/>
      <c r="XEJ212" s="9"/>
      <c r="XEK212" s="9"/>
      <c r="XEL212" s="9"/>
      <c r="XEM212" s="9"/>
      <c r="XEN212" s="9"/>
      <c r="XEO212" s="9"/>
      <c r="XEP212" s="9"/>
      <c r="XEQ212" s="9"/>
      <c r="XER212" s="9"/>
      <c r="XES212" s="9"/>
      <c r="XET212" s="9"/>
      <c r="XEU212" s="9"/>
      <c r="XEV212" s="9"/>
      <c r="XEW212" s="9"/>
      <c r="XEX212" s="9"/>
      <c r="XEY212" s="9"/>
      <c r="XEZ212" s="9"/>
      <c r="XFA212" s="9"/>
      <c r="XFB212" s="9"/>
      <c r="XFC212" s="9"/>
      <c r="XFD212" s="9"/>
    </row>
    <row r="213" spans="1:8 16325:16384" s="3" customFormat="1" ht="19.95" customHeight="1">
      <c r="A213" s="6" t="str">
        <f t="shared" ref="A213:A220" si="7">"040008"</f>
        <v>040008</v>
      </c>
      <c r="B213" s="6" t="s">
        <v>18</v>
      </c>
      <c r="C213" s="6" t="s">
        <v>17</v>
      </c>
      <c r="D213" s="6" t="str">
        <f>"512421214"</f>
        <v>512421214</v>
      </c>
      <c r="E213" s="7">
        <v>88</v>
      </c>
      <c r="F213" s="7">
        <v>63</v>
      </c>
      <c r="G213" s="7"/>
      <c r="H213" s="7">
        <v>78</v>
      </c>
      <c r="XCW213" s="9"/>
      <c r="XCX213" s="9"/>
      <c r="XCY213" s="9"/>
      <c r="XCZ213" s="9"/>
      <c r="XDA213" s="9"/>
      <c r="XDB213" s="9"/>
      <c r="XDC213" s="9"/>
      <c r="XDD213" s="9"/>
      <c r="XDE213" s="9"/>
      <c r="XDF213" s="9"/>
      <c r="XDG213" s="9"/>
      <c r="XDH213" s="9"/>
      <c r="XDI213" s="9"/>
      <c r="XDJ213" s="9"/>
      <c r="XDK213" s="9"/>
      <c r="XDL213" s="9"/>
      <c r="XDM213" s="9"/>
      <c r="XDN213" s="9"/>
      <c r="XDO213" s="9"/>
      <c r="XDP213" s="9"/>
      <c r="XDQ213" s="9"/>
      <c r="XDR213" s="9"/>
      <c r="XDS213" s="9"/>
      <c r="XDT213" s="9"/>
      <c r="XDU213" s="9"/>
      <c r="XDV213" s="9"/>
      <c r="XDW213" s="9"/>
      <c r="XDX213" s="9"/>
      <c r="XDY213" s="9"/>
      <c r="XDZ213" s="9"/>
      <c r="XEA213" s="9"/>
      <c r="XEB213" s="9"/>
      <c r="XEC213" s="9"/>
      <c r="XED213" s="9"/>
      <c r="XEE213" s="9"/>
      <c r="XEF213" s="9"/>
      <c r="XEG213" s="9"/>
      <c r="XEH213" s="9"/>
      <c r="XEI213" s="9"/>
      <c r="XEJ213" s="9"/>
      <c r="XEK213" s="9"/>
      <c r="XEL213" s="9"/>
      <c r="XEM213" s="9"/>
      <c r="XEN213" s="9"/>
      <c r="XEO213" s="9"/>
      <c r="XEP213" s="9"/>
      <c r="XEQ213" s="9"/>
      <c r="XER213" s="9"/>
      <c r="XES213" s="9"/>
      <c r="XET213" s="9"/>
      <c r="XEU213" s="9"/>
      <c r="XEV213" s="9"/>
      <c r="XEW213" s="9"/>
      <c r="XEX213" s="9"/>
      <c r="XEY213" s="9"/>
      <c r="XEZ213" s="9"/>
      <c r="XFA213" s="9"/>
      <c r="XFB213" s="9"/>
      <c r="XFC213" s="9"/>
      <c r="XFD213" s="9"/>
    </row>
    <row r="214" spans="1:8 16325:16384" s="3" customFormat="1" ht="19.95" customHeight="1">
      <c r="A214" s="6" t="str">
        <f t="shared" si="7"/>
        <v>040008</v>
      </c>
      <c r="B214" s="6" t="s">
        <v>18</v>
      </c>
      <c r="C214" s="6" t="s">
        <v>17</v>
      </c>
      <c r="D214" s="6" t="str">
        <f>"512421217"</f>
        <v>512421217</v>
      </c>
      <c r="E214" s="7">
        <v>86</v>
      </c>
      <c r="F214" s="7">
        <v>79</v>
      </c>
      <c r="G214" s="7"/>
      <c r="H214" s="7">
        <v>83.2</v>
      </c>
      <c r="XCW214" s="9"/>
      <c r="XCX214" s="9"/>
      <c r="XCY214" s="9"/>
      <c r="XCZ214" s="9"/>
      <c r="XDA214" s="9"/>
      <c r="XDB214" s="9"/>
      <c r="XDC214" s="9"/>
      <c r="XDD214" s="9"/>
      <c r="XDE214" s="9"/>
      <c r="XDF214" s="9"/>
      <c r="XDG214" s="9"/>
      <c r="XDH214" s="9"/>
      <c r="XDI214" s="9"/>
      <c r="XDJ214" s="9"/>
      <c r="XDK214" s="9"/>
      <c r="XDL214" s="9"/>
      <c r="XDM214" s="9"/>
      <c r="XDN214" s="9"/>
      <c r="XDO214" s="9"/>
      <c r="XDP214" s="9"/>
      <c r="XDQ214" s="9"/>
      <c r="XDR214" s="9"/>
      <c r="XDS214" s="9"/>
      <c r="XDT214" s="9"/>
      <c r="XDU214" s="9"/>
      <c r="XDV214" s="9"/>
      <c r="XDW214" s="9"/>
      <c r="XDX214" s="9"/>
      <c r="XDY214" s="9"/>
      <c r="XDZ214" s="9"/>
      <c r="XEA214" s="9"/>
      <c r="XEB214" s="9"/>
      <c r="XEC214" s="9"/>
      <c r="XED214" s="9"/>
      <c r="XEE214" s="9"/>
      <c r="XEF214" s="9"/>
      <c r="XEG214" s="9"/>
      <c r="XEH214" s="9"/>
      <c r="XEI214" s="9"/>
      <c r="XEJ214" s="9"/>
      <c r="XEK214" s="9"/>
      <c r="XEL214" s="9"/>
      <c r="XEM214" s="9"/>
      <c r="XEN214" s="9"/>
      <c r="XEO214" s="9"/>
      <c r="XEP214" s="9"/>
      <c r="XEQ214" s="9"/>
      <c r="XER214" s="9"/>
      <c r="XES214" s="9"/>
      <c r="XET214" s="9"/>
      <c r="XEU214" s="9"/>
      <c r="XEV214" s="9"/>
      <c r="XEW214" s="9"/>
      <c r="XEX214" s="9"/>
      <c r="XEY214" s="9"/>
      <c r="XEZ214" s="9"/>
      <c r="XFA214" s="9"/>
      <c r="XFB214" s="9"/>
      <c r="XFC214" s="9"/>
      <c r="XFD214" s="9"/>
    </row>
    <row r="215" spans="1:8 16325:16384" s="3" customFormat="1" ht="19.95" customHeight="1">
      <c r="A215" s="6" t="str">
        <f t="shared" si="7"/>
        <v>040008</v>
      </c>
      <c r="B215" s="6" t="s">
        <v>18</v>
      </c>
      <c r="C215" s="6" t="s">
        <v>17</v>
      </c>
      <c r="D215" s="6" t="str">
        <f>"512421219"</f>
        <v>512421219</v>
      </c>
      <c r="E215" s="7">
        <v>84</v>
      </c>
      <c r="F215" s="7">
        <v>73.5</v>
      </c>
      <c r="G215" s="7"/>
      <c r="H215" s="7">
        <v>79.8</v>
      </c>
      <c r="XCW215" s="9"/>
      <c r="XCX215" s="9"/>
      <c r="XCY215" s="9"/>
      <c r="XCZ215" s="9"/>
      <c r="XDA215" s="9"/>
      <c r="XDB215" s="9"/>
      <c r="XDC215" s="9"/>
      <c r="XDD215" s="9"/>
      <c r="XDE215" s="9"/>
      <c r="XDF215" s="9"/>
      <c r="XDG215" s="9"/>
      <c r="XDH215" s="9"/>
      <c r="XDI215" s="9"/>
      <c r="XDJ215" s="9"/>
      <c r="XDK215" s="9"/>
      <c r="XDL215" s="9"/>
      <c r="XDM215" s="9"/>
      <c r="XDN215" s="9"/>
      <c r="XDO215" s="9"/>
      <c r="XDP215" s="9"/>
      <c r="XDQ215" s="9"/>
      <c r="XDR215" s="9"/>
      <c r="XDS215" s="9"/>
      <c r="XDT215" s="9"/>
      <c r="XDU215" s="9"/>
      <c r="XDV215" s="9"/>
      <c r="XDW215" s="9"/>
      <c r="XDX215" s="9"/>
      <c r="XDY215" s="9"/>
      <c r="XDZ215" s="9"/>
      <c r="XEA215" s="9"/>
      <c r="XEB215" s="9"/>
      <c r="XEC215" s="9"/>
      <c r="XED215" s="9"/>
      <c r="XEE215" s="9"/>
      <c r="XEF215" s="9"/>
      <c r="XEG215" s="9"/>
      <c r="XEH215" s="9"/>
      <c r="XEI215" s="9"/>
      <c r="XEJ215" s="9"/>
      <c r="XEK215" s="9"/>
      <c r="XEL215" s="9"/>
      <c r="XEM215" s="9"/>
      <c r="XEN215" s="9"/>
      <c r="XEO215" s="9"/>
      <c r="XEP215" s="9"/>
      <c r="XEQ215" s="9"/>
      <c r="XER215" s="9"/>
      <c r="XES215" s="9"/>
      <c r="XET215" s="9"/>
      <c r="XEU215" s="9"/>
      <c r="XEV215" s="9"/>
      <c r="XEW215" s="9"/>
      <c r="XEX215" s="9"/>
      <c r="XEY215" s="9"/>
      <c r="XEZ215" s="9"/>
      <c r="XFA215" s="9"/>
      <c r="XFB215" s="9"/>
      <c r="XFC215" s="9"/>
      <c r="XFD215" s="9"/>
    </row>
    <row r="216" spans="1:8 16325:16384" s="3" customFormat="1" ht="19.95" customHeight="1">
      <c r="A216" s="6" t="str">
        <f t="shared" si="7"/>
        <v>040008</v>
      </c>
      <c r="B216" s="6" t="s">
        <v>18</v>
      </c>
      <c r="C216" s="6" t="s">
        <v>17</v>
      </c>
      <c r="D216" s="6" t="str">
        <f>"512421216"</f>
        <v>512421216</v>
      </c>
      <c r="E216" s="7">
        <v>93</v>
      </c>
      <c r="F216" s="7">
        <v>84</v>
      </c>
      <c r="G216" s="7"/>
      <c r="H216" s="7">
        <v>89.4</v>
      </c>
      <c r="XCW216" s="9"/>
      <c r="XCX216" s="9"/>
      <c r="XCY216" s="9"/>
      <c r="XCZ216" s="9"/>
      <c r="XDA216" s="9"/>
      <c r="XDB216" s="9"/>
      <c r="XDC216" s="9"/>
      <c r="XDD216" s="9"/>
      <c r="XDE216" s="9"/>
      <c r="XDF216" s="9"/>
      <c r="XDG216" s="9"/>
      <c r="XDH216" s="9"/>
      <c r="XDI216" s="9"/>
      <c r="XDJ216" s="9"/>
      <c r="XDK216" s="9"/>
      <c r="XDL216" s="9"/>
      <c r="XDM216" s="9"/>
      <c r="XDN216" s="9"/>
      <c r="XDO216" s="9"/>
      <c r="XDP216" s="9"/>
      <c r="XDQ216" s="9"/>
      <c r="XDR216" s="9"/>
      <c r="XDS216" s="9"/>
      <c r="XDT216" s="9"/>
      <c r="XDU216" s="9"/>
      <c r="XDV216" s="9"/>
      <c r="XDW216" s="9"/>
      <c r="XDX216" s="9"/>
      <c r="XDY216" s="9"/>
      <c r="XDZ216" s="9"/>
      <c r="XEA216" s="9"/>
      <c r="XEB216" s="9"/>
      <c r="XEC216" s="9"/>
      <c r="XED216" s="9"/>
      <c r="XEE216" s="9"/>
      <c r="XEF216" s="9"/>
      <c r="XEG216" s="9"/>
      <c r="XEH216" s="9"/>
      <c r="XEI216" s="9"/>
      <c r="XEJ216" s="9"/>
      <c r="XEK216" s="9"/>
      <c r="XEL216" s="9"/>
      <c r="XEM216" s="9"/>
      <c r="XEN216" s="9"/>
      <c r="XEO216" s="9"/>
      <c r="XEP216" s="9"/>
      <c r="XEQ216" s="9"/>
      <c r="XER216" s="9"/>
      <c r="XES216" s="9"/>
      <c r="XET216" s="9"/>
      <c r="XEU216" s="9"/>
      <c r="XEV216" s="9"/>
      <c r="XEW216" s="9"/>
      <c r="XEX216" s="9"/>
      <c r="XEY216" s="9"/>
      <c r="XEZ216" s="9"/>
      <c r="XFA216" s="9"/>
      <c r="XFB216" s="9"/>
      <c r="XFC216" s="9"/>
      <c r="XFD216" s="9"/>
    </row>
    <row r="217" spans="1:8 16325:16384" s="3" customFormat="1" ht="19.95" customHeight="1">
      <c r="A217" s="6" t="str">
        <f t="shared" si="7"/>
        <v>040008</v>
      </c>
      <c r="B217" s="6" t="s">
        <v>18</v>
      </c>
      <c r="C217" s="6" t="s">
        <v>17</v>
      </c>
      <c r="D217" s="6" t="str">
        <f>"512421213"</f>
        <v>512421213</v>
      </c>
      <c r="E217" s="7">
        <v>94.5</v>
      </c>
      <c r="F217" s="7">
        <v>90</v>
      </c>
      <c r="G217" s="7"/>
      <c r="H217" s="7">
        <v>92.7</v>
      </c>
      <c r="XCW217" s="9"/>
      <c r="XCX217" s="9"/>
      <c r="XCY217" s="9"/>
      <c r="XCZ217" s="9"/>
      <c r="XDA217" s="9"/>
      <c r="XDB217" s="9"/>
      <c r="XDC217" s="9"/>
      <c r="XDD217" s="9"/>
      <c r="XDE217" s="9"/>
      <c r="XDF217" s="9"/>
      <c r="XDG217" s="9"/>
      <c r="XDH217" s="9"/>
      <c r="XDI217" s="9"/>
      <c r="XDJ217" s="9"/>
      <c r="XDK217" s="9"/>
      <c r="XDL217" s="9"/>
      <c r="XDM217" s="9"/>
      <c r="XDN217" s="9"/>
      <c r="XDO217" s="9"/>
      <c r="XDP217" s="9"/>
      <c r="XDQ217" s="9"/>
      <c r="XDR217" s="9"/>
      <c r="XDS217" s="9"/>
      <c r="XDT217" s="9"/>
      <c r="XDU217" s="9"/>
      <c r="XDV217" s="9"/>
      <c r="XDW217" s="9"/>
      <c r="XDX217" s="9"/>
      <c r="XDY217" s="9"/>
      <c r="XDZ217" s="9"/>
      <c r="XEA217" s="9"/>
      <c r="XEB217" s="9"/>
      <c r="XEC217" s="9"/>
      <c r="XED217" s="9"/>
      <c r="XEE217" s="9"/>
      <c r="XEF217" s="9"/>
      <c r="XEG217" s="9"/>
      <c r="XEH217" s="9"/>
      <c r="XEI217" s="9"/>
      <c r="XEJ217" s="9"/>
      <c r="XEK217" s="9"/>
      <c r="XEL217" s="9"/>
      <c r="XEM217" s="9"/>
      <c r="XEN217" s="9"/>
      <c r="XEO217" s="9"/>
      <c r="XEP217" s="9"/>
      <c r="XEQ217" s="9"/>
      <c r="XER217" s="9"/>
      <c r="XES217" s="9"/>
      <c r="XET217" s="9"/>
      <c r="XEU217" s="9"/>
      <c r="XEV217" s="9"/>
      <c r="XEW217" s="9"/>
      <c r="XEX217" s="9"/>
      <c r="XEY217" s="9"/>
      <c r="XEZ217" s="9"/>
      <c r="XFA217" s="9"/>
      <c r="XFB217" s="9"/>
      <c r="XFC217" s="9"/>
      <c r="XFD217" s="9"/>
    </row>
    <row r="218" spans="1:8 16325:16384" s="3" customFormat="1" ht="19.95" customHeight="1">
      <c r="A218" s="6" t="str">
        <f t="shared" si="7"/>
        <v>040008</v>
      </c>
      <c r="B218" s="6" t="s">
        <v>18</v>
      </c>
      <c r="C218" s="6" t="s">
        <v>17</v>
      </c>
      <c r="D218" s="6" t="str">
        <f>"512421215"</f>
        <v>512421215</v>
      </c>
      <c r="E218" s="7">
        <v>90</v>
      </c>
      <c r="F218" s="7">
        <v>80.5</v>
      </c>
      <c r="G218" s="7"/>
      <c r="H218" s="7">
        <v>86.2</v>
      </c>
      <c r="XCW218" s="9"/>
      <c r="XCX218" s="9"/>
      <c r="XCY218" s="9"/>
      <c r="XCZ218" s="9"/>
      <c r="XDA218" s="9"/>
      <c r="XDB218" s="9"/>
      <c r="XDC218" s="9"/>
      <c r="XDD218" s="9"/>
      <c r="XDE218" s="9"/>
      <c r="XDF218" s="9"/>
      <c r="XDG218" s="9"/>
      <c r="XDH218" s="9"/>
      <c r="XDI218" s="9"/>
      <c r="XDJ218" s="9"/>
      <c r="XDK218" s="9"/>
      <c r="XDL218" s="9"/>
      <c r="XDM218" s="9"/>
      <c r="XDN218" s="9"/>
      <c r="XDO218" s="9"/>
      <c r="XDP218" s="9"/>
      <c r="XDQ218" s="9"/>
      <c r="XDR218" s="9"/>
      <c r="XDS218" s="9"/>
      <c r="XDT218" s="9"/>
      <c r="XDU218" s="9"/>
      <c r="XDV218" s="9"/>
      <c r="XDW218" s="9"/>
      <c r="XDX218" s="9"/>
      <c r="XDY218" s="9"/>
      <c r="XDZ218" s="9"/>
      <c r="XEA218" s="9"/>
      <c r="XEB218" s="9"/>
      <c r="XEC218" s="9"/>
      <c r="XED218" s="9"/>
      <c r="XEE218" s="9"/>
      <c r="XEF218" s="9"/>
      <c r="XEG218" s="9"/>
      <c r="XEH218" s="9"/>
      <c r="XEI218" s="9"/>
      <c r="XEJ218" s="9"/>
      <c r="XEK218" s="9"/>
      <c r="XEL218" s="9"/>
      <c r="XEM218" s="9"/>
      <c r="XEN218" s="9"/>
      <c r="XEO218" s="9"/>
      <c r="XEP218" s="9"/>
      <c r="XEQ218" s="9"/>
      <c r="XER218" s="9"/>
      <c r="XES218" s="9"/>
      <c r="XET218" s="9"/>
      <c r="XEU218" s="9"/>
      <c r="XEV218" s="9"/>
      <c r="XEW218" s="9"/>
      <c r="XEX218" s="9"/>
      <c r="XEY218" s="9"/>
      <c r="XEZ218" s="9"/>
      <c r="XFA218" s="9"/>
      <c r="XFB218" s="9"/>
      <c r="XFC218" s="9"/>
      <c r="XFD218" s="9"/>
    </row>
    <row r="219" spans="1:8 16325:16384" s="3" customFormat="1" ht="19.95" customHeight="1">
      <c r="A219" s="6" t="str">
        <f t="shared" si="7"/>
        <v>040008</v>
      </c>
      <c r="B219" s="6" t="s">
        <v>18</v>
      </c>
      <c r="C219" s="6" t="s">
        <v>17</v>
      </c>
      <c r="D219" s="6" t="str">
        <f>"512421218"</f>
        <v>512421218</v>
      </c>
      <c r="E219" s="7">
        <v>0</v>
      </c>
      <c r="F219" s="7">
        <v>0</v>
      </c>
      <c r="G219" s="7"/>
      <c r="H219" s="7">
        <v>0</v>
      </c>
      <c r="XCW219" s="9"/>
      <c r="XCX219" s="9"/>
      <c r="XCY219" s="9"/>
      <c r="XCZ219" s="9"/>
      <c r="XDA219" s="9"/>
      <c r="XDB219" s="9"/>
      <c r="XDC219" s="9"/>
      <c r="XDD219" s="9"/>
      <c r="XDE219" s="9"/>
      <c r="XDF219" s="9"/>
      <c r="XDG219" s="9"/>
      <c r="XDH219" s="9"/>
      <c r="XDI219" s="9"/>
      <c r="XDJ219" s="9"/>
      <c r="XDK219" s="9"/>
      <c r="XDL219" s="9"/>
      <c r="XDM219" s="9"/>
      <c r="XDN219" s="9"/>
      <c r="XDO219" s="9"/>
      <c r="XDP219" s="9"/>
      <c r="XDQ219" s="9"/>
      <c r="XDR219" s="9"/>
      <c r="XDS219" s="9"/>
      <c r="XDT219" s="9"/>
      <c r="XDU219" s="9"/>
      <c r="XDV219" s="9"/>
      <c r="XDW219" s="9"/>
      <c r="XDX219" s="9"/>
      <c r="XDY219" s="9"/>
      <c r="XDZ219" s="9"/>
      <c r="XEA219" s="9"/>
      <c r="XEB219" s="9"/>
      <c r="XEC219" s="9"/>
      <c r="XED219" s="9"/>
      <c r="XEE219" s="9"/>
      <c r="XEF219" s="9"/>
      <c r="XEG219" s="9"/>
      <c r="XEH219" s="9"/>
      <c r="XEI219" s="9"/>
      <c r="XEJ219" s="9"/>
      <c r="XEK219" s="9"/>
      <c r="XEL219" s="9"/>
      <c r="XEM219" s="9"/>
      <c r="XEN219" s="9"/>
      <c r="XEO219" s="9"/>
      <c r="XEP219" s="9"/>
      <c r="XEQ219" s="9"/>
      <c r="XER219" s="9"/>
      <c r="XES219" s="9"/>
      <c r="XET219" s="9"/>
      <c r="XEU219" s="9"/>
      <c r="XEV219" s="9"/>
      <c r="XEW219" s="9"/>
      <c r="XEX219" s="9"/>
      <c r="XEY219" s="9"/>
      <c r="XEZ219" s="9"/>
      <c r="XFA219" s="9"/>
      <c r="XFB219" s="9"/>
      <c r="XFC219" s="9"/>
      <c r="XFD219" s="9"/>
    </row>
    <row r="220" spans="1:8 16325:16384" s="3" customFormat="1" ht="19.95" customHeight="1">
      <c r="A220" s="6" t="str">
        <f t="shared" si="7"/>
        <v>040008</v>
      </c>
      <c r="B220" s="6" t="s">
        <v>18</v>
      </c>
      <c r="C220" s="6" t="s">
        <v>17</v>
      </c>
      <c r="D220" s="6" t="str">
        <f>"512421220"</f>
        <v>512421220</v>
      </c>
      <c r="E220" s="7">
        <v>85</v>
      </c>
      <c r="F220" s="7">
        <v>79</v>
      </c>
      <c r="G220" s="7"/>
      <c r="H220" s="7">
        <v>82.6</v>
      </c>
      <c r="XCW220" s="9"/>
      <c r="XCX220" s="9"/>
      <c r="XCY220" s="9"/>
      <c r="XCZ220" s="9"/>
      <c r="XDA220" s="9"/>
      <c r="XDB220" s="9"/>
      <c r="XDC220" s="9"/>
      <c r="XDD220" s="9"/>
      <c r="XDE220" s="9"/>
      <c r="XDF220" s="9"/>
      <c r="XDG220" s="9"/>
      <c r="XDH220" s="9"/>
      <c r="XDI220" s="9"/>
      <c r="XDJ220" s="9"/>
      <c r="XDK220" s="9"/>
      <c r="XDL220" s="9"/>
      <c r="XDM220" s="9"/>
      <c r="XDN220" s="9"/>
      <c r="XDO220" s="9"/>
      <c r="XDP220" s="9"/>
      <c r="XDQ220" s="9"/>
      <c r="XDR220" s="9"/>
      <c r="XDS220" s="9"/>
      <c r="XDT220" s="9"/>
      <c r="XDU220" s="9"/>
      <c r="XDV220" s="9"/>
      <c r="XDW220" s="9"/>
      <c r="XDX220" s="9"/>
      <c r="XDY220" s="9"/>
      <c r="XDZ220" s="9"/>
      <c r="XEA220" s="9"/>
      <c r="XEB220" s="9"/>
      <c r="XEC220" s="9"/>
      <c r="XED220" s="9"/>
      <c r="XEE220" s="9"/>
      <c r="XEF220" s="9"/>
      <c r="XEG220" s="9"/>
      <c r="XEH220" s="9"/>
      <c r="XEI220" s="9"/>
      <c r="XEJ220" s="9"/>
      <c r="XEK220" s="9"/>
      <c r="XEL220" s="9"/>
      <c r="XEM220" s="9"/>
      <c r="XEN220" s="9"/>
      <c r="XEO220" s="9"/>
      <c r="XEP220" s="9"/>
      <c r="XEQ220" s="9"/>
      <c r="XER220" s="9"/>
      <c r="XES220" s="9"/>
      <c r="XET220" s="9"/>
      <c r="XEU220" s="9"/>
      <c r="XEV220" s="9"/>
      <c r="XEW220" s="9"/>
      <c r="XEX220" s="9"/>
      <c r="XEY220" s="9"/>
      <c r="XEZ220" s="9"/>
      <c r="XFA220" s="9"/>
      <c r="XFB220" s="9"/>
      <c r="XFC220" s="9"/>
      <c r="XFD220" s="9"/>
    </row>
    <row r="221" spans="1:8 16325:16384" s="3" customFormat="1" ht="19.95" customHeight="1">
      <c r="A221" s="6" t="str">
        <f t="shared" ref="A221:A230" si="8">"040009"</f>
        <v>040009</v>
      </c>
      <c r="B221" s="6" t="s">
        <v>19</v>
      </c>
      <c r="C221" s="6" t="s">
        <v>17</v>
      </c>
      <c r="D221" s="6" t="str">
        <f>"512732505"</f>
        <v>512732505</v>
      </c>
      <c r="E221" s="7">
        <v>77.5</v>
      </c>
      <c r="F221" s="7">
        <v>62.5</v>
      </c>
      <c r="G221" s="7"/>
      <c r="H221" s="7">
        <v>71.5</v>
      </c>
      <c r="XCW221" s="9"/>
      <c r="XCX221" s="9"/>
      <c r="XCY221" s="9"/>
      <c r="XCZ221" s="9"/>
      <c r="XDA221" s="9"/>
      <c r="XDB221" s="9"/>
      <c r="XDC221" s="9"/>
      <c r="XDD221" s="9"/>
      <c r="XDE221" s="9"/>
      <c r="XDF221" s="9"/>
      <c r="XDG221" s="9"/>
      <c r="XDH221" s="9"/>
      <c r="XDI221" s="9"/>
      <c r="XDJ221" s="9"/>
      <c r="XDK221" s="9"/>
      <c r="XDL221" s="9"/>
      <c r="XDM221" s="9"/>
      <c r="XDN221" s="9"/>
      <c r="XDO221" s="9"/>
      <c r="XDP221" s="9"/>
      <c r="XDQ221" s="9"/>
      <c r="XDR221" s="9"/>
      <c r="XDS221" s="9"/>
      <c r="XDT221" s="9"/>
      <c r="XDU221" s="9"/>
      <c r="XDV221" s="9"/>
      <c r="XDW221" s="9"/>
      <c r="XDX221" s="9"/>
      <c r="XDY221" s="9"/>
      <c r="XDZ221" s="9"/>
      <c r="XEA221" s="9"/>
      <c r="XEB221" s="9"/>
      <c r="XEC221" s="9"/>
      <c r="XED221" s="9"/>
      <c r="XEE221" s="9"/>
      <c r="XEF221" s="9"/>
      <c r="XEG221" s="9"/>
      <c r="XEH221" s="9"/>
      <c r="XEI221" s="9"/>
      <c r="XEJ221" s="9"/>
      <c r="XEK221" s="9"/>
      <c r="XEL221" s="9"/>
      <c r="XEM221" s="9"/>
      <c r="XEN221" s="9"/>
      <c r="XEO221" s="9"/>
      <c r="XEP221" s="9"/>
      <c r="XEQ221" s="9"/>
      <c r="XER221" s="9"/>
      <c r="XES221" s="9"/>
      <c r="XET221" s="9"/>
      <c r="XEU221" s="9"/>
      <c r="XEV221" s="9"/>
      <c r="XEW221" s="9"/>
      <c r="XEX221" s="9"/>
      <c r="XEY221" s="9"/>
      <c r="XEZ221" s="9"/>
      <c r="XFA221" s="9"/>
      <c r="XFB221" s="9"/>
      <c r="XFC221" s="9"/>
      <c r="XFD221" s="9"/>
    </row>
    <row r="222" spans="1:8 16325:16384" s="3" customFormat="1" ht="19.95" customHeight="1">
      <c r="A222" s="6" t="str">
        <f t="shared" si="8"/>
        <v>040009</v>
      </c>
      <c r="B222" s="6" t="s">
        <v>19</v>
      </c>
      <c r="C222" s="6" t="s">
        <v>17</v>
      </c>
      <c r="D222" s="6" t="str">
        <f>"512732428"</f>
        <v>512732428</v>
      </c>
      <c r="E222" s="7">
        <v>96</v>
      </c>
      <c r="F222" s="7">
        <v>71</v>
      </c>
      <c r="G222" s="7"/>
      <c r="H222" s="7">
        <v>86</v>
      </c>
      <c r="XCW222" s="9"/>
      <c r="XCX222" s="9"/>
      <c r="XCY222" s="9"/>
      <c r="XCZ222" s="9"/>
      <c r="XDA222" s="9"/>
      <c r="XDB222" s="9"/>
      <c r="XDC222" s="9"/>
      <c r="XDD222" s="9"/>
      <c r="XDE222" s="9"/>
      <c r="XDF222" s="9"/>
      <c r="XDG222" s="9"/>
      <c r="XDH222" s="9"/>
      <c r="XDI222" s="9"/>
      <c r="XDJ222" s="9"/>
      <c r="XDK222" s="9"/>
      <c r="XDL222" s="9"/>
      <c r="XDM222" s="9"/>
      <c r="XDN222" s="9"/>
      <c r="XDO222" s="9"/>
      <c r="XDP222" s="9"/>
      <c r="XDQ222" s="9"/>
      <c r="XDR222" s="9"/>
      <c r="XDS222" s="9"/>
      <c r="XDT222" s="9"/>
      <c r="XDU222" s="9"/>
      <c r="XDV222" s="9"/>
      <c r="XDW222" s="9"/>
      <c r="XDX222" s="9"/>
      <c r="XDY222" s="9"/>
      <c r="XDZ222" s="9"/>
      <c r="XEA222" s="9"/>
      <c r="XEB222" s="9"/>
      <c r="XEC222" s="9"/>
      <c r="XED222" s="9"/>
      <c r="XEE222" s="9"/>
      <c r="XEF222" s="9"/>
      <c r="XEG222" s="9"/>
      <c r="XEH222" s="9"/>
      <c r="XEI222" s="9"/>
      <c r="XEJ222" s="9"/>
      <c r="XEK222" s="9"/>
      <c r="XEL222" s="9"/>
      <c r="XEM222" s="9"/>
      <c r="XEN222" s="9"/>
      <c r="XEO222" s="9"/>
      <c r="XEP222" s="9"/>
      <c r="XEQ222" s="9"/>
      <c r="XER222" s="9"/>
      <c r="XES222" s="9"/>
      <c r="XET222" s="9"/>
      <c r="XEU222" s="9"/>
      <c r="XEV222" s="9"/>
      <c r="XEW222" s="9"/>
      <c r="XEX222" s="9"/>
      <c r="XEY222" s="9"/>
      <c r="XEZ222" s="9"/>
      <c r="XFA222" s="9"/>
      <c r="XFB222" s="9"/>
      <c r="XFC222" s="9"/>
      <c r="XFD222" s="9"/>
    </row>
    <row r="223" spans="1:8 16325:16384" s="3" customFormat="1" ht="19.95" customHeight="1">
      <c r="A223" s="6" t="str">
        <f t="shared" si="8"/>
        <v>040009</v>
      </c>
      <c r="B223" s="6" t="s">
        <v>19</v>
      </c>
      <c r="C223" s="6" t="s">
        <v>17</v>
      </c>
      <c r="D223" s="6" t="str">
        <f>"512732429"</f>
        <v>512732429</v>
      </c>
      <c r="E223" s="7">
        <v>78</v>
      </c>
      <c r="F223" s="7">
        <v>70.5</v>
      </c>
      <c r="G223" s="7"/>
      <c r="H223" s="7">
        <v>75</v>
      </c>
      <c r="XCW223" s="9"/>
      <c r="XCX223" s="9"/>
      <c r="XCY223" s="9"/>
      <c r="XCZ223" s="9"/>
      <c r="XDA223" s="9"/>
      <c r="XDB223" s="9"/>
      <c r="XDC223" s="9"/>
      <c r="XDD223" s="9"/>
      <c r="XDE223" s="9"/>
      <c r="XDF223" s="9"/>
      <c r="XDG223" s="9"/>
      <c r="XDH223" s="9"/>
      <c r="XDI223" s="9"/>
      <c r="XDJ223" s="9"/>
      <c r="XDK223" s="9"/>
      <c r="XDL223" s="9"/>
      <c r="XDM223" s="9"/>
      <c r="XDN223" s="9"/>
      <c r="XDO223" s="9"/>
      <c r="XDP223" s="9"/>
      <c r="XDQ223" s="9"/>
      <c r="XDR223" s="9"/>
      <c r="XDS223" s="9"/>
      <c r="XDT223" s="9"/>
      <c r="XDU223" s="9"/>
      <c r="XDV223" s="9"/>
      <c r="XDW223" s="9"/>
      <c r="XDX223" s="9"/>
      <c r="XDY223" s="9"/>
      <c r="XDZ223" s="9"/>
      <c r="XEA223" s="9"/>
      <c r="XEB223" s="9"/>
      <c r="XEC223" s="9"/>
      <c r="XED223" s="9"/>
      <c r="XEE223" s="9"/>
      <c r="XEF223" s="9"/>
      <c r="XEG223" s="9"/>
      <c r="XEH223" s="9"/>
      <c r="XEI223" s="9"/>
      <c r="XEJ223" s="9"/>
      <c r="XEK223" s="9"/>
      <c r="XEL223" s="9"/>
      <c r="XEM223" s="9"/>
      <c r="XEN223" s="9"/>
      <c r="XEO223" s="9"/>
      <c r="XEP223" s="9"/>
      <c r="XEQ223" s="9"/>
      <c r="XER223" s="9"/>
      <c r="XES223" s="9"/>
      <c r="XET223" s="9"/>
      <c r="XEU223" s="9"/>
      <c r="XEV223" s="9"/>
      <c r="XEW223" s="9"/>
      <c r="XEX223" s="9"/>
      <c r="XEY223" s="9"/>
      <c r="XEZ223" s="9"/>
      <c r="XFA223" s="9"/>
      <c r="XFB223" s="9"/>
      <c r="XFC223" s="9"/>
      <c r="XFD223" s="9"/>
    </row>
    <row r="224" spans="1:8 16325:16384" s="3" customFormat="1" ht="19.95" customHeight="1">
      <c r="A224" s="6" t="str">
        <f t="shared" si="8"/>
        <v>040009</v>
      </c>
      <c r="B224" s="6" t="s">
        <v>19</v>
      </c>
      <c r="C224" s="6" t="s">
        <v>17</v>
      </c>
      <c r="D224" s="6" t="str">
        <f>"512732507"</f>
        <v>512732507</v>
      </c>
      <c r="E224" s="7">
        <v>88.5</v>
      </c>
      <c r="F224" s="7">
        <v>68</v>
      </c>
      <c r="G224" s="7"/>
      <c r="H224" s="7">
        <v>80.3</v>
      </c>
      <c r="XCW224" s="9"/>
      <c r="XCX224" s="9"/>
      <c r="XCY224" s="9"/>
      <c r="XCZ224" s="9"/>
      <c r="XDA224" s="9"/>
      <c r="XDB224" s="9"/>
      <c r="XDC224" s="9"/>
      <c r="XDD224" s="9"/>
      <c r="XDE224" s="9"/>
      <c r="XDF224" s="9"/>
      <c r="XDG224" s="9"/>
      <c r="XDH224" s="9"/>
      <c r="XDI224" s="9"/>
      <c r="XDJ224" s="9"/>
      <c r="XDK224" s="9"/>
      <c r="XDL224" s="9"/>
      <c r="XDM224" s="9"/>
      <c r="XDN224" s="9"/>
      <c r="XDO224" s="9"/>
      <c r="XDP224" s="9"/>
      <c r="XDQ224" s="9"/>
      <c r="XDR224" s="9"/>
      <c r="XDS224" s="9"/>
      <c r="XDT224" s="9"/>
      <c r="XDU224" s="9"/>
      <c r="XDV224" s="9"/>
      <c r="XDW224" s="9"/>
      <c r="XDX224" s="9"/>
      <c r="XDY224" s="9"/>
      <c r="XDZ224" s="9"/>
      <c r="XEA224" s="9"/>
      <c r="XEB224" s="9"/>
      <c r="XEC224" s="9"/>
      <c r="XED224" s="9"/>
      <c r="XEE224" s="9"/>
      <c r="XEF224" s="9"/>
      <c r="XEG224" s="9"/>
      <c r="XEH224" s="9"/>
      <c r="XEI224" s="9"/>
      <c r="XEJ224" s="9"/>
      <c r="XEK224" s="9"/>
      <c r="XEL224" s="9"/>
      <c r="XEM224" s="9"/>
      <c r="XEN224" s="9"/>
      <c r="XEO224" s="9"/>
      <c r="XEP224" s="9"/>
      <c r="XEQ224" s="9"/>
      <c r="XER224" s="9"/>
      <c r="XES224" s="9"/>
      <c r="XET224" s="9"/>
      <c r="XEU224" s="9"/>
      <c r="XEV224" s="9"/>
      <c r="XEW224" s="9"/>
      <c r="XEX224" s="9"/>
      <c r="XEY224" s="9"/>
      <c r="XEZ224" s="9"/>
      <c r="XFA224" s="9"/>
      <c r="XFB224" s="9"/>
      <c r="XFC224" s="9"/>
      <c r="XFD224" s="9"/>
    </row>
    <row r="225" spans="1:8 16325:16384" s="3" customFormat="1" ht="19.95" customHeight="1">
      <c r="A225" s="6" t="str">
        <f t="shared" si="8"/>
        <v>040009</v>
      </c>
      <c r="B225" s="6" t="s">
        <v>19</v>
      </c>
      <c r="C225" s="6" t="s">
        <v>17</v>
      </c>
      <c r="D225" s="6" t="str">
        <f>"512732501"</f>
        <v>512732501</v>
      </c>
      <c r="E225" s="7">
        <v>81.5</v>
      </c>
      <c r="F225" s="7">
        <v>74.5</v>
      </c>
      <c r="G225" s="7"/>
      <c r="H225" s="7">
        <v>78.7</v>
      </c>
      <c r="XCW225" s="9"/>
      <c r="XCX225" s="9"/>
      <c r="XCY225" s="9"/>
      <c r="XCZ225" s="9"/>
      <c r="XDA225" s="9"/>
      <c r="XDB225" s="9"/>
      <c r="XDC225" s="9"/>
      <c r="XDD225" s="9"/>
      <c r="XDE225" s="9"/>
      <c r="XDF225" s="9"/>
      <c r="XDG225" s="9"/>
      <c r="XDH225" s="9"/>
      <c r="XDI225" s="9"/>
      <c r="XDJ225" s="9"/>
      <c r="XDK225" s="9"/>
      <c r="XDL225" s="9"/>
      <c r="XDM225" s="9"/>
      <c r="XDN225" s="9"/>
      <c r="XDO225" s="9"/>
      <c r="XDP225" s="9"/>
      <c r="XDQ225" s="9"/>
      <c r="XDR225" s="9"/>
      <c r="XDS225" s="9"/>
      <c r="XDT225" s="9"/>
      <c r="XDU225" s="9"/>
      <c r="XDV225" s="9"/>
      <c r="XDW225" s="9"/>
      <c r="XDX225" s="9"/>
      <c r="XDY225" s="9"/>
      <c r="XDZ225" s="9"/>
      <c r="XEA225" s="9"/>
      <c r="XEB225" s="9"/>
      <c r="XEC225" s="9"/>
      <c r="XED225" s="9"/>
      <c r="XEE225" s="9"/>
      <c r="XEF225" s="9"/>
      <c r="XEG225" s="9"/>
      <c r="XEH225" s="9"/>
      <c r="XEI225" s="9"/>
      <c r="XEJ225" s="9"/>
      <c r="XEK225" s="9"/>
      <c r="XEL225" s="9"/>
      <c r="XEM225" s="9"/>
      <c r="XEN225" s="9"/>
      <c r="XEO225" s="9"/>
      <c r="XEP225" s="9"/>
      <c r="XEQ225" s="9"/>
      <c r="XER225" s="9"/>
      <c r="XES225" s="9"/>
      <c r="XET225" s="9"/>
      <c r="XEU225" s="9"/>
      <c r="XEV225" s="9"/>
      <c r="XEW225" s="9"/>
      <c r="XEX225" s="9"/>
      <c r="XEY225" s="9"/>
      <c r="XEZ225" s="9"/>
      <c r="XFA225" s="9"/>
      <c r="XFB225" s="9"/>
      <c r="XFC225" s="9"/>
      <c r="XFD225" s="9"/>
    </row>
    <row r="226" spans="1:8 16325:16384" s="3" customFormat="1" ht="19.95" customHeight="1">
      <c r="A226" s="6" t="str">
        <f t="shared" si="8"/>
        <v>040009</v>
      </c>
      <c r="B226" s="6" t="s">
        <v>19</v>
      </c>
      <c r="C226" s="6" t="s">
        <v>17</v>
      </c>
      <c r="D226" s="6" t="str">
        <f>"512732430"</f>
        <v>512732430</v>
      </c>
      <c r="E226" s="7">
        <v>0</v>
      </c>
      <c r="F226" s="7">
        <v>0</v>
      </c>
      <c r="G226" s="7"/>
      <c r="H226" s="7">
        <v>0</v>
      </c>
      <c r="XCW226" s="9"/>
      <c r="XCX226" s="9"/>
      <c r="XCY226" s="9"/>
      <c r="XCZ226" s="9"/>
      <c r="XDA226" s="9"/>
      <c r="XDB226" s="9"/>
      <c r="XDC226" s="9"/>
      <c r="XDD226" s="9"/>
      <c r="XDE226" s="9"/>
      <c r="XDF226" s="9"/>
      <c r="XDG226" s="9"/>
      <c r="XDH226" s="9"/>
      <c r="XDI226" s="9"/>
      <c r="XDJ226" s="9"/>
      <c r="XDK226" s="9"/>
      <c r="XDL226" s="9"/>
      <c r="XDM226" s="9"/>
      <c r="XDN226" s="9"/>
      <c r="XDO226" s="9"/>
      <c r="XDP226" s="9"/>
      <c r="XDQ226" s="9"/>
      <c r="XDR226" s="9"/>
      <c r="XDS226" s="9"/>
      <c r="XDT226" s="9"/>
      <c r="XDU226" s="9"/>
      <c r="XDV226" s="9"/>
      <c r="XDW226" s="9"/>
      <c r="XDX226" s="9"/>
      <c r="XDY226" s="9"/>
      <c r="XDZ226" s="9"/>
      <c r="XEA226" s="9"/>
      <c r="XEB226" s="9"/>
      <c r="XEC226" s="9"/>
      <c r="XED226" s="9"/>
      <c r="XEE226" s="9"/>
      <c r="XEF226" s="9"/>
      <c r="XEG226" s="9"/>
      <c r="XEH226" s="9"/>
      <c r="XEI226" s="9"/>
      <c r="XEJ226" s="9"/>
      <c r="XEK226" s="9"/>
      <c r="XEL226" s="9"/>
      <c r="XEM226" s="9"/>
      <c r="XEN226" s="9"/>
      <c r="XEO226" s="9"/>
      <c r="XEP226" s="9"/>
      <c r="XEQ226" s="9"/>
      <c r="XER226" s="9"/>
      <c r="XES226" s="9"/>
      <c r="XET226" s="9"/>
      <c r="XEU226" s="9"/>
      <c r="XEV226" s="9"/>
      <c r="XEW226" s="9"/>
      <c r="XEX226" s="9"/>
      <c r="XEY226" s="9"/>
      <c r="XEZ226" s="9"/>
      <c r="XFA226" s="9"/>
      <c r="XFB226" s="9"/>
      <c r="XFC226" s="9"/>
      <c r="XFD226" s="9"/>
    </row>
    <row r="227" spans="1:8 16325:16384" s="3" customFormat="1" ht="19.95" customHeight="1">
      <c r="A227" s="6" t="str">
        <f t="shared" si="8"/>
        <v>040009</v>
      </c>
      <c r="B227" s="6" t="s">
        <v>19</v>
      </c>
      <c r="C227" s="6" t="s">
        <v>17</v>
      </c>
      <c r="D227" s="6" t="str">
        <f>"512732504"</f>
        <v>512732504</v>
      </c>
      <c r="E227" s="7">
        <v>74</v>
      </c>
      <c r="F227" s="7">
        <v>78</v>
      </c>
      <c r="G227" s="7"/>
      <c r="H227" s="7">
        <v>75.599999999999994</v>
      </c>
      <c r="XCW227" s="9"/>
      <c r="XCX227" s="9"/>
      <c r="XCY227" s="9"/>
      <c r="XCZ227" s="9"/>
      <c r="XDA227" s="9"/>
      <c r="XDB227" s="9"/>
      <c r="XDC227" s="9"/>
      <c r="XDD227" s="9"/>
      <c r="XDE227" s="9"/>
      <c r="XDF227" s="9"/>
      <c r="XDG227" s="9"/>
      <c r="XDH227" s="9"/>
      <c r="XDI227" s="9"/>
      <c r="XDJ227" s="9"/>
      <c r="XDK227" s="9"/>
      <c r="XDL227" s="9"/>
      <c r="XDM227" s="9"/>
      <c r="XDN227" s="9"/>
      <c r="XDO227" s="9"/>
      <c r="XDP227" s="9"/>
      <c r="XDQ227" s="9"/>
      <c r="XDR227" s="9"/>
      <c r="XDS227" s="9"/>
      <c r="XDT227" s="9"/>
      <c r="XDU227" s="9"/>
      <c r="XDV227" s="9"/>
      <c r="XDW227" s="9"/>
      <c r="XDX227" s="9"/>
      <c r="XDY227" s="9"/>
      <c r="XDZ227" s="9"/>
      <c r="XEA227" s="9"/>
      <c r="XEB227" s="9"/>
      <c r="XEC227" s="9"/>
      <c r="XED227" s="9"/>
      <c r="XEE227" s="9"/>
      <c r="XEF227" s="9"/>
      <c r="XEG227" s="9"/>
      <c r="XEH227" s="9"/>
      <c r="XEI227" s="9"/>
      <c r="XEJ227" s="9"/>
      <c r="XEK227" s="9"/>
      <c r="XEL227" s="9"/>
      <c r="XEM227" s="9"/>
      <c r="XEN227" s="9"/>
      <c r="XEO227" s="9"/>
      <c r="XEP227" s="9"/>
      <c r="XEQ227" s="9"/>
      <c r="XER227" s="9"/>
      <c r="XES227" s="9"/>
      <c r="XET227" s="9"/>
      <c r="XEU227" s="9"/>
      <c r="XEV227" s="9"/>
      <c r="XEW227" s="9"/>
      <c r="XEX227" s="9"/>
      <c r="XEY227" s="9"/>
      <c r="XEZ227" s="9"/>
      <c r="XFA227" s="9"/>
      <c r="XFB227" s="9"/>
      <c r="XFC227" s="9"/>
      <c r="XFD227" s="9"/>
    </row>
    <row r="228" spans="1:8 16325:16384" s="3" customFormat="1" ht="19.95" customHeight="1">
      <c r="A228" s="6" t="str">
        <f t="shared" si="8"/>
        <v>040009</v>
      </c>
      <c r="B228" s="6" t="s">
        <v>19</v>
      </c>
      <c r="C228" s="6" t="s">
        <v>17</v>
      </c>
      <c r="D228" s="6" t="str">
        <f>"512732506"</f>
        <v>512732506</v>
      </c>
      <c r="E228" s="7">
        <v>88</v>
      </c>
      <c r="F228" s="7">
        <v>65</v>
      </c>
      <c r="G228" s="7"/>
      <c r="H228" s="7">
        <v>78.8</v>
      </c>
      <c r="XCW228" s="9"/>
      <c r="XCX228" s="9"/>
      <c r="XCY228" s="9"/>
      <c r="XCZ228" s="9"/>
      <c r="XDA228" s="9"/>
      <c r="XDB228" s="9"/>
      <c r="XDC228" s="9"/>
      <c r="XDD228" s="9"/>
      <c r="XDE228" s="9"/>
      <c r="XDF228" s="9"/>
      <c r="XDG228" s="9"/>
      <c r="XDH228" s="9"/>
      <c r="XDI228" s="9"/>
      <c r="XDJ228" s="9"/>
      <c r="XDK228" s="9"/>
      <c r="XDL228" s="9"/>
      <c r="XDM228" s="9"/>
      <c r="XDN228" s="9"/>
      <c r="XDO228" s="9"/>
      <c r="XDP228" s="9"/>
      <c r="XDQ228" s="9"/>
      <c r="XDR228" s="9"/>
      <c r="XDS228" s="9"/>
      <c r="XDT228" s="9"/>
      <c r="XDU228" s="9"/>
      <c r="XDV228" s="9"/>
      <c r="XDW228" s="9"/>
      <c r="XDX228" s="9"/>
      <c r="XDY228" s="9"/>
      <c r="XDZ228" s="9"/>
      <c r="XEA228" s="9"/>
      <c r="XEB228" s="9"/>
      <c r="XEC228" s="9"/>
      <c r="XED228" s="9"/>
      <c r="XEE228" s="9"/>
      <c r="XEF228" s="9"/>
      <c r="XEG228" s="9"/>
      <c r="XEH228" s="9"/>
      <c r="XEI228" s="9"/>
      <c r="XEJ228" s="9"/>
      <c r="XEK228" s="9"/>
      <c r="XEL228" s="9"/>
      <c r="XEM228" s="9"/>
      <c r="XEN228" s="9"/>
      <c r="XEO228" s="9"/>
      <c r="XEP228" s="9"/>
      <c r="XEQ228" s="9"/>
      <c r="XER228" s="9"/>
      <c r="XES228" s="9"/>
      <c r="XET228" s="9"/>
      <c r="XEU228" s="9"/>
      <c r="XEV228" s="9"/>
      <c r="XEW228" s="9"/>
      <c r="XEX228" s="9"/>
      <c r="XEY228" s="9"/>
      <c r="XEZ228" s="9"/>
      <c r="XFA228" s="9"/>
      <c r="XFB228" s="9"/>
      <c r="XFC228" s="9"/>
      <c r="XFD228" s="9"/>
    </row>
    <row r="229" spans="1:8 16325:16384" s="3" customFormat="1" ht="19.95" customHeight="1">
      <c r="A229" s="6" t="str">
        <f t="shared" si="8"/>
        <v>040009</v>
      </c>
      <c r="B229" s="6" t="s">
        <v>19</v>
      </c>
      <c r="C229" s="6" t="s">
        <v>17</v>
      </c>
      <c r="D229" s="6" t="str">
        <f>"512732502"</f>
        <v>512732502</v>
      </c>
      <c r="E229" s="7">
        <v>84.5</v>
      </c>
      <c r="F229" s="7">
        <v>58</v>
      </c>
      <c r="G229" s="7"/>
      <c r="H229" s="7">
        <v>73.900000000000006</v>
      </c>
      <c r="XCW229" s="9"/>
      <c r="XCX229" s="9"/>
      <c r="XCY229" s="9"/>
      <c r="XCZ229" s="9"/>
      <c r="XDA229" s="9"/>
      <c r="XDB229" s="9"/>
      <c r="XDC229" s="9"/>
      <c r="XDD229" s="9"/>
      <c r="XDE229" s="9"/>
      <c r="XDF229" s="9"/>
      <c r="XDG229" s="9"/>
      <c r="XDH229" s="9"/>
      <c r="XDI229" s="9"/>
      <c r="XDJ229" s="9"/>
      <c r="XDK229" s="9"/>
      <c r="XDL229" s="9"/>
      <c r="XDM229" s="9"/>
      <c r="XDN229" s="9"/>
      <c r="XDO229" s="9"/>
      <c r="XDP229" s="9"/>
      <c r="XDQ229" s="9"/>
      <c r="XDR229" s="9"/>
      <c r="XDS229" s="9"/>
      <c r="XDT229" s="9"/>
      <c r="XDU229" s="9"/>
      <c r="XDV229" s="9"/>
      <c r="XDW229" s="9"/>
      <c r="XDX229" s="9"/>
      <c r="XDY229" s="9"/>
      <c r="XDZ229" s="9"/>
      <c r="XEA229" s="9"/>
      <c r="XEB229" s="9"/>
      <c r="XEC229" s="9"/>
      <c r="XED229" s="9"/>
      <c r="XEE229" s="9"/>
      <c r="XEF229" s="9"/>
      <c r="XEG229" s="9"/>
      <c r="XEH229" s="9"/>
      <c r="XEI229" s="9"/>
      <c r="XEJ229" s="9"/>
      <c r="XEK229" s="9"/>
      <c r="XEL229" s="9"/>
      <c r="XEM229" s="9"/>
      <c r="XEN229" s="9"/>
      <c r="XEO229" s="9"/>
      <c r="XEP229" s="9"/>
      <c r="XEQ229" s="9"/>
      <c r="XER229" s="9"/>
      <c r="XES229" s="9"/>
      <c r="XET229" s="9"/>
      <c r="XEU229" s="9"/>
      <c r="XEV229" s="9"/>
      <c r="XEW229" s="9"/>
      <c r="XEX229" s="9"/>
      <c r="XEY229" s="9"/>
      <c r="XEZ229" s="9"/>
      <c r="XFA229" s="9"/>
      <c r="XFB229" s="9"/>
      <c r="XFC229" s="9"/>
      <c r="XFD229" s="9"/>
    </row>
    <row r="230" spans="1:8 16325:16384" s="3" customFormat="1" ht="19.95" customHeight="1">
      <c r="A230" s="6" t="str">
        <f t="shared" si="8"/>
        <v>040009</v>
      </c>
      <c r="B230" s="6" t="s">
        <v>19</v>
      </c>
      <c r="C230" s="6" t="s">
        <v>17</v>
      </c>
      <c r="D230" s="6" t="str">
        <f>"512732503"</f>
        <v>512732503</v>
      </c>
      <c r="E230" s="7">
        <v>95</v>
      </c>
      <c r="F230" s="7">
        <v>83</v>
      </c>
      <c r="G230" s="7"/>
      <c r="H230" s="7">
        <v>90.2</v>
      </c>
      <c r="XCW230" s="9"/>
      <c r="XCX230" s="9"/>
      <c r="XCY230" s="9"/>
      <c r="XCZ230" s="9"/>
      <c r="XDA230" s="9"/>
      <c r="XDB230" s="9"/>
      <c r="XDC230" s="9"/>
      <c r="XDD230" s="9"/>
      <c r="XDE230" s="9"/>
      <c r="XDF230" s="9"/>
      <c r="XDG230" s="9"/>
      <c r="XDH230" s="9"/>
      <c r="XDI230" s="9"/>
      <c r="XDJ230" s="9"/>
      <c r="XDK230" s="9"/>
      <c r="XDL230" s="9"/>
      <c r="XDM230" s="9"/>
      <c r="XDN230" s="9"/>
      <c r="XDO230" s="9"/>
      <c r="XDP230" s="9"/>
      <c r="XDQ230" s="9"/>
      <c r="XDR230" s="9"/>
      <c r="XDS230" s="9"/>
      <c r="XDT230" s="9"/>
      <c r="XDU230" s="9"/>
      <c r="XDV230" s="9"/>
      <c r="XDW230" s="9"/>
      <c r="XDX230" s="9"/>
      <c r="XDY230" s="9"/>
      <c r="XDZ230" s="9"/>
      <c r="XEA230" s="9"/>
      <c r="XEB230" s="9"/>
      <c r="XEC230" s="9"/>
      <c r="XED230" s="9"/>
      <c r="XEE230" s="9"/>
      <c r="XEF230" s="9"/>
      <c r="XEG230" s="9"/>
      <c r="XEH230" s="9"/>
      <c r="XEI230" s="9"/>
      <c r="XEJ230" s="9"/>
      <c r="XEK230" s="9"/>
      <c r="XEL230" s="9"/>
      <c r="XEM230" s="9"/>
      <c r="XEN230" s="9"/>
      <c r="XEO230" s="9"/>
      <c r="XEP230" s="9"/>
      <c r="XEQ230" s="9"/>
      <c r="XER230" s="9"/>
      <c r="XES230" s="9"/>
      <c r="XET230" s="9"/>
      <c r="XEU230" s="9"/>
      <c r="XEV230" s="9"/>
      <c r="XEW230" s="9"/>
      <c r="XEX230" s="9"/>
      <c r="XEY230" s="9"/>
      <c r="XEZ230" s="9"/>
      <c r="XFA230" s="9"/>
      <c r="XFB230" s="9"/>
      <c r="XFC230" s="9"/>
      <c r="XFD230" s="9"/>
    </row>
    <row r="231" spans="1:8 16325:16384" s="3" customFormat="1" ht="19.95" customHeight="1">
      <c r="A231" s="6" t="str">
        <f t="shared" ref="A231:A284" si="9">"040010"</f>
        <v>040010</v>
      </c>
      <c r="B231" s="6" t="s">
        <v>20</v>
      </c>
      <c r="C231" s="6" t="s">
        <v>17</v>
      </c>
      <c r="D231" s="6" t="str">
        <f>"512523226"</f>
        <v>512523226</v>
      </c>
      <c r="E231" s="7">
        <v>100.5</v>
      </c>
      <c r="F231" s="7">
        <v>98.5</v>
      </c>
      <c r="G231" s="7"/>
      <c r="H231" s="7">
        <v>99.7</v>
      </c>
      <c r="XCW231" s="9"/>
      <c r="XCX231" s="9"/>
      <c r="XCY231" s="9"/>
      <c r="XCZ231" s="9"/>
      <c r="XDA231" s="9"/>
      <c r="XDB231" s="9"/>
      <c r="XDC231" s="9"/>
      <c r="XDD231" s="9"/>
      <c r="XDE231" s="9"/>
      <c r="XDF231" s="9"/>
      <c r="XDG231" s="9"/>
      <c r="XDH231" s="9"/>
      <c r="XDI231" s="9"/>
      <c r="XDJ231" s="9"/>
      <c r="XDK231" s="9"/>
      <c r="XDL231" s="9"/>
      <c r="XDM231" s="9"/>
      <c r="XDN231" s="9"/>
      <c r="XDO231" s="9"/>
      <c r="XDP231" s="9"/>
      <c r="XDQ231" s="9"/>
      <c r="XDR231" s="9"/>
      <c r="XDS231" s="9"/>
      <c r="XDT231" s="9"/>
      <c r="XDU231" s="9"/>
      <c r="XDV231" s="9"/>
      <c r="XDW231" s="9"/>
      <c r="XDX231" s="9"/>
      <c r="XDY231" s="9"/>
      <c r="XDZ231" s="9"/>
      <c r="XEA231" s="9"/>
      <c r="XEB231" s="9"/>
      <c r="XEC231" s="9"/>
      <c r="XED231" s="9"/>
      <c r="XEE231" s="9"/>
      <c r="XEF231" s="9"/>
      <c r="XEG231" s="9"/>
      <c r="XEH231" s="9"/>
      <c r="XEI231" s="9"/>
      <c r="XEJ231" s="9"/>
      <c r="XEK231" s="9"/>
      <c r="XEL231" s="9"/>
      <c r="XEM231" s="9"/>
      <c r="XEN231" s="9"/>
      <c r="XEO231" s="9"/>
      <c r="XEP231" s="9"/>
      <c r="XEQ231" s="9"/>
      <c r="XER231" s="9"/>
      <c r="XES231" s="9"/>
      <c r="XET231" s="9"/>
      <c r="XEU231" s="9"/>
      <c r="XEV231" s="9"/>
      <c r="XEW231" s="9"/>
      <c r="XEX231" s="9"/>
      <c r="XEY231" s="9"/>
      <c r="XEZ231" s="9"/>
      <c r="XFA231" s="9"/>
      <c r="XFB231" s="9"/>
      <c r="XFC231" s="9"/>
      <c r="XFD231" s="9"/>
    </row>
    <row r="232" spans="1:8 16325:16384" s="3" customFormat="1" ht="19.95" customHeight="1">
      <c r="A232" s="6" t="str">
        <f t="shared" si="9"/>
        <v>040010</v>
      </c>
      <c r="B232" s="6" t="s">
        <v>20</v>
      </c>
      <c r="C232" s="6" t="s">
        <v>17</v>
      </c>
      <c r="D232" s="6" t="str">
        <f>"512523218"</f>
        <v>512523218</v>
      </c>
      <c r="E232" s="7">
        <v>89</v>
      </c>
      <c r="F232" s="7">
        <v>82</v>
      </c>
      <c r="G232" s="7"/>
      <c r="H232" s="7">
        <v>86.2</v>
      </c>
      <c r="XCW232" s="9"/>
      <c r="XCX232" s="9"/>
      <c r="XCY232" s="9"/>
      <c r="XCZ232" s="9"/>
      <c r="XDA232" s="9"/>
      <c r="XDB232" s="9"/>
      <c r="XDC232" s="9"/>
      <c r="XDD232" s="9"/>
      <c r="XDE232" s="9"/>
      <c r="XDF232" s="9"/>
      <c r="XDG232" s="9"/>
      <c r="XDH232" s="9"/>
      <c r="XDI232" s="9"/>
      <c r="XDJ232" s="9"/>
      <c r="XDK232" s="9"/>
      <c r="XDL232" s="9"/>
      <c r="XDM232" s="9"/>
      <c r="XDN232" s="9"/>
      <c r="XDO232" s="9"/>
      <c r="XDP232" s="9"/>
      <c r="XDQ232" s="9"/>
      <c r="XDR232" s="9"/>
      <c r="XDS232" s="9"/>
      <c r="XDT232" s="9"/>
      <c r="XDU232" s="9"/>
      <c r="XDV232" s="9"/>
      <c r="XDW232" s="9"/>
      <c r="XDX232" s="9"/>
      <c r="XDY232" s="9"/>
      <c r="XDZ232" s="9"/>
      <c r="XEA232" s="9"/>
      <c r="XEB232" s="9"/>
      <c r="XEC232" s="9"/>
      <c r="XED232" s="9"/>
      <c r="XEE232" s="9"/>
      <c r="XEF232" s="9"/>
      <c r="XEG232" s="9"/>
      <c r="XEH232" s="9"/>
      <c r="XEI232" s="9"/>
      <c r="XEJ232" s="9"/>
      <c r="XEK232" s="9"/>
      <c r="XEL232" s="9"/>
      <c r="XEM232" s="9"/>
      <c r="XEN232" s="9"/>
      <c r="XEO232" s="9"/>
      <c r="XEP232" s="9"/>
      <c r="XEQ232" s="9"/>
      <c r="XER232" s="9"/>
      <c r="XES232" s="9"/>
      <c r="XET232" s="9"/>
      <c r="XEU232" s="9"/>
      <c r="XEV232" s="9"/>
      <c r="XEW232" s="9"/>
      <c r="XEX232" s="9"/>
      <c r="XEY232" s="9"/>
      <c r="XEZ232" s="9"/>
      <c r="XFA232" s="9"/>
      <c r="XFB232" s="9"/>
      <c r="XFC232" s="9"/>
      <c r="XFD232" s="9"/>
    </row>
    <row r="233" spans="1:8 16325:16384" s="3" customFormat="1" ht="19.95" customHeight="1">
      <c r="A233" s="6" t="str">
        <f t="shared" si="9"/>
        <v>040010</v>
      </c>
      <c r="B233" s="6" t="s">
        <v>20</v>
      </c>
      <c r="C233" s="6" t="s">
        <v>17</v>
      </c>
      <c r="D233" s="6" t="str">
        <f>"512523230"</f>
        <v>512523230</v>
      </c>
      <c r="E233" s="7">
        <v>0</v>
      </c>
      <c r="F233" s="7">
        <v>0</v>
      </c>
      <c r="G233" s="7"/>
      <c r="H233" s="7">
        <v>0</v>
      </c>
      <c r="XCW233" s="9"/>
      <c r="XCX233" s="9"/>
      <c r="XCY233" s="9"/>
      <c r="XCZ233" s="9"/>
      <c r="XDA233" s="9"/>
      <c r="XDB233" s="9"/>
      <c r="XDC233" s="9"/>
      <c r="XDD233" s="9"/>
      <c r="XDE233" s="9"/>
      <c r="XDF233" s="9"/>
      <c r="XDG233" s="9"/>
      <c r="XDH233" s="9"/>
      <c r="XDI233" s="9"/>
      <c r="XDJ233" s="9"/>
      <c r="XDK233" s="9"/>
      <c r="XDL233" s="9"/>
      <c r="XDM233" s="9"/>
      <c r="XDN233" s="9"/>
      <c r="XDO233" s="9"/>
      <c r="XDP233" s="9"/>
      <c r="XDQ233" s="9"/>
      <c r="XDR233" s="9"/>
      <c r="XDS233" s="9"/>
      <c r="XDT233" s="9"/>
      <c r="XDU233" s="9"/>
      <c r="XDV233" s="9"/>
      <c r="XDW233" s="9"/>
      <c r="XDX233" s="9"/>
      <c r="XDY233" s="9"/>
      <c r="XDZ233" s="9"/>
      <c r="XEA233" s="9"/>
      <c r="XEB233" s="9"/>
      <c r="XEC233" s="9"/>
      <c r="XED233" s="9"/>
      <c r="XEE233" s="9"/>
      <c r="XEF233" s="9"/>
      <c r="XEG233" s="9"/>
      <c r="XEH233" s="9"/>
      <c r="XEI233" s="9"/>
      <c r="XEJ233" s="9"/>
      <c r="XEK233" s="9"/>
      <c r="XEL233" s="9"/>
      <c r="XEM233" s="9"/>
      <c r="XEN233" s="9"/>
      <c r="XEO233" s="9"/>
      <c r="XEP233" s="9"/>
      <c r="XEQ233" s="9"/>
      <c r="XER233" s="9"/>
      <c r="XES233" s="9"/>
      <c r="XET233" s="9"/>
      <c r="XEU233" s="9"/>
      <c r="XEV233" s="9"/>
      <c r="XEW233" s="9"/>
      <c r="XEX233" s="9"/>
      <c r="XEY233" s="9"/>
      <c r="XEZ233" s="9"/>
      <c r="XFA233" s="9"/>
      <c r="XFB233" s="9"/>
      <c r="XFC233" s="9"/>
      <c r="XFD233" s="9"/>
    </row>
    <row r="234" spans="1:8 16325:16384" s="3" customFormat="1" ht="19.95" customHeight="1">
      <c r="A234" s="6" t="str">
        <f t="shared" si="9"/>
        <v>040010</v>
      </c>
      <c r="B234" s="6" t="s">
        <v>20</v>
      </c>
      <c r="C234" s="6" t="s">
        <v>17</v>
      </c>
      <c r="D234" s="6" t="str">
        <f>"512523221"</f>
        <v>512523221</v>
      </c>
      <c r="E234" s="7">
        <v>55.5</v>
      </c>
      <c r="F234" s="7">
        <v>71.5</v>
      </c>
      <c r="G234" s="7"/>
      <c r="H234" s="7">
        <v>61.9</v>
      </c>
      <c r="XCW234" s="9"/>
      <c r="XCX234" s="9"/>
      <c r="XCY234" s="9"/>
      <c r="XCZ234" s="9"/>
      <c r="XDA234" s="9"/>
      <c r="XDB234" s="9"/>
      <c r="XDC234" s="9"/>
      <c r="XDD234" s="9"/>
      <c r="XDE234" s="9"/>
      <c r="XDF234" s="9"/>
      <c r="XDG234" s="9"/>
      <c r="XDH234" s="9"/>
      <c r="XDI234" s="9"/>
      <c r="XDJ234" s="9"/>
      <c r="XDK234" s="9"/>
      <c r="XDL234" s="9"/>
      <c r="XDM234" s="9"/>
      <c r="XDN234" s="9"/>
      <c r="XDO234" s="9"/>
      <c r="XDP234" s="9"/>
      <c r="XDQ234" s="9"/>
      <c r="XDR234" s="9"/>
      <c r="XDS234" s="9"/>
      <c r="XDT234" s="9"/>
      <c r="XDU234" s="9"/>
      <c r="XDV234" s="9"/>
      <c r="XDW234" s="9"/>
      <c r="XDX234" s="9"/>
      <c r="XDY234" s="9"/>
      <c r="XDZ234" s="9"/>
      <c r="XEA234" s="9"/>
      <c r="XEB234" s="9"/>
      <c r="XEC234" s="9"/>
      <c r="XED234" s="9"/>
      <c r="XEE234" s="9"/>
      <c r="XEF234" s="9"/>
      <c r="XEG234" s="9"/>
      <c r="XEH234" s="9"/>
      <c r="XEI234" s="9"/>
      <c r="XEJ234" s="9"/>
      <c r="XEK234" s="9"/>
      <c r="XEL234" s="9"/>
      <c r="XEM234" s="9"/>
      <c r="XEN234" s="9"/>
      <c r="XEO234" s="9"/>
      <c r="XEP234" s="9"/>
      <c r="XEQ234" s="9"/>
      <c r="XER234" s="9"/>
      <c r="XES234" s="9"/>
      <c r="XET234" s="9"/>
      <c r="XEU234" s="9"/>
      <c r="XEV234" s="9"/>
      <c r="XEW234" s="9"/>
      <c r="XEX234" s="9"/>
      <c r="XEY234" s="9"/>
      <c r="XEZ234" s="9"/>
      <c r="XFA234" s="9"/>
      <c r="XFB234" s="9"/>
      <c r="XFC234" s="9"/>
      <c r="XFD234" s="9"/>
    </row>
    <row r="235" spans="1:8 16325:16384" s="3" customFormat="1" ht="19.95" customHeight="1">
      <c r="A235" s="6" t="str">
        <f t="shared" si="9"/>
        <v>040010</v>
      </c>
      <c r="B235" s="6" t="s">
        <v>20</v>
      </c>
      <c r="C235" s="6" t="s">
        <v>17</v>
      </c>
      <c r="D235" s="6" t="str">
        <f>"512523117"</f>
        <v>512523117</v>
      </c>
      <c r="E235" s="7">
        <v>55.5</v>
      </c>
      <c r="F235" s="7">
        <v>59.5</v>
      </c>
      <c r="G235" s="7"/>
      <c r="H235" s="7">
        <v>57.1</v>
      </c>
      <c r="XCW235" s="9"/>
      <c r="XCX235" s="9"/>
      <c r="XCY235" s="9"/>
      <c r="XCZ235" s="9"/>
      <c r="XDA235" s="9"/>
      <c r="XDB235" s="9"/>
      <c r="XDC235" s="9"/>
      <c r="XDD235" s="9"/>
      <c r="XDE235" s="9"/>
      <c r="XDF235" s="9"/>
      <c r="XDG235" s="9"/>
      <c r="XDH235" s="9"/>
      <c r="XDI235" s="9"/>
      <c r="XDJ235" s="9"/>
      <c r="XDK235" s="9"/>
      <c r="XDL235" s="9"/>
      <c r="XDM235" s="9"/>
      <c r="XDN235" s="9"/>
      <c r="XDO235" s="9"/>
      <c r="XDP235" s="9"/>
      <c r="XDQ235" s="9"/>
      <c r="XDR235" s="9"/>
      <c r="XDS235" s="9"/>
      <c r="XDT235" s="9"/>
      <c r="XDU235" s="9"/>
      <c r="XDV235" s="9"/>
      <c r="XDW235" s="9"/>
      <c r="XDX235" s="9"/>
      <c r="XDY235" s="9"/>
      <c r="XDZ235" s="9"/>
      <c r="XEA235" s="9"/>
      <c r="XEB235" s="9"/>
      <c r="XEC235" s="9"/>
      <c r="XED235" s="9"/>
      <c r="XEE235" s="9"/>
      <c r="XEF235" s="9"/>
      <c r="XEG235" s="9"/>
      <c r="XEH235" s="9"/>
      <c r="XEI235" s="9"/>
      <c r="XEJ235" s="9"/>
      <c r="XEK235" s="9"/>
      <c r="XEL235" s="9"/>
      <c r="XEM235" s="9"/>
      <c r="XEN235" s="9"/>
      <c r="XEO235" s="9"/>
      <c r="XEP235" s="9"/>
      <c r="XEQ235" s="9"/>
      <c r="XER235" s="9"/>
      <c r="XES235" s="9"/>
      <c r="XET235" s="9"/>
      <c r="XEU235" s="9"/>
      <c r="XEV235" s="9"/>
      <c r="XEW235" s="9"/>
      <c r="XEX235" s="9"/>
      <c r="XEY235" s="9"/>
      <c r="XEZ235" s="9"/>
      <c r="XFA235" s="9"/>
      <c r="XFB235" s="9"/>
      <c r="XFC235" s="9"/>
      <c r="XFD235" s="9"/>
    </row>
    <row r="236" spans="1:8 16325:16384" s="3" customFormat="1" ht="19.95" customHeight="1">
      <c r="A236" s="6" t="str">
        <f t="shared" si="9"/>
        <v>040010</v>
      </c>
      <c r="B236" s="6" t="s">
        <v>20</v>
      </c>
      <c r="C236" s="6" t="s">
        <v>17</v>
      </c>
      <c r="D236" s="6" t="str">
        <f>"512523303"</f>
        <v>512523303</v>
      </c>
      <c r="E236" s="7">
        <v>66.5</v>
      </c>
      <c r="F236" s="7">
        <v>62.5</v>
      </c>
      <c r="G236" s="7"/>
      <c r="H236" s="7">
        <v>64.900000000000006</v>
      </c>
      <c r="XCW236" s="9"/>
      <c r="XCX236" s="9"/>
      <c r="XCY236" s="9"/>
      <c r="XCZ236" s="9"/>
      <c r="XDA236" s="9"/>
      <c r="XDB236" s="9"/>
      <c r="XDC236" s="9"/>
      <c r="XDD236" s="9"/>
      <c r="XDE236" s="9"/>
      <c r="XDF236" s="9"/>
      <c r="XDG236" s="9"/>
      <c r="XDH236" s="9"/>
      <c r="XDI236" s="9"/>
      <c r="XDJ236" s="9"/>
      <c r="XDK236" s="9"/>
      <c r="XDL236" s="9"/>
      <c r="XDM236" s="9"/>
      <c r="XDN236" s="9"/>
      <c r="XDO236" s="9"/>
      <c r="XDP236" s="9"/>
      <c r="XDQ236" s="9"/>
      <c r="XDR236" s="9"/>
      <c r="XDS236" s="9"/>
      <c r="XDT236" s="9"/>
      <c r="XDU236" s="9"/>
      <c r="XDV236" s="9"/>
      <c r="XDW236" s="9"/>
      <c r="XDX236" s="9"/>
      <c r="XDY236" s="9"/>
      <c r="XDZ236" s="9"/>
      <c r="XEA236" s="9"/>
      <c r="XEB236" s="9"/>
      <c r="XEC236" s="9"/>
      <c r="XED236" s="9"/>
      <c r="XEE236" s="9"/>
      <c r="XEF236" s="9"/>
      <c r="XEG236" s="9"/>
      <c r="XEH236" s="9"/>
      <c r="XEI236" s="9"/>
      <c r="XEJ236" s="9"/>
      <c r="XEK236" s="9"/>
      <c r="XEL236" s="9"/>
      <c r="XEM236" s="9"/>
      <c r="XEN236" s="9"/>
      <c r="XEO236" s="9"/>
      <c r="XEP236" s="9"/>
      <c r="XEQ236" s="9"/>
      <c r="XER236" s="9"/>
      <c r="XES236" s="9"/>
      <c r="XET236" s="9"/>
      <c r="XEU236" s="9"/>
      <c r="XEV236" s="9"/>
      <c r="XEW236" s="9"/>
      <c r="XEX236" s="9"/>
      <c r="XEY236" s="9"/>
      <c r="XEZ236" s="9"/>
      <c r="XFA236" s="9"/>
      <c r="XFB236" s="9"/>
      <c r="XFC236" s="9"/>
      <c r="XFD236" s="9"/>
    </row>
    <row r="237" spans="1:8 16325:16384" s="3" customFormat="1" ht="19.95" customHeight="1">
      <c r="A237" s="6" t="str">
        <f t="shared" si="9"/>
        <v>040010</v>
      </c>
      <c r="B237" s="6" t="s">
        <v>20</v>
      </c>
      <c r="C237" s="6" t="s">
        <v>17</v>
      </c>
      <c r="D237" s="6" t="str">
        <f>"512523114"</f>
        <v>512523114</v>
      </c>
      <c r="E237" s="7">
        <v>75.5</v>
      </c>
      <c r="F237" s="7">
        <v>77</v>
      </c>
      <c r="G237" s="7"/>
      <c r="H237" s="7">
        <v>76.099999999999994</v>
      </c>
      <c r="XCW237" s="9"/>
      <c r="XCX237" s="9"/>
      <c r="XCY237" s="9"/>
      <c r="XCZ237" s="9"/>
      <c r="XDA237" s="9"/>
      <c r="XDB237" s="9"/>
      <c r="XDC237" s="9"/>
      <c r="XDD237" s="9"/>
      <c r="XDE237" s="9"/>
      <c r="XDF237" s="9"/>
      <c r="XDG237" s="9"/>
      <c r="XDH237" s="9"/>
      <c r="XDI237" s="9"/>
      <c r="XDJ237" s="9"/>
      <c r="XDK237" s="9"/>
      <c r="XDL237" s="9"/>
      <c r="XDM237" s="9"/>
      <c r="XDN237" s="9"/>
      <c r="XDO237" s="9"/>
      <c r="XDP237" s="9"/>
      <c r="XDQ237" s="9"/>
      <c r="XDR237" s="9"/>
      <c r="XDS237" s="9"/>
      <c r="XDT237" s="9"/>
      <c r="XDU237" s="9"/>
      <c r="XDV237" s="9"/>
      <c r="XDW237" s="9"/>
      <c r="XDX237" s="9"/>
      <c r="XDY237" s="9"/>
      <c r="XDZ237" s="9"/>
      <c r="XEA237" s="9"/>
      <c r="XEB237" s="9"/>
      <c r="XEC237" s="9"/>
      <c r="XED237" s="9"/>
      <c r="XEE237" s="9"/>
      <c r="XEF237" s="9"/>
      <c r="XEG237" s="9"/>
      <c r="XEH237" s="9"/>
      <c r="XEI237" s="9"/>
      <c r="XEJ237" s="9"/>
      <c r="XEK237" s="9"/>
      <c r="XEL237" s="9"/>
      <c r="XEM237" s="9"/>
      <c r="XEN237" s="9"/>
      <c r="XEO237" s="9"/>
      <c r="XEP237" s="9"/>
      <c r="XEQ237" s="9"/>
      <c r="XER237" s="9"/>
      <c r="XES237" s="9"/>
      <c r="XET237" s="9"/>
      <c r="XEU237" s="9"/>
      <c r="XEV237" s="9"/>
      <c r="XEW237" s="9"/>
      <c r="XEX237" s="9"/>
      <c r="XEY237" s="9"/>
      <c r="XEZ237" s="9"/>
      <c r="XFA237" s="9"/>
      <c r="XFB237" s="9"/>
      <c r="XFC237" s="9"/>
      <c r="XFD237" s="9"/>
    </row>
    <row r="238" spans="1:8 16325:16384" s="3" customFormat="1" ht="19.95" customHeight="1">
      <c r="A238" s="6" t="str">
        <f t="shared" si="9"/>
        <v>040010</v>
      </c>
      <c r="B238" s="6" t="s">
        <v>20</v>
      </c>
      <c r="C238" s="6" t="s">
        <v>17</v>
      </c>
      <c r="D238" s="6" t="str">
        <f>"512523223"</f>
        <v>512523223</v>
      </c>
      <c r="E238" s="7">
        <v>92.5</v>
      </c>
      <c r="F238" s="7">
        <v>96.5</v>
      </c>
      <c r="G238" s="7"/>
      <c r="H238" s="7">
        <v>94.1</v>
      </c>
      <c r="XCW238" s="9"/>
      <c r="XCX238" s="9"/>
      <c r="XCY238" s="9"/>
      <c r="XCZ238" s="9"/>
      <c r="XDA238" s="9"/>
      <c r="XDB238" s="9"/>
      <c r="XDC238" s="9"/>
      <c r="XDD238" s="9"/>
      <c r="XDE238" s="9"/>
      <c r="XDF238" s="9"/>
      <c r="XDG238" s="9"/>
      <c r="XDH238" s="9"/>
      <c r="XDI238" s="9"/>
      <c r="XDJ238" s="9"/>
      <c r="XDK238" s="9"/>
      <c r="XDL238" s="9"/>
      <c r="XDM238" s="9"/>
      <c r="XDN238" s="9"/>
      <c r="XDO238" s="9"/>
      <c r="XDP238" s="9"/>
      <c r="XDQ238" s="9"/>
      <c r="XDR238" s="9"/>
      <c r="XDS238" s="9"/>
      <c r="XDT238" s="9"/>
      <c r="XDU238" s="9"/>
      <c r="XDV238" s="9"/>
      <c r="XDW238" s="9"/>
      <c r="XDX238" s="9"/>
      <c r="XDY238" s="9"/>
      <c r="XDZ238" s="9"/>
      <c r="XEA238" s="9"/>
      <c r="XEB238" s="9"/>
      <c r="XEC238" s="9"/>
      <c r="XED238" s="9"/>
      <c r="XEE238" s="9"/>
      <c r="XEF238" s="9"/>
      <c r="XEG238" s="9"/>
      <c r="XEH238" s="9"/>
      <c r="XEI238" s="9"/>
      <c r="XEJ238" s="9"/>
      <c r="XEK238" s="9"/>
      <c r="XEL238" s="9"/>
      <c r="XEM238" s="9"/>
      <c r="XEN238" s="9"/>
      <c r="XEO238" s="9"/>
      <c r="XEP238" s="9"/>
      <c r="XEQ238" s="9"/>
      <c r="XER238" s="9"/>
      <c r="XES238" s="9"/>
      <c r="XET238" s="9"/>
      <c r="XEU238" s="9"/>
      <c r="XEV238" s="9"/>
      <c r="XEW238" s="9"/>
      <c r="XEX238" s="9"/>
      <c r="XEY238" s="9"/>
      <c r="XEZ238" s="9"/>
      <c r="XFA238" s="9"/>
      <c r="XFB238" s="9"/>
      <c r="XFC238" s="9"/>
      <c r="XFD238" s="9"/>
    </row>
    <row r="239" spans="1:8 16325:16384" s="3" customFormat="1" ht="19.95" customHeight="1">
      <c r="A239" s="6" t="str">
        <f t="shared" si="9"/>
        <v>040010</v>
      </c>
      <c r="B239" s="6" t="s">
        <v>20</v>
      </c>
      <c r="C239" s="6" t="s">
        <v>17</v>
      </c>
      <c r="D239" s="6" t="str">
        <f>"512523215"</f>
        <v>512523215</v>
      </c>
      <c r="E239" s="7">
        <v>41.5</v>
      </c>
      <c r="F239" s="7">
        <v>64</v>
      </c>
      <c r="G239" s="7"/>
      <c r="H239" s="7">
        <v>50.5</v>
      </c>
      <c r="XCW239" s="9"/>
      <c r="XCX239" s="9"/>
      <c r="XCY239" s="9"/>
      <c r="XCZ239" s="9"/>
      <c r="XDA239" s="9"/>
      <c r="XDB239" s="9"/>
      <c r="XDC239" s="9"/>
      <c r="XDD239" s="9"/>
      <c r="XDE239" s="9"/>
      <c r="XDF239" s="9"/>
      <c r="XDG239" s="9"/>
      <c r="XDH239" s="9"/>
      <c r="XDI239" s="9"/>
      <c r="XDJ239" s="9"/>
      <c r="XDK239" s="9"/>
      <c r="XDL239" s="9"/>
      <c r="XDM239" s="9"/>
      <c r="XDN239" s="9"/>
      <c r="XDO239" s="9"/>
      <c r="XDP239" s="9"/>
      <c r="XDQ239" s="9"/>
      <c r="XDR239" s="9"/>
      <c r="XDS239" s="9"/>
      <c r="XDT239" s="9"/>
      <c r="XDU239" s="9"/>
      <c r="XDV239" s="9"/>
      <c r="XDW239" s="9"/>
      <c r="XDX239" s="9"/>
      <c r="XDY239" s="9"/>
      <c r="XDZ239" s="9"/>
      <c r="XEA239" s="9"/>
      <c r="XEB239" s="9"/>
      <c r="XEC239" s="9"/>
      <c r="XED239" s="9"/>
      <c r="XEE239" s="9"/>
      <c r="XEF239" s="9"/>
      <c r="XEG239" s="9"/>
      <c r="XEH239" s="9"/>
      <c r="XEI239" s="9"/>
      <c r="XEJ239" s="9"/>
      <c r="XEK239" s="9"/>
      <c r="XEL239" s="9"/>
      <c r="XEM239" s="9"/>
      <c r="XEN239" s="9"/>
      <c r="XEO239" s="9"/>
      <c r="XEP239" s="9"/>
      <c r="XEQ239" s="9"/>
      <c r="XER239" s="9"/>
      <c r="XES239" s="9"/>
      <c r="XET239" s="9"/>
      <c r="XEU239" s="9"/>
      <c r="XEV239" s="9"/>
      <c r="XEW239" s="9"/>
      <c r="XEX239" s="9"/>
      <c r="XEY239" s="9"/>
      <c r="XEZ239" s="9"/>
      <c r="XFA239" s="9"/>
      <c r="XFB239" s="9"/>
      <c r="XFC239" s="9"/>
      <c r="XFD239" s="9"/>
    </row>
    <row r="240" spans="1:8 16325:16384" s="3" customFormat="1" ht="19.95" customHeight="1">
      <c r="A240" s="6" t="str">
        <f t="shared" si="9"/>
        <v>040010</v>
      </c>
      <c r="B240" s="6" t="s">
        <v>20</v>
      </c>
      <c r="C240" s="6" t="s">
        <v>17</v>
      </c>
      <c r="D240" s="6" t="str">
        <f>"512523123"</f>
        <v>512523123</v>
      </c>
      <c r="E240" s="7">
        <v>61</v>
      </c>
      <c r="F240" s="7">
        <v>69</v>
      </c>
      <c r="G240" s="7"/>
      <c r="H240" s="7">
        <v>64.2</v>
      </c>
      <c r="XCW240" s="9"/>
      <c r="XCX240" s="9"/>
      <c r="XCY240" s="9"/>
      <c r="XCZ240" s="9"/>
      <c r="XDA240" s="9"/>
      <c r="XDB240" s="9"/>
      <c r="XDC240" s="9"/>
      <c r="XDD240" s="9"/>
      <c r="XDE240" s="9"/>
      <c r="XDF240" s="9"/>
      <c r="XDG240" s="9"/>
      <c r="XDH240" s="9"/>
      <c r="XDI240" s="9"/>
      <c r="XDJ240" s="9"/>
      <c r="XDK240" s="9"/>
      <c r="XDL240" s="9"/>
      <c r="XDM240" s="9"/>
      <c r="XDN240" s="9"/>
      <c r="XDO240" s="9"/>
      <c r="XDP240" s="9"/>
      <c r="XDQ240" s="9"/>
      <c r="XDR240" s="9"/>
      <c r="XDS240" s="9"/>
      <c r="XDT240" s="9"/>
      <c r="XDU240" s="9"/>
      <c r="XDV240" s="9"/>
      <c r="XDW240" s="9"/>
      <c r="XDX240" s="9"/>
      <c r="XDY240" s="9"/>
      <c r="XDZ240" s="9"/>
      <c r="XEA240" s="9"/>
      <c r="XEB240" s="9"/>
      <c r="XEC240" s="9"/>
      <c r="XED240" s="9"/>
      <c r="XEE240" s="9"/>
      <c r="XEF240" s="9"/>
      <c r="XEG240" s="9"/>
      <c r="XEH240" s="9"/>
      <c r="XEI240" s="9"/>
      <c r="XEJ240" s="9"/>
      <c r="XEK240" s="9"/>
      <c r="XEL240" s="9"/>
      <c r="XEM240" s="9"/>
      <c r="XEN240" s="9"/>
      <c r="XEO240" s="9"/>
      <c r="XEP240" s="9"/>
      <c r="XEQ240" s="9"/>
      <c r="XER240" s="9"/>
      <c r="XES240" s="9"/>
      <c r="XET240" s="9"/>
      <c r="XEU240" s="9"/>
      <c r="XEV240" s="9"/>
      <c r="XEW240" s="9"/>
      <c r="XEX240" s="9"/>
      <c r="XEY240" s="9"/>
      <c r="XEZ240" s="9"/>
      <c r="XFA240" s="9"/>
      <c r="XFB240" s="9"/>
      <c r="XFC240" s="9"/>
      <c r="XFD240" s="9"/>
    </row>
    <row r="241" spans="1:8 16325:16384" s="3" customFormat="1" ht="19.95" customHeight="1">
      <c r="A241" s="6" t="str">
        <f t="shared" si="9"/>
        <v>040010</v>
      </c>
      <c r="B241" s="6" t="s">
        <v>20</v>
      </c>
      <c r="C241" s="6" t="s">
        <v>17</v>
      </c>
      <c r="D241" s="6" t="str">
        <f>"512523210"</f>
        <v>512523210</v>
      </c>
      <c r="E241" s="7">
        <v>62.5</v>
      </c>
      <c r="F241" s="7">
        <v>63</v>
      </c>
      <c r="G241" s="7"/>
      <c r="H241" s="7">
        <v>62.7</v>
      </c>
      <c r="XCW241" s="9"/>
      <c r="XCX241" s="9"/>
      <c r="XCY241" s="9"/>
      <c r="XCZ241" s="9"/>
      <c r="XDA241" s="9"/>
      <c r="XDB241" s="9"/>
      <c r="XDC241" s="9"/>
      <c r="XDD241" s="9"/>
      <c r="XDE241" s="9"/>
      <c r="XDF241" s="9"/>
      <c r="XDG241" s="9"/>
      <c r="XDH241" s="9"/>
      <c r="XDI241" s="9"/>
      <c r="XDJ241" s="9"/>
      <c r="XDK241" s="9"/>
      <c r="XDL241" s="9"/>
      <c r="XDM241" s="9"/>
      <c r="XDN241" s="9"/>
      <c r="XDO241" s="9"/>
      <c r="XDP241" s="9"/>
      <c r="XDQ241" s="9"/>
      <c r="XDR241" s="9"/>
      <c r="XDS241" s="9"/>
      <c r="XDT241" s="9"/>
      <c r="XDU241" s="9"/>
      <c r="XDV241" s="9"/>
      <c r="XDW241" s="9"/>
      <c r="XDX241" s="9"/>
      <c r="XDY241" s="9"/>
      <c r="XDZ241" s="9"/>
      <c r="XEA241" s="9"/>
      <c r="XEB241" s="9"/>
      <c r="XEC241" s="9"/>
      <c r="XED241" s="9"/>
      <c r="XEE241" s="9"/>
      <c r="XEF241" s="9"/>
      <c r="XEG241" s="9"/>
      <c r="XEH241" s="9"/>
      <c r="XEI241" s="9"/>
      <c r="XEJ241" s="9"/>
      <c r="XEK241" s="9"/>
      <c r="XEL241" s="9"/>
      <c r="XEM241" s="9"/>
      <c r="XEN241" s="9"/>
      <c r="XEO241" s="9"/>
      <c r="XEP241" s="9"/>
      <c r="XEQ241" s="9"/>
      <c r="XER241" s="9"/>
      <c r="XES241" s="9"/>
      <c r="XET241" s="9"/>
      <c r="XEU241" s="9"/>
      <c r="XEV241" s="9"/>
      <c r="XEW241" s="9"/>
      <c r="XEX241" s="9"/>
      <c r="XEY241" s="9"/>
      <c r="XEZ241" s="9"/>
      <c r="XFA241" s="9"/>
      <c r="XFB241" s="9"/>
      <c r="XFC241" s="9"/>
      <c r="XFD241" s="9"/>
    </row>
    <row r="242" spans="1:8 16325:16384" s="3" customFormat="1" ht="19.95" customHeight="1">
      <c r="A242" s="6" t="str">
        <f t="shared" si="9"/>
        <v>040010</v>
      </c>
      <c r="B242" s="6" t="s">
        <v>20</v>
      </c>
      <c r="C242" s="6" t="s">
        <v>17</v>
      </c>
      <c r="D242" s="6" t="str">
        <f>"512523110"</f>
        <v>512523110</v>
      </c>
      <c r="E242" s="7">
        <v>34</v>
      </c>
      <c r="F242" s="7">
        <v>57</v>
      </c>
      <c r="G242" s="7"/>
      <c r="H242" s="7">
        <v>43.2</v>
      </c>
      <c r="XCW242" s="9"/>
      <c r="XCX242" s="9"/>
      <c r="XCY242" s="9"/>
      <c r="XCZ242" s="9"/>
      <c r="XDA242" s="9"/>
      <c r="XDB242" s="9"/>
      <c r="XDC242" s="9"/>
      <c r="XDD242" s="9"/>
      <c r="XDE242" s="9"/>
      <c r="XDF242" s="9"/>
      <c r="XDG242" s="9"/>
      <c r="XDH242" s="9"/>
      <c r="XDI242" s="9"/>
      <c r="XDJ242" s="9"/>
      <c r="XDK242" s="9"/>
      <c r="XDL242" s="9"/>
      <c r="XDM242" s="9"/>
      <c r="XDN242" s="9"/>
      <c r="XDO242" s="9"/>
      <c r="XDP242" s="9"/>
      <c r="XDQ242" s="9"/>
      <c r="XDR242" s="9"/>
      <c r="XDS242" s="9"/>
      <c r="XDT242" s="9"/>
      <c r="XDU242" s="9"/>
      <c r="XDV242" s="9"/>
      <c r="XDW242" s="9"/>
      <c r="XDX242" s="9"/>
      <c r="XDY242" s="9"/>
      <c r="XDZ242" s="9"/>
      <c r="XEA242" s="9"/>
      <c r="XEB242" s="9"/>
      <c r="XEC242" s="9"/>
      <c r="XED242" s="9"/>
      <c r="XEE242" s="9"/>
      <c r="XEF242" s="9"/>
      <c r="XEG242" s="9"/>
      <c r="XEH242" s="9"/>
      <c r="XEI242" s="9"/>
      <c r="XEJ242" s="9"/>
      <c r="XEK242" s="9"/>
      <c r="XEL242" s="9"/>
      <c r="XEM242" s="9"/>
      <c r="XEN242" s="9"/>
      <c r="XEO242" s="9"/>
      <c r="XEP242" s="9"/>
      <c r="XEQ242" s="9"/>
      <c r="XER242" s="9"/>
      <c r="XES242" s="9"/>
      <c r="XET242" s="9"/>
      <c r="XEU242" s="9"/>
      <c r="XEV242" s="9"/>
      <c r="XEW242" s="9"/>
      <c r="XEX242" s="9"/>
      <c r="XEY242" s="9"/>
      <c r="XEZ242" s="9"/>
      <c r="XFA242" s="9"/>
      <c r="XFB242" s="9"/>
      <c r="XFC242" s="9"/>
      <c r="XFD242" s="9"/>
    </row>
    <row r="243" spans="1:8 16325:16384" s="3" customFormat="1" ht="19.95" customHeight="1">
      <c r="A243" s="6" t="str">
        <f t="shared" si="9"/>
        <v>040010</v>
      </c>
      <c r="B243" s="6" t="s">
        <v>20</v>
      </c>
      <c r="C243" s="6" t="s">
        <v>17</v>
      </c>
      <c r="D243" s="6" t="str">
        <f>"512523129"</f>
        <v>512523129</v>
      </c>
      <c r="E243" s="7">
        <v>37</v>
      </c>
      <c r="F243" s="7">
        <v>62.5</v>
      </c>
      <c r="G243" s="7"/>
      <c r="H243" s="7">
        <v>47.2</v>
      </c>
      <c r="XCW243" s="9"/>
      <c r="XCX243" s="9"/>
      <c r="XCY243" s="9"/>
      <c r="XCZ243" s="9"/>
      <c r="XDA243" s="9"/>
      <c r="XDB243" s="9"/>
      <c r="XDC243" s="9"/>
      <c r="XDD243" s="9"/>
      <c r="XDE243" s="9"/>
      <c r="XDF243" s="9"/>
      <c r="XDG243" s="9"/>
      <c r="XDH243" s="9"/>
      <c r="XDI243" s="9"/>
      <c r="XDJ243" s="9"/>
      <c r="XDK243" s="9"/>
      <c r="XDL243" s="9"/>
      <c r="XDM243" s="9"/>
      <c r="XDN243" s="9"/>
      <c r="XDO243" s="9"/>
      <c r="XDP243" s="9"/>
      <c r="XDQ243" s="9"/>
      <c r="XDR243" s="9"/>
      <c r="XDS243" s="9"/>
      <c r="XDT243" s="9"/>
      <c r="XDU243" s="9"/>
      <c r="XDV243" s="9"/>
      <c r="XDW243" s="9"/>
      <c r="XDX243" s="9"/>
      <c r="XDY243" s="9"/>
      <c r="XDZ243" s="9"/>
      <c r="XEA243" s="9"/>
      <c r="XEB243" s="9"/>
      <c r="XEC243" s="9"/>
      <c r="XED243" s="9"/>
      <c r="XEE243" s="9"/>
      <c r="XEF243" s="9"/>
      <c r="XEG243" s="9"/>
      <c r="XEH243" s="9"/>
      <c r="XEI243" s="9"/>
      <c r="XEJ243" s="9"/>
      <c r="XEK243" s="9"/>
      <c r="XEL243" s="9"/>
      <c r="XEM243" s="9"/>
      <c r="XEN243" s="9"/>
      <c r="XEO243" s="9"/>
      <c r="XEP243" s="9"/>
      <c r="XEQ243" s="9"/>
      <c r="XER243" s="9"/>
      <c r="XES243" s="9"/>
      <c r="XET243" s="9"/>
      <c r="XEU243" s="9"/>
      <c r="XEV243" s="9"/>
      <c r="XEW243" s="9"/>
      <c r="XEX243" s="9"/>
      <c r="XEY243" s="9"/>
      <c r="XEZ243" s="9"/>
      <c r="XFA243" s="9"/>
      <c r="XFB243" s="9"/>
      <c r="XFC243" s="9"/>
      <c r="XFD243" s="9"/>
    </row>
    <row r="244" spans="1:8 16325:16384" s="3" customFormat="1" ht="19.95" customHeight="1">
      <c r="A244" s="6" t="str">
        <f t="shared" si="9"/>
        <v>040010</v>
      </c>
      <c r="B244" s="6" t="s">
        <v>20</v>
      </c>
      <c r="C244" s="6" t="s">
        <v>17</v>
      </c>
      <c r="D244" s="6" t="str">
        <f>"512523228"</f>
        <v>512523228</v>
      </c>
      <c r="E244" s="7">
        <v>53</v>
      </c>
      <c r="F244" s="7">
        <v>68</v>
      </c>
      <c r="G244" s="7"/>
      <c r="H244" s="7">
        <v>59</v>
      </c>
      <c r="XCW244" s="9"/>
      <c r="XCX244" s="9"/>
      <c r="XCY244" s="9"/>
      <c r="XCZ244" s="9"/>
      <c r="XDA244" s="9"/>
      <c r="XDB244" s="9"/>
      <c r="XDC244" s="9"/>
      <c r="XDD244" s="9"/>
      <c r="XDE244" s="9"/>
      <c r="XDF244" s="9"/>
      <c r="XDG244" s="9"/>
      <c r="XDH244" s="9"/>
      <c r="XDI244" s="9"/>
      <c r="XDJ244" s="9"/>
      <c r="XDK244" s="9"/>
      <c r="XDL244" s="9"/>
      <c r="XDM244" s="9"/>
      <c r="XDN244" s="9"/>
      <c r="XDO244" s="9"/>
      <c r="XDP244" s="9"/>
      <c r="XDQ244" s="9"/>
      <c r="XDR244" s="9"/>
      <c r="XDS244" s="9"/>
      <c r="XDT244" s="9"/>
      <c r="XDU244" s="9"/>
      <c r="XDV244" s="9"/>
      <c r="XDW244" s="9"/>
      <c r="XDX244" s="9"/>
      <c r="XDY244" s="9"/>
      <c r="XDZ244" s="9"/>
      <c r="XEA244" s="9"/>
      <c r="XEB244" s="9"/>
      <c r="XEC244" s="9"/>
      <c r="XED244" s="9"/>
      <c r="XEE244" s="9"/>
      <c r="XEF244" s="9"/>
      <c r="XEG244" s="9"/>
      <c r="XEH244" s="9"/>
      <c r="XEI244" s="9"/>
      <c r="XEJ244" s="9"/>
      <c r="XEK244" s="9"/>
      <c r="XEL244" s="9"/>
      <c r="XEM244" s="9"/>
      <c r="XEN244" s="9"/>
      <c r="XEO244" s="9"/>
      <c r="XEP244" s="9"/>
      <c r="XEQ244" s="9"/>
      <c r="XER244" s="9"/>
      <c r="XES244" s="9"/>
      <c r="XET244" s="9"/>
      <c r="XEU244" s="9"/>
      <c r="XEV244" s="9"/>
      <c r="XEW244" s="9"/>
      <c r="XEX244" s="9"/>
      <c r="XEY244" s="9"/>
      <c r="XEZ244" s="9"/>
      <c r="XFA244" s="9"/>
      <c r="XFB244" s="9"/>
      <c r="XFC244" s="9"/>
      <c r="XFD244" s="9"/>
    </row>
    <row r="245" spans="1:8 16325:16384" s="3" customFormat="1" ht="19.95" customHeight="1">
      <c r="A245" s="6" t="str">
        <f t="shared" si="9"/>
        <v>040010</v>
      </c>
      <c r="B245" s="6" t="s">
        <v>20</v>
      </c>
      <c r="C245" s="6" t="s">
        <v>17</v>
      </c>
      <c r="D245" s="6" t="str">
        <f>"512523227"</f>
        <v>512523227</v>
      </c>
      <c r="E245" s="7">
        <v>87</v>
      </c>
      <c r="F245" s="7">
        <v>78</v>
      </c>
      <c r="G245" s="7"/>
      <c r="H245" s="7">
        <v>83.4</v>
      </c>
      <c r="XCW245" s="9"/>
      <c r="XCX245" s="9"/>
      <c r="XCY245" s="9"/>
      <c r="XCZ245" s="9"/>
      <c r="XDA245" s="9"/>
      <c r="XDB245" s="9"/>
      <c r="XDC245" s="9"/>
      <c r="XDD245" s="9"/>
      <c r="XDE245" s="9"/>
      <c r="XDF245" s="9"/>
      <c r="XDG245" s="9"/>
      <c r="XDH245" s="9"/>
      <c r="XDI245" s="9"/>
      <c r="XDJ245" s="9"/>
      <c r="XDK245" s="9"/>
      <c r="XDL245" s="9"/>
      <c r="XDM245" s="9"/>
      <c r="XDN245" s="9"/>
      <c r="XDO245" s="9"/>
      <c r="XDP245" s="9"/>
      <c r="XDQ245" s="9"/>
      <c r="XDR245" s="9"/>
      <c r="XDS245" s="9"/>
      <c r="XDT245" s="9"/>
      <c r="XDU245" s="9"/>
      <c r="XDV245" s="9"/>
      <c r="XDW245" s="9"/>
      <c r="XDX245" s="9"/>
      <c r="XDY245" s="9"/>
      <c r="XDZ245" s="9"/>
      <c r="XEA245" s="9"/>
      <c r="XEB245" s="9"/>
      <c r="XEC245" s="9"/>
      <c r="XED245" s="9"/>
      <c r="XEE245" s="9"/>
      <c r="XEF245" s="9"/>
      <c r="XEG245" s="9"/>
      <c r="XEH245" s="9"/>
      <c r="XEI245" s="9"/>
      <c r="XEJ245" s="9"/>
      <c r="XEK245" s="9"/>
      <c r="XEL245" s="9"/>
      <c r="XEM245" s="9"/>
      <c r="XEN245" s="9"/>
      <c r="XEO245" s="9"/>
      <c r="XEP245" s="9"/>
      <c r="XEQ245" s="9"/>
      <c r="XER245" s="9"/>
      <c r="XES245" s="9"/>
      <c r="XET245" s="9"/>
      <c r="XEU245" s="9"/>
      <c r="XEV245" s="9"/>
      <c r="XEW245" s="9"/>
      <c r="XEX245" s="9"/>
      <c r="XEY245" s="9"/>
      <c r="XEZ245" s="9"/>
      <c r="XFA245" s="9"/>
      <c r="XFB245" s="9"/>
      <c r="XFC245" s="9"/>
      <c r="XFD245" s="9"/>
    </row>
    <row r="246" spans="1:8 16325:16384" s="3" customFormat="1" ht="19.95" customHeight="1">
      <c r="A246" s="6" t="str">
        <f t="shared" si="9"/>
        <v>040010</v>
      </c>
      <c r="B246" s="6" t="s">
        <v>20</v>
      </c>
      <c r="C246" s="6" t="s">
        <v>17</v>
      </c>
      <c r="D246" s="6" t="str">
        <f>"512523128"</f>
        <v>512523128</v>
      </c>
      <c r="E246" s="7">
        <v>89.5</v>
      </c>
      <c r="F246" s="7">
        <v>80.5</v>
      </c>
      <c r="G246" s="7"/>
      <c r="H246" s="7">
        <v>85.9</v>
      </c>
      <c r="XCW246" s="9"/>
      <c r="XCX246" s="9"/>
      <c r="XCY246" s="9"/>
      <c r="XCZ246" s="9"/>
      <c r="XDA246" s="9"/>
      <c r="XDB246" s="9"/>
      <c r="XDC246" s="9"/>
      <c r="XDD246" s="9"/>
      <c r="XDE246" s="9"/>
      <c r="XDF246" s="9"/>
      <c r="XDG246" s="9"/>
      <c r="XDH246" s="9"/>
      <c r="XDI246" s="9"/>
      <c r="XDJ246" s="9"/>
      <c r="XDK246" s="9"/>
      <c r="XDL246" s="9"/>
      <c r="XDM246" s="9"/>
      <c r="XDN246" s="9"/>
      <c r="XDO246" s="9"/>
      <c r="XDP246" s="9"/>
      <c r="XDQ246" s="9"/>
      <c r="XDR246" s="9"/>
      <c r="XDS246" s="9"/>
      <c r="XDT246" s="9"/>
      <c r="XDU246" s="9"/>
      <c r="XDV246" s="9"/>
      <c r="XDW246" s="9"/>
      <c r="XDX246" s="9"/>
      <c r="XDY246" s="9"/>
      <c r="XDZ246" s="9"/>
      <c r="XEA246" s="9"/>
      <c r="XEB246" s="9"/>
      <c r="XEC246" s="9"/>
      <c r="XED246" s="9"/>
      <c r="XEE246" s="9"/>
      <c r="XEF246" s="9"/>
      <c r="XEG246" s="9"/>
      <c r="XEH246" s="9"/>
      <c r="XEI246" s="9"/>
      <c r="XEJ246" s="9"/>
      <c r="XEK246" s="9"/>
      <c r="XEL246" s="9"/>
      <c r="XEM246" s="9"/>
      <c r="XEN246" s="9"/>
      <c r="XEO246" s="9"/>
      <c r="XEP246" s="9"/>
      <c r="XEQ246" s="9"/>
      <c r="XER246" s="9"/>
      <c r="XES246" s="9"/>
      <c r="XET246" s="9"/>
      <c r="XEU246" s="9"/>
      <c r="XEV246" s="9"/>
      <c r="XEW246" s="9"/>
      <c r="XEX246" s="9"/>
      <c r="XEY246" s="9"/>
      <c r="XEZ246" s="9"/>
      <c r="XFA246" s="9"/>
      <c r="XFB246" s="9"/>
      <c r="XFC246" s="9"/>
      <c r="XFD246" s="9"/>
    </row>
    <row r="247" spans="1:8 16325:16384" s="3" customFormat="1" ht="19.95" customHeight="1">
      <c r="A247" s="6" t="str">
        <f t="shared" si="9"/>
        <v>040010</v>
      </c>
      <c r="B247" s="6" t="s">
        <v>20</v>
      </c>
      <c r="C247" s="6" t="s">
        <v>17</v>
      </c>
      <c r="D247" s="6" t="str">
        <f>"512523115"</f>
        <v>512523115</v>
      </c>
      <c r="E247" s="7">
        <v>48</v>
      </c>
      <c r="F247" s="7">
        <v>62</v>
      </c>
      <c r="G247" s="7"/>
      <c r="H247" s="7">
        <v>53.6</v>
      </c>
      <c r="XCW247" s="9"/>
      <c r="XCX247" s="9"/>
      <c r="XCY247" s="9"/>
      <c r="XCZ247" s="9"/>
      <c r="XDA247" s="9"/>
      <c r="XDB247" s="9"/>
      <c r="XDC247" s="9"/>
      <c r="XDD247" s="9"/>
      <c r="XDE247" s="9"/>
      <c r="XDF247" s="9"/>
      <c r="XDG247" s="9"/>
      <c r="XDH247" s="9"/>
      <c r="XDI247" s="9"/>
      <c r="XDJ247" s="9"/>
      <c r="XDK247" s="9"/>
      <c r="XDL247" s="9"/>
      <c r="XDM247" s="9"/>
      <c r="XDN247" s="9"/>
      <c r="XDO247" s="9"/>
      <c r="XDP247" s="9"/>
      <c r="XDQ247" s="9"/>
      <c r="XDR247" s="9"/>
      <c r="XDS247" s="9"/>
      <c r="XDT247" s="9"/>
      <c r="XDU247" s="9"/>
      <c r="XDV247" s="9"/>
      <c r="XDW247" s="9"/>
      <c r="XDX247" s="9"/>
      <c r="XDY247" s="9"/>
      <c r="XDZ247" s="9"/>
      <c r="XEA247" s="9"/>
      <c r="XEB247" s="9"/>
      <c r="XEC247" s="9"/>
      <c r="XED247" s="9"/>
      <c r="XEE247" s="9"/>
      <c r="XEF247" s="9"/>
      <c r="XEG247" s="9"/>
      <c r="XEH247" s="9"/>
      <c r="XEI247" s="9"/>
      <c r="XEJ247" s="9"/>
      <c r="XEK247" s="9"/>
      <c r="XEL247" s="9"/>
      <c r="XEM247" s="9"/>
      <c r="XEN247" s="9"/>
      <c r="XEO247" s="9"/>
      <c r="XEP247" s="9"/>
      <c r="XEQ247" s="9"/>
      <c r="XER247" s="9"/>
      <c r="XES247" s="9"/>
      <c r="XET247" s="9"/>
      <c r="XEU247" s="9"/>
      <c r="XEV247" s="9"/>
      <c r="XEW247" s="9"/>
      <c r="XEX247" s="9"/>
      <c r="XEY247" s="9"/>
      <c r="XEZ247" s="9"/>
      <c r="XFA247" s="9"/>
      <c r="XFB247" s="9"/>
      <c r="XFC247" s="9"/>
      <c r="XFD247" s="9"/>
    </row>
    <row r="248" spans="1:8 16325:16384" s="3" customFormat="1" ht="19.95" customHeight="1">
      <c r="A248" s="6" t="str">
        <f t="shared" si="9"/>
        <v>040010</v>
      </c>
      <c r="B248" s="6" t="s">
        <v>20</v>
      </c>
      <c r="C248" s="6" t="s">
        <v>17</v>
      </c>
      <c r="D248" s="6" t="str">
        <f>"512523112"</f>
        <v>512523112</v>
      </c>
      <c r="E248" s="7">
        <v>67.5</v>
      </c>
      <c r="F248" s="7">
        <v>82</v>
      </c>
      <c r="G248" s="7"/>
      <c r="H248" s="7">
        <v>73.3</v>
      </c>
      <c r="XCW248" s="9"/>
      <c r="XCX248" s="9"/>
      <c r="XCY248" s="9"/>
      <c r="XCZ248" s="9"/>
      <c r="XDA248" s="9"/>
      <c r="XDB248" s="9"/>
      <c r="XDC248" s="9"/>
      <c r="XDD248" s="9"/>
      <c r="XDE248" s="9"/>
      <c r="XDF248" s="9"/>
      <c r="XDG248" s="9"/>
      <c r="XDH248" s="9"/>
      <c r="XDI248" s="9"/>
      <c r="XDJ248" s="9"/>
      <c r="XDK248" s="9"/>
      <c r="XDL248" s="9"/>
      <c r="XDM248" s="9"/>
      <c r="XDN248" s="9"/>
      <c r="XDO248" s="9"/>
      <c r="XDP248" s="9"/>
      <c r="XDQ248" s="9"/>
      <c r="XDR248" s="9"/>
      <c r="XDS248" s="9"/>
      <c r="XDT248" s="9"/>
      <c r="XDU248" s="9"/>
      <c r="XDV248" s="9"/>
      <c r="XDW248" s="9"/>
      <c r="XDX248" s="9"/>
      <c r="XDY248" s="9"/>
      <c r="XDZ248" s="9"/>
      <c r="XEA248" s="9"/>
      <c r="XEB248" s="9"/>
      <c r="XEC248" s="9"/>
      <c r="XED248" s="9"/>
      <c r="XEE248" s="9"/>
      <c r="XEF248" s="9"/>
      <c r="XEG248" s="9"/>
      <c r="XEH248" s="9"/>
      <c r="XEI248" s="9"/>
      <c r="XEJ248" s="9"/>
      <c r="XEK248" s="9"/>
      <c r="XEL248" s="9"/>
      <c r="XEM248" s="9"/>
      <c r="XEN248" s="9"/>
      <c r="XEO248" s="9"/>
      <c r="XEP248" s="9"/>
      <c r="XEQ248" s="9"/>
      <c r="XER248" s="9"/>
      <c r="XES248" s="9"/>
      <c r="XET248" s="9"/>
      <c r="XEU248" s="9"/>
      <c r="XEV248" s="9"/>
      <c r="XEW248" s="9"/>
      <c r="XEX248" s="9"/>
      <c r="XEY248" s="9"/>
      <c r="XEZ248" s="9"/>
      <c r="XFA248" s="9"/>
      <c r="XFB248" s="9"/>
      <c r="XFC248" s="9"/>
      <c r="XFD248" s="9"/>
    </row>
    <row r="249" spans="1:8 16325:16384" s="3" customFormat="1" ht="19.95" customHeight="1">
      <c r="A249" s="6" t="str">
        <f t="shared" si="9"/>
        <v>040010</v>
      </c>
      <c r="B249" s="6" t="s">
        <v>20</v>
      </c>
      <c r="C249" s="6" t="s">
        <v>17</v>
      </c>
      <c r="D249" s="6" t="str">
        <f>"512523113"</f>
        <v>512523113</v>
      </c>
      <c r="E249" s="7">
        <v>78.5</v>
      </c>
      <c r="F249" s="7">
        <v>76.5</v>
      </c>
      <c r="G249" s="7"/>
      <c r="H249" s="7">
        <v>77.7</v>
      </c>
      <c r="XCW249" s="9"/>
      <c r="XCX249" s="9"/>
      <c r="XCY249" s="9"/>
      <c r="XCZ249" s="9"/>
      <c r="XDA249" s="9"/>
      <c r="XDB249" s="9"/>
      <c r="XDC249" s="9"/>
      <c r="XDD249" s="9"/>
      <c r="XDE249" s="9"/>
      <c r="XDF249" s="9"/>
      <c r="XDG249" s="9"/>
      <c r="XDH249" s="9"/>
      <c r="XDI249" s="9"/>
      <c r="XDJ249" s="9"/>
      <c r="XDK249" s="9"/>
      <c r="XDL249" s="9"/>
      <c r="XDM249" s="9"/>
      <c r="XDN249" s="9"/>
      <c r="XDO249" s="9"/>
      <c r="XDP249" s="9"/>
      <c r="XDQ249" s="9"/>
      <c r="XDR249" s="9"/>
      <c r="XDS249" s="9"/>
      <c r="XDT249" s="9"/>
      <c r="XDU249" s="9"/>
      <c r="XDV249" s="9"/>
      <c r="XDW249" s="9"/>
      <c r="XDX249" s="9"/>
      <c r="XDY249" s="9"/>
      <c r="XDZ249" s="9"/>
      <c r="XEA249" s="9"/>
      <c r="XEB249" s="9"/>
      <c r="XEC249" s="9"/>
      <c r="XED249" s="9"/>
      <c r="XEE249" s="9"/>
      <c r="XEF249" s="9"/>
      <c r="XEG249" s="9"/>
      <c r="XEH249" s="9"/>
      <c r="XEI249" s="9"/>
      <c r="XEJ249" s="9"/>
      <c r="XEK249" s="9"/>
      <c r="XEL249" s="9"/>
      <c r="XEM249" s="9"/>
      <c r="XEN249" s="9"/>
      <c r="XEO249" s="9"/>
      <c r="XEP249" s="9"/>
      <c r="XEQ249" s="9"/>
      <c r="XER249" s="9"/>
      <c r="XES249" s="9"/>
      <c r="XET249" s="9"/>
      <c r="XEU249" s="9"/>
      <c r="XEV249" s="9"/>
      <c r="XEW249" s="9"/>
      <c r="XEX249" s="9"/>
      <c r="XEY249" s="9"/>
      <c r="XEZ249" s="9"/>
      <c r="XFA249" s="9"/>
      <c r="XFB249" s="9"/>
      <c r="XFC249" s="9"/>
      <c r="XFD249" s="9"/>
    </row>
    <row r="250" spans="1:8 16325:16384" s="3" customFormat="1" ht="19.95" customHeight="1">
      <c r="A250" s="6" t="str">
        <f t="shared" si="9"/>
        <v>040010</v>
      </c>
      <c r="B250" s="6" t="s">
        <v>20</v>
      </c>
      <c r="C250" s="6" t="s">
        <v>17</v>
      </c>
      <c r="D250" s="6" t="str">
        <f>"512523219"</f>
        <v>512523219</v>
      </c>
      <c r="E250" s="7">
        <v>62</v>
      </c>
      <c r="F250" s="7">
        <v>62</v>
      </c>
      <c r="G250" s="7"/>
      <c r="H250" s="7">
        <v>62</v>
      </c>
      <c r="XCW250" s="9"/>
      <c r="XCX250" s="9"/>
      <c r="XCY250" s="9"/>
      <c r="XCZ250" s="9"/>
      <c r="XDA250" s="9"/>
      <c r="XDB250" s="9"/>
      <c r="XDC250" s="9"/>
      <c r="XDD250" s="9"/>
      <c r="XDE250" s="9"/>
      <c r="XDF250" s="9"/>
      <c r="XDG250" s="9"/>
      <c r="XDH250" s="9"/>
      <c r="XDI250" s="9"/>
      <c r="XDJ250" s="9"/>
      <c r="XDK250" s="9"/>
      <c r="XDL250" s="9"/>
      <c r="XDM250" s="9"/>
      <c r="XDN250" s="9"/>
      <c r="XDO250" s="9"/>
      <c r="XDP250" s="9"/>
      <c r="XDQ250" s="9"/>
      <c r="XDR250" s="9"/>
      <c r="XDS250" s="9"/>
      <c r="XDT250" s="9"/>
      <c r="XDU250" s="9"/>
      <c r="XDV250" s="9"/>
      <c r="XDW250" s="9"/>
      <c r="XDX250" s="9"/>
      <c r="XDY250" s="9"/>
      <c r="XDZ250" s="9"/>
      <c r="XEA250" s="9"/>
      <c r="XEB250" s="9"/>
      <c r="XEC250" s="9"/>
      <c r="XED250" s="9"/>
      <c r="XEE250" s="9"/>
      <c r="XEF250" s="9"/>
      <c r="XEG250" s="9"/>
      <c r="XEH250" s="9"/>
      <c r="XEI250" s="9"/>
      <c r="XEJ250" s="9"/>
      <c r="XEK250" s="9"/>
      <c r="XEL250" s="9"/>
      <c r="XEM250" s="9"/>
      <c r="XEN250" s="9"/>
      <c r="XEO250" s="9"/>
      <c r="XEP250" s="9"/>
      <c r="XEQ250" s="9"/>
      <c r="XER250" s="9"/>
      <c r="XES250" s="9"/>
      <c r="XET250" s="9"/>
      <c r="XEU250" s="9"/>
      <c r="XEV250" s="9"/>
      <c r="XEW250" s="9"/>
      <c r="XEX250" s="9"/>
      <c r="XEY250" s="9"/>
      <c r="XEZ250" s="9"/>
      <c r="XFA250" s="9"/>
      <c r="XFB250" s="9"/>
      <c r="XFC250" s="9"/>
      <c r="XFD250" s="9"/>
    </row>
    <row r="251" spans="1:8 16325:16384" s="3" customFormat="1" ht="19.95" customHeight="1">
      <c r="A251" s="6" t="str">
        <f t="shared" si="9"/>
        <v>040010</v>
      </c>
      <c r="B251" s="6" t="s">
        <v>20</v>
      </c>
      <c r="C251" s="6" t="s">
        <v>17</v>
      </c>
      <c r="D251" s="6" t="str">
        <f>"512523127"</f>
        <v>512523127</v>
      </c>
      <c r="E251" s="7">
        <v>50</v>
      </c>
      <c r="F251" s="7">
        <v>54.5</v>
      </c>
      <c r="G251" s="7"/>
      <c r="H251" s="7">
        <v>51.8</v>
      </c>
      <c r="XCW251" s="9"/>
      <c r="XCX251" s="9"/>
      <c r="XCY251" s="9"/>
      <c r="XCZ251" s="9"/>
      <c r="XDA251" s="9"/>
      <c r="XDB251" s="9"/>
      <c r="XDC251" s="9"/>
      <c r="XDD251" s="9"/>
      <c r="XDE251" s="9"/>
      <c r="XDF251" s="9"/>
      <c r="XDG251" s="9"/>
      <c r="XDH251" s="9"/>
      <c r="XDI251" s="9"/>
      <c r="XDJ251" s="9"/>
      <c r="XDK251" s="9"/>
      <c r="XDL251" s="9"/>
      <c r="XDM251" s="9"/>
      <c r="XDN251" s="9"/>
      <c r="XDO251" s="9"/>
      <c r="XDP251" s="9"/>
      <c r="XDQ251" s="9"/>
      <c r="XDR251" s="9"/>
      <c r="XDS251" s="9"/>
      <c r="XDT251" s="9"/>
      <c r="XDU251" s="9"/>
      <c r="XDV251" s="9"/>
      <c r="XDW251" s="9"/>
      <c r="XDX251" s="9"/>
      <c r="XDY251" s="9"/>
      <c r="XDZ251" s="9"/>
      <c r="XEA251" s="9"/>
      <c r="XEB251" s="9"/>
      <c r="XEC251" s="9"/>
      <c r="XED251" s="9"/>
      <c r="XEE251" s="9"/>
      <c r="XEF251" s="9"/>
      <c r="XEG251" s="9"/>
      <c r="XEH251" s="9"/>
      <c r="XEI251" s="9"/>
      <c r="XEJ251" s="9"/>
      <c r="XEK251" s="9"/>
      <c r="XEL251" s="9"/>
      <c r="XEM251" s="9"/>
      <c r="XEN251" s="9"/>
      <c r="XEO251" s="9"/>
      <c r="XEP251" s="9"/>
      <c r="XEQ251" s="9"/>
      <c r="XER251" s="9"/>
      <c r="XES251" s="9"/>
      <c r="XET251" s="9"/>
      <c r="XEU251" s="9"/>
      <c r="XEV251" s="9"/>
      <c r="XEW251" s="9"/>
      <c r="XEX251" s="9"/>
      <c r="XEY251" s="9"/>
      <c r="XEZ251" s="9"/>
      <c r="XFA251" s="9"/>
      <c r="XFB251" s="9"/>
      <c r="XFC251" s="9"/>
      <c r="XFD251" s="9"/>
    </row>
    <row r="252" spans="1:8 16325:16384" s="3" customFormat="1" ht="19.95" customHeight="1">
      <c r="A252" s="6" t="str">
        <f t="shared" si="9"/>
        <v>040010</v>
      </c>
      <c r="B252" s="6" t="s">
        <v>20</v>
      </c>
      <c r="C252" s="6" t="s">
        <v>17</v>
      </c>
      <c r="D252" s="6" t="str">
        <f>"512523209"</f>
        <v>512523209</v>
      </c>
      <c r="E252" s="7">
        <v>81</v>
      </c>
      <c r="F252" s="7">
        <v>90</v>
      </c>
      <c r="G252" s="7"/>
      <c r="H252" s="7">
        <v>84.6</v>
      </c>
      <c r="XCW252" s="9"/>
      <c r="XCX252" s="9"/>
      <c r="XCY252" s="9"/>
      <c r="XCZ252" s="9"/>
      <c r="XDA252" s="9"/>
      <c r="XDB252" s="9"/>
      <c r="XDC252" s="9"/>
      <c r="XDD252" s="9"/>
      <c r="XDE252" s="9"/>
      <c r="XDF252" s="9"/>
      <c r="XDG252" s="9"/>
      <c r="XDH252" s="9"/>
      <c r="XDI252" s="9"/>
      <c r="XDJ252" s="9"/>
      <c r="XDK252" s="9"/>
      <c r="XDL252" s="9"/>
      <c r="XDM252" s="9"/>
      <c r="XDN252" s="9"/>
      <c r="XDO252" s="9"/>
      <c r="XDP252" s="9"/>
      <c r="XDQ252" s="9"/>
      <c r="XDR252" s="9"/>
      <c r="XDS252" s="9"/>
      <c r="XDT252" s="9"/>
      <c r="XDU252" s="9"/>
      <c r="XDV252" s="9"/>
      <c r="XDW252" s="9"/>
      <c r="XDX252" s="9"/>
      <c r="XDY252" s="9"/>
      <c r="XDZ252" s="9"/>
      <c r="XEA252" s="9"/>
      <c r="XEB252" s="9"/>
      <c r="XEC252" s="9"/>
      <c r="XED252" s="9"/>
      <c r="XEE252" s="9"/>
      <c r="XEF252" s="9"/>
      <c r="XEG252" s="9"/>
      <c r="XEH252" s="9"/>
      <c r="XEI252" s="9"/>
      <c r="XEJ252" s="9"/>
      <c r="XEK252" s="9"/>
      <c r="XEL252" s="9"/>
      <c r="XEM252" s="9"/>
      <c r="XEN252" s="9"/>
      <c r="XEO252" s="9"/>
      <c r="XEP252" s="9"/>
      <c r="XEQ252" s="9"/>
      <c r="XER252" s="9"/>
      <c r="XES252" s="9"/>
      <c r="XET252" s="9"/>
      <c r="XEU252" s="9"/>
      <c r="XEV252" s="9"/>
      <c r="XEW252" s="9"/>
      <c r="XEX252" s="9"/>
      <c r="XEY252" s="9"/>
      <c r="XEZ252" s="9"/>
      <c r="XFA252" s="9"/>
      <c r="XFB252" s="9"/>
      <c r="XFC252" s="9"/>
      <c r="XFD252" s="9"/>
    </row>
    <row r="253" spans="1:8 16325:16384" s="3" customFormat="1" ht="19.95" customHeight="1">
      <c r="A253" s="6" t="str">
        <f t="shared" si="9"/>
        <v>040010</v>
      </c>
      <c r="B253" s="6" t="s">
        <v>20</v>
      </c>
      <c r="C253" s="6" t="s">
        <v>17</v>
      </c>
      <c r="D253" s="6" t="str">
        <f>"512523201"</f>
        <v>512523201</v>
      </c>
      <c r="E253" s="7">
        <v>77.5</v>
      </c>
      <c r="F253" s="7">
        <v>60.5</v>
      </c>
      <c r="G253" s="7"/>
      <c r="H253" s="7">
        <v>70.7</v>
      </c>
      <c r="XCW253" s="9"/>
      <c r="XCX253" s="9"/>
      <c r="XCY253" s="9"/>
      <c r="XCZ253" s="9"/>
      <c r="XDA253" s="9"/>
      <c r="XDB253" s="9"/>
      <c r="XDC253" s="9"/>
      <c r="XDD253" s="9"/>
      <c r="XDE253" s="9"/>
      <c r="XDF253" s="9"/>
      <c r="XDG253" s="9"/>
      <c r="XDH253" s="9"/>
      <c r="XDI253" s="9"/>
      <c r="XDJ253" s="9"/>
      <c r="XDK253" s="9"/>
      <c r="XDL253" s="9"/>
      <c r="XDM253" s="9"/>
      <c r="XDN253" s="9"/>
      <c r="XDO253" s="9"/>
      <c r="XDP253" s="9"/>
      <c r="XDQ253" s="9"/>
      <c r="XDR253" s="9"/>
      <c r="XDS253" s="9"/>
      <c r="XDT253" s="9"/>
      <c r="XDU253" s="9"/>
      <c r="XDV253" s="9"/>
      <c r="XDW253" s="9"/>
      <c r="XDX253" s="9"/>
      <c r="XDY253" s="9"/>
      <c r="XDZ253" s="9"/>
      <c r="XEA253" s="9"/>
      <c r="XEB253" s="9"/>
      <c r="XEC253" s="9"/>
      <c r="XED253" s="9"/>
      <c r="XEE253" s="9"/>
      <c r="XEF253" s="9"/>
      <c r="XEG253" s="9"/>
      <c r="XEH253" s="9"/>
      <c r="XEI253" s="9"/>
      <c r="XEJ253" s="9"/>
      <c r="XEK253" s="9"/>
      <c r="XEL253" s="9"/>
      <c r="XEM253" s="9"/>
      <c r="XEN253" s="9"/>
      <c r="XEO253" s="9"/>
      <c r="XEP253" s="9"/>
      <c r="XEQ253" s="9"/>
      <c r="XER253" s="9"/>
      <c r="XES253" s="9"/>
      <c r="XET253" s="9"/>
      <c r="XEU253" s="9"/>
      <c r="XEV253" s="9"/>
      <c r="XEW253" s="9"/>
      <c r="XEX253" s="9"/>
      <c r="XEY253" s="9"/>
      <c r="XEZ253" s="9"/>
      <c r="XFA253" s="9"/>
      <c r="XFB253" s="9"/>
      <c r="XFC253" s="9"/>
      <c r="XFD253" s="9"/>
    </row>
    <row r="254" spans="1:8 16325:16384" s="3" customFormat="1" ht="19.95" customHeight="1">
      <c r="A254" s="6" t="str">
        <f t="shared" si="9"/>
        <v>040010</v>
      </c>
      <c r="B254" s="6" t="s">
        <v>20</v>
      </c>
      <c r="C254" s="6" t="s">
        <v>17</v>
      </c>
      <c r="D254" s="6" t="str">
        <f>"512523119"</f>
        <v>512523119</v>
      </c>
      <c r="E254" s="7">
        <v>69</v>
      </c>
      <c r="F254" s="7">
        <v>65</v>
      </c>
      <c r="G254" s="7"/>
      <c r="H254" s="7">
        <v>67.400000000000006</v>
      </c>
      <c r="XCW254" s="9"/>
      <c r="XCX254" s="9"/>
      <c r="XCY254" s="9"/>
      <c r="XCZ254" s="9"/>
      <c r="XDA254" s="9"/>
      <c r="XDB254" s="9"/>
      <c r="XDC254" s="9"/>
      <c r="XDD254" s="9"/>
      <c r="XDE254" s="9"/>
      <c r="XDF254" s="9"/>
      <c r="XDG254" s="9"/>
      <c r="XDH254" s="9"/>
      <c r="XDI254" s="9"/>
      <c r="XDJ254" s="9"/>
      <c r="XDK254" s="9"/>
      <c r="XDL254" s="9"/>
      <c r="XDM254" s="9"/>
      <c r="XDN254" s="9"/>
      <c r="XDO254" s="9"/>
      <c r="XDP254" s="9"/>
      <c r="XDQ254" s="9"/>
      <c r="XDR254" s="9"/>
      <c r="XDS254" s="9"/>
      <c r="XDT254" s="9"/>
      <c r="XDU254" s="9"/>
      <c r="XDV254" s="9"/>
      <c r="XDW254" s="9"/>
      <c r="XDX254" s="9"/>
      <c r="XDY254" s="9"/>
      <c r="XDZ254" s="9"/>
      <c r="XEA254" s="9"/>
      <c r="XEB254" s="9"/>
      <c r="XEC254" s="9"/>
      <c r="XED254" s="9"/>
      <c r="XEE254" s="9"/>
      <c r="XEF254" s="9"/>
      <c r="XEG254" s="9"/>
      <c r="XEH254" s="9"/>
      <c r="XEI254" s="9"/>
      <c r="XEJ254" s="9"/>
      <c r="XEK254" s="9"/>
      <c r="XEL254" s="9"/>
      <c r="XEM254" s="9"/>
      <c r="XEN254" s="9"/>
      <c r="XEO254" s="9"/>
      <c r="XEP254" s="9"/>
      <c r="XEQ254" s="9"/>
      <c r="XER254" s="9"/>
      <c r="XES254" s="9"/>
      <c r="XET254" s="9"/>
      <c r="XEU254" s="9"/>
      <c r="XEV254" s="9"/>
      <c r="XEW254" s="9"/>
      <c r="XEX254" s="9"/>
      <c r="XEY254" s="9"/>
      <c r="XEZ254" s="9"/>
      <c r="XFA254" s="9"/>
      <c r="XFB254" s="9"/>
      <c r="XFC254" s="9"/>
      <c r="XFD254" s="9"/>
    </row>
    <row r="255" spans="1:8 16325:16384" s="3" customFormat="1" ht="19.95" customHeight="1">
      <c r="A255" s="6" t="str">
        <f t="shared" si="9"/>
        <v>040010</v>
      </c>
      <c r="B255" s="6" t="s">
        <v>20</v>
      </c>
      <c r="C255" s="6" t="s">
        <v>17</v>
      </c>
      <c r="D255" s="6" t="str">
        <f>"512523203"</f>
        <v>512523203</v>
      </c>
      <c r="E255" s="7">
        <v>49.5</v>
      </c>
      <c r="F255" s="7">
        <v>67.5</v>
      </c>
      <c r="G255" s="7"/>
      <c r="H255" s="7">
        <v>56.7</v>
      </c>
      <c r="XCW255" s="9"/>
      <c r="XCX255" s="9"/>
      <c r="XCY255" s="9"/>
      <c r="XCZ255" s="9"/>
      <c r="XDA255" s="9"/>
      <c r="XDB255" s="9"/>
      <c r="XDC255" s="9"/>
      <c r="XDD255" s="9"/>
      <c r="XDE255" s="9"/>
      <c r="XDF255" s="9"/>
      <c r="XDG255" s="9"/>
      <c r="XDH255" s="9"/>
      <c r="XDI255" s="9"/>
      <c r="XDJ255" s="9"/>
      <c r="XDK255" s="9"/>
      <c r="XDL255" s="9"/>
      <c r="XDM255" s="9"/>
      <c r="XDN255" s="9"/>
      <c r="XDO255" s="9"/>
      <c r="XDP255" s="9"/>
      <c r="XDQ255" s="9"/>
      <c r="XDR255" s="9"/>
      <c r="XDS255" s="9"/>
      <c r="XDT255" s="9"/>
      <c r="XDU255" s="9"/>
      <c r="XDV255" s="9"/>
      <c r="XDW255" s="9"/>
      <c r="XDX255" s="9"/>
      <c r="XDY255" s="9"/>
      <c r="XDZ255" s="9"/>
      <c r="XEA255" s="9"/>
      <c r="XEB255" s="9"/>
      <c r="XEC255" s="9"/>
      <c r="XED255" s="9"/>
      <c r="XEE255" s="9"/>
      <c r="XEF255" s="9"/>
      <c r="XEG255" s="9"/>
      <c r="XEH255" s="9"/>
      <c r="XEI255" s="9"/>
      <c r="XEJ255" s="9"/>
      <c r="XEK255" s="9"/>
      <c r="XEL255" s="9"/>
      <c r="XEM255" s="9"/>
      <c r="XEN255" s="9"/>
      <c r="XEO255" s="9"/>
      <c r="XEP255" s="9"/>
      <c r="XEQ255" s="9"/>
      <c r="XER255" s="9"/>
      <c r="XES255" s="9"/>
      <c r="XET255" s="9"/>
      <c r="XEU255" s="9"/>
      <c r="XEV255" s="9"/>
      <c r="XEW255" s="9"/>
      <c r="XEX255" s="9"/>
      <c r="XEY255" s="9"/>
      <c r="XEZ255" s="9"/>
      <c r="XFA255" s="9"/>
      <c r="XFB255" s="9"/>
      <c r="XFC255" s="9"/>
      <c r="XFD255" s="9"/>
    </row>
    <row r="256" spans="1:8 16325:16384" s="3" customFormat="1" ht="19.95" customHeight="1">
      <c r="A256" s="6" t="str">
        <f t="shared" si="9"/>
        <v>040010</v>
      </c>
      <c r="B256" s="6" t="s">
        <v>20</v>
      </c>
      <c r="C256" s="6" t="s">
        <v>17</v>
      </c>
      <c r="D256" s="6" t="str">
        <f>"512523205"</f>
        <v>512523205</v>
      </c>
      <c r="E256" s="7">
        <v>46</v>
      </c>
      <c r="F256" s="7">
        <v>62.5</v>
      </c>
      <c r="G256" s="7"/>
      <c r="H256" s="7">
        <v>52.6</v>
      </c>
      <c r="XCW256" s="9"/>
      <c r="XCX256" s="9"/>
      <c r="XCY256" s="9"/>
      <c r="XCZ256" s="9"/>
      <c r="XDA256" s="9"/>
      <c r="XDB256" s="9"/>
      <c r="XDC256" s="9"/>
      <c r="XDD256" s="9"/>
      <c r="XDE256" s="9"/>
      <c r="XDF256" s="9"/>
      <c r="XDG256" s="9"/>
      <c r="XDH256" s="9"/>
      <c r="XDI256" s="9"/>
      <c r="XDJ256" s="9"/>
      <c r="XDK256" s="9"/>
      <c r="XDL256" s="9"/>
      <c r="XDM256" s="9"/>
      <c r="XDN256" s="9"/>
      <c r="XDO256" s="9"/>
      <c r="XDP256" s="9"/>
      <c r="XDQ256" s="9"/>
      <c r="XDR256" s="9"/>
      <c r="XDS256" s="9"/>
      <c r="XDT256" s="9"/>
      <c r="XDU256" s="9"/>
      <c r="XDV256" s="9"/>
      <c r="XDW256" s="9"/>
      <c r="XDX256" s="9"/>
      <c r="XDY256" s="9"/>
      <c r="XDZ256" s="9"/>
      <c r="XEA256" s="9"/>
      <c r="XEB256" s="9"/>
      <c r="XEC256" s="9"/>
      <c r="XED256" s="9"/>
      <c r="XEE256" s="9"/>
      <c r="XEF256" s="9"/>
      <c r="XEG256" s="9"/>
      <c r="XEH256" s="9"/>
      <c r="XEI256" s="9"/>
      <c r="XEJ256" s="9"/>
      <c r="XEK256" s="9"/>
      <c r="XEL256" s="9"/>
      <c r="XEM256" s="9"/>
      <c r="XEN256" s="9"/>
      <c r="XEO256" s="9"/>
      <c r="XEP256" s="9"/>
      <c r="XEQ256" s="9"/>
      <c r="XER256" s="9"/>
      <c r="XES256" s="9"/>
      <c r="XET256" s="9"/>
      <c r="XEU256" s="9"/>
      <c r="XEV256" s="9"/>
      <c r="XEW256" s="9"/>
      <c r="XEX256" s="9"/>
      <c r="XEY256" s="9"/>
      <c r="XEZ256" s="9"/>
      <c r="XFA256" s="9"/>
      <c r="XFB256" s="9"/>
      <c r="XFC256" s="9"/>
      <c r="XFD256" s="9"/>
    </row>
    <row r="257" spans="1:8 16325:16384" s="3" customFormat="1" ht="19.95" customHeight="1">
      <c r="A257" s="6" t="str">
        <f t="shared" si="9"/>
        <v>040010</v>
      </c>
      <c r="B257" s="6" t="s">
        <v>20</v>
      </c>
      <c r="C257" s="6" t="s">
        <v>17</v>
      </c>
      <c r="D257" s="6" t="str">
        <f>"512523211"</f>
        <v>512523211</v>
      </c>
      <c r="E257" s="7">
        <v>71.5</v>
      </c>
      <c r="F257" s="7">
        <v>69.5</v>
      </c>
      <c r="G257" s="7"/>
      <c r="H257" s="7">
        <v>70.7</v>
      </c>
      <c r="XCW257" s="9"/>
      <c r="XCX257" s="9"/>
      <c r="XCY257" s="9"/>
      <c r="XCZ257" s="9"/>
      <c r="XDA257" s="9"/>
      <c r="XDB257" s="9"/>
      <c r="XDC257" s="9"/>
      <c r="XDD257" s="9"/>
      <c r="XDE257" s="9"/>
      <c r="XDF257" s="9"/>
      <c r="XDG257" s="9"/>
      <c r="XDH257" s="9"/>
      <c r="XDI257" s="9"/>
      <c r="XDJ257" s="9"/>
      <c r="XDK257" s="9"/>
      <c r="XDL257" s="9"/>
      <c r="XDM257" s="9"/>
      <c r="XDN257" s="9"/>
      <c r="XDO257" s="9"/>
      <c r="XDP257" s="9"/>
      <c r="XDQ257" s="9"/>
      <c r="XDR257" s="9"/>
      <c r="XDS257" s="9"/>
      <c r="XDT257" s="9"/>
      <c r="XDU257" s="9"/>
      <c r="XDV257" s="9"/>
      <c r="XDW257" s="9"/>
      <c r="XDX257" s="9"/>
      <c r="XDY257" s="9"/>
      <c r="XDZ257" s="9"/>
      <c r="XEA257" s="9"/>
      <c r="XEB257" s="9"/>
      <c r="XEC257" s="9"/>
      <c r="XED257" s="9"/>
      <c r="XEE257" s="9"/>
      <c r="XEF257" s="9"/>
      <c r="XEG257" s="9"/>
      <c r="XEH257" s="9"/>
      <c r="XEI257" s="9"/>
      <c r="XEJ257" s="9"/>
      <c r="XEK257" s="9"/>
      <c r="XEL257" s="9"/>
      <c r="XEM257" s="9"/>
      <c r="XEN257" s="9"/>
      <c r="XEO257" s="9"/>
      <c r="XEP257" s="9"/>
      <c r="XEQ257" s="9"/>
      <c r="XER257" s="9"/>
      <c r="XES257" s="9"/>
      <c r="XET257" s="9"/>
      <c r="XEU257" s="9"/>
      <c r="XEV257" s="9"/>
      <c r="XEW257" s="9"/>
      <c r="XEX257" s="9"/>
      <c r="XEY257" s="9"/>
      <c r="XEZ257" s="9"/>
      <c r="XFA257" s="9"/>
      <c r="XFB257" s="9"/>
      <c r="XFC257" s="9"/>
      <c r="XFD257" s="9"/>
    </row>
    <row r="258" spans="1:8 16325:16384" s="3" customFormat="1" ht="19.95" customHeight="1">
      <c r="A258" s="6" t="str">
        <f t="shared" si="9"/>
        <v>040010</v>
      </c>
      <c r="B258" s="6" t="s">
        <v>20</v>
      </c>
      <c r="C258" s="6" t="s">
        <v>17</v>
      </c>
      <c r="D258" s="6" t="str">
        <f>"512523124"</f>
        <v>512523124</v>
      </c>
      <c r="E258" s="7">
        <v>62</v>
      </c>
      <c r="F258" s="7">
        <v>67.5</v>
      </c>
      <c r="G258" s="7"/>
      <c r="H258" s="7">
        <v>64.2</v>
      </c>
      <c r="XCW258" s="9"/>
      <c r="XCX258" s="9"/>
      <c r="XCY258" s="9"/>
      <c r="XCZ258" s="9"/>
      <c r="XDA258" s="9"/>
      <c r="XDB258" s="9"/>
      <c r="XDC258" s="9"/>
      <c r="XDD258" s="9"/>
      <c r="XDE258" s="9"/>
      <c r="XDF258" s="9"/>
      <c r="XDG258" s="9"/>
      <c r="XDH258" s="9"/>
      <c r="XDI258" s="9"/>
      <c r="XDJ258" s="9"/>
      <c r="XDK258" s="9"/>
      <c r="XDL258" s="9"/>
      <c r="XDM258" s="9"/>
      <c r="XDN258" s="9"/>
      <c r="XDO258" s="9"/>
      <c r="XDP258" s="9"/>
      <c r="XDQ258" s="9"/>
      <c r="XDR258" s="9"/>
      <c r="XDS258" s="9"/>
      <c r="XDT258" s="9"/>
      <c r="XDU258" s="9"/>
      <c r="XDV258" s="9"/>
      <c r="XDW258" s="9"/>
      <c r="XDX258" s="9"/>
      <c r="XDY258" s="9"/>
      <c r="XDZ258" s="9"/>
      <c r="XEA258" s="9"/>
      <c r="XEB258" s="9"/>
      <c r="XEC258" s="9"/>
      <c r="XED258" s="9"/>
      <c r="XEE258" s="9"/>
      <c r="XEF258" s="9"/>
      <c r="XEG258" s="9"/>
      <c r="XEH258" s="9"/>
      <c r="XEI258" s="9"/>
      <c r="XEJ258" s="9"/>
      <c r="XEK258" s="9"/>
      <c r="XEL258" s="9"/>
      <c r="XEM258" s="9"/>
      <c r="XEN258" s="9"/>
      <c r="XEO258" s="9"/>
      <c r="XEP258" s="9"/>
      <c r="XEQ258" s="9"/>
      <c r="XER258" s="9"/>
      <c r="XES258" s="9"/>
      <c r="XET258" s="9"/>
      <c r="XEU258" s="9"/>
      <c r="XEV258" s="9"/>
      <c r="XEW258" s="9"/>
      <c r="XEX258" s="9"/>
      <c r="XEY258" s="9"/>
      <c r="XEZ258" s="9"/>
      <c r="XFA258" s="9"/>
      <c r="XFB258" s="9"/>
      <c r="XFC258" s="9"/>
      <c r="XFD258" s="9"/>
    </row>
    <row r="259" spans="1:8 16325:16384" s="3" customFormat="1" ht="19.95" customHeight="1">
      <c r="A259" s="6" t="str">
        <f t="shared" si="9"/>
        <v>040010</v>
      </c>
      <c r="B259" s="6" t="s">
        <v>20</v>
      </c>
      <c r="C259" s="6" t="s">
        <v>17</v>
      </c>
      <c r="D259" s="6" t="str">
        <f>"512523207"</f>
        <v>512523207</v>
      </c>
      <c r="E259" s="7">
        <v>73</v>
      </c>
      <c r="F259" s="7">
        <v>80</v>
      </c>
      <c r="G259" s="7"/>
      <c r="H259" s="7">
        <v>75.8</v>
      </c>
      <c r="XCW259" s="9"/>
      <c r="XCX259" s="9"/>
      <c r="XCY259" s="9"/>
      <c r="XCZ259" s="9"/>
      <c r="XDA259" s="9"/>
      <c r="XDB259" s="9"/>
      <c r="XDC259" s="9"/>
      <c r="XDD259" s="9"/>
      <c r="XDE259" s="9"/>
      <c r="XDF259" s="9"/>
      <c r="XDG259" s="9"/>
      <c r="XDH259" s="9"/>
      <c r="XDI259" s="9"/>
      <c r="XDJ259" s="9"/>
      <c r="XDK259" s="9"/>
      <c r="XDL259" s="9"/>
      <c r="XDM259" s="9"/>
      <c r="XDN259" s="9"/>
      <c r="XDO259" s="9"/>
      <c r="XDP259" s="9"/>
      <c r="XDQ259" s="9"/>
      <c r="XDR259" s="9"/>
      <c r="XDS259" s="9"/>
      <c r="XDT259" s="9"/>
      <c r="XDU259" s="9"/>
      <c r="XDV259" s="9"/>
      <c r="XDW259" s="9"/>
      <c r="XDX259" s="9"/>
      <c r="XDY259" s="9"/>
      <c r="XDZ259" s="9"/>
      <c r="XEA259" s="9"/>
      <c r="XEB259" s="9"/>
      <c r="XEC259" s="9"/>
      <c r="XED259" s="9"/>
      <c r="XEE259" s="9"/>
      <c r="XEF259" s="9"/>
      <c r="XEG259" s="9"/>
      <c r="XEH259" s="9"/>
      <c r="XEI259" s="9"/>
      <c r="XEJ259" s="9"/>
      <c r="XEK259" s="9"/>
      <c r="XEL259" s="9"/>
      <c r="XEM259" s="9"/>
      <c r="XEN259" s="9"/>
      <c r="XEO259" s="9"/>
      <c r="XEP259" s="9"/>
      <c r="XEQ259" s="9"/>
      <c r="XER259" s="9"/>
      <c r="XES259" s="9"/>
      <c r="XET259" s="9"/>
      <c r="XEU259" s="9"/>
      <c r="XEV259" s="9"/>
      <c r="XEW259" s="9"/>
      <c r="XEX259" s="9"/>
      <c r="XEY259" s="9"/>
      <c r="XEZ259" s="9"/>
      <c r="XFA259" s="9"/>
      <c r="XFB259" s="9"/>
      <c r="XFC259" s="9"/>
      <c r="XFD259" s="9"/>
    </row>
    <row r="260" spans="1:8 16325:16384" s="3" customFormat="1" ht="19.95" customHeight="1">
      <c r="A260" s="6" t="str">
        <f t="shared" si="9"/>
        <v>040010</v>
      </c>
      <c r="B260" s="6" t="s">
        <v>20</v>
      </c>
      <c r="C260" s="6" t="s">
        <v>17</v>
      </c>
      <c r="D260" s="6" t="str">
        <f>"512523214"</f>
        <v>512523214</v>
      </c>
      <c r="E260" s="7">
        <v>0</v>
      </c>
      <c r="F260" s="7">
        <v>0</v>
      </c>
      <c r="G260" s="7"/>
      <c r="H260" s="7">
        <v>0</v>
      </c>
      <c r="XCW260" s="9"/>
      <c r="XCX260" s="9"/>
      <c r="XCY260" s="9"/>
      <c r="XCZ260" s="9"/>
      <c r="XDA260" s="9"/>
      <c r="XDB260" s="9"/>
      <c r="XDC260" s="9"/>
      <c r="XDD260" s="9"/>
      <c r="XDE260" s="9"/>
      <c r="XDF260" s="9"/>
      <c r="XDG260" s="9"/>
      <c r="XDH260" s="9"/>
      <c r="XDI260" s="9"/>
      <c r="XDJ260" s="9"/>
      <c r="XDK260" s="9"/>
      <c r="XDL260" s="9"/>
      <c r="XDM260" s="9"/>
      <c r="XDN260" s="9"/>
      <c r="XDO260" s="9"/>
      <c r="XDP260" s="9"/>
      <c r="XDQ260" s="9"/>
      <c r="XDR260" s="9"/>
      <c r="XDS260" s="9"/>
      <c r="XDT260" s="9"/>
      <c r="XDU260" s="9"/>
      <c r="XDV260" s="9"/>
      <c r="XDW260" s="9"/>
      <c r="XDX260" s="9"/>
      <c r="XDY260" s="9"/>
      <c r="XDZ260" s="9"/>
      <c r="XEA260" s="9"/>
      <c r="XEB260" s="9"/>
      <c r="XEC260" s="9"/>
      <c r="XED260" s="9"/>
      <c r="XEE260" s="9"/>
      <c r="XEF260" s="9"/>
      <c r="XEG260" s="9"/>
      <c r="XEH260" s="9"/>
      <c r="XEI260" s="9"/>
      <c r="XEJ260" s="9"/>
      <c r="XEK260" s="9"/>
      <c r="XEL260" s="9"/>
      <c r="XEM260" s="9"/>
      <c r="XEN260" s="9"/>
      <c r="XEO260" s="9"/>
      <c r="XEP260" s="9"/>
      <c r="XEQ260" s="9"/>
      <c r="XER260" s="9"/>
      <c r="XES260" s="9"/>
      <c r="XET260" s="9"/>
      <c r="XEU260" s="9"/>
      <c r="XEV260" s="9"/>
      <c r="XEW260" s="9"/>
      <c r="XEX260" s="9"/>
      <c r="XEY260" s="9"/>
      <c r="XEZ260" s="9"/>
      <c r="XFA260" s="9"/>
      <c r="XFB260" s="9"/>
      <c r="XFC260" s="9"/>
      <c r="XFD260" s="9"/>
    </row>
    <row r="261" spans="1:8 16325:16384" s="3" customFormat="1" ht="19.95" customHeight="1">
      <c r="A261" s="6" t="str">
        <f t="shared" si="9"/>
        <v>040010</v>
      </c>
      <c r="B261" s="6" t="s">
        <v>20</v>
      </c>
      <c r="C261" s="6" t="s">
        <v>17</v>
      </c>
      <c r="D261" s="6" t="str">
        <f>"512523206"</f>
        <v>512523206</v>
      </c>
      <c r="E261" s="7">
        <v>35.5</v>
      </c>
      <c r="F261" s="7">
        <v>63</v>
      </c>
      <c r="G261" s="7"/>
      <c r="H261" s="7">
        <v>46.5</v>
      </c>
      <c r="XCW261" s="9"/>
      <c r="XCX261" s="9"/>
      <c r="XCY261" s="9"/>
      <c r="XCZ261" s="9"/>
      <c r="XDA261" s="9"/>
      <c r="XDB261" s="9"/>
      <c r="XDC261" s="9"/>
      <c r="XDD261" s="9"/>
      <c r="XDE261" s="9"/>
      <c r="XDF261" s="9"/>
      <c r="XDG261" s="9"/>
      <c r="XDH261" s="9"/>
      <c r="XDI261" s="9"/>
      <c r="XDJ261" s="9"/>
      <c r="XDK261" s="9"/>
      <c r="XDL261" s="9"/>
      <c r="XDM261" s="9"/>
      <c r="XDN261" s="9"/>
      <c r="XDO261" s="9"/>
      <c r="XDP261" s="9"/>
      <c r="XDQ261" s="9"/>
      <c r="XDR261" s="9"/>
      <c r="XDS261" s="9"/>
      <c r="XDT261" s="9"/>
      <c r="XDU261" s="9"/>
      <c r="XDV261" s="9"/>
      <c r="XDW261" s="9"/>
      <c r="XDX261" s="9"/>
      <c r="XDY261" s="9"/>
      <c r="XDZ261" s="9"/>
      <c r="XEA261" s="9"/>
      <c r="XEB261" s="9"/>
      <c r="XEC261" s="9"/>
      <c r="XED261" s="9"/>
      <c r="XEE261" s="9"/>
      <c r="XEF261" s="9"/>
      <c r="XEG261" s="9"/>
      <c r="XEH261" s="9"/>
      <c r="XEI261" s="9"/>
      <c r="XEJ261" s="9"/>
      <c r="XEK261" s="9"/>
      <c r="XEL261" s="9"/>
      <c r="XEM261" s="9"/>
      <c r="XEN261" s="9"/>
      <c r="XEO261" s="9"/>
      <c r="XEP261" s="9"/>
      <c r="XEQ261" s="9"/>
      <c r="XER261" s="9"/>
      <c r="XES261" s="9"/>
      <c r="XET261" s="9"/>
      <c r="XEU261" s="9"/>
      <c r="XEV261" s="9"/>
      <c r="XEW261" s="9"/>
      <c r="XEX261" s="9"/>
      <c r="XEY261" s="9"/>
      <c r="XEZ261" s="9"/>
      <c r="XFA261" s="9"/>
      <c r="XFB261" s="9"/>
      <c r="XFC261" s="9"/>
      <c r="XFD261" s="9"/>
    </row>
    <row r="262" spans="1:8 16325:16384" s="3" customFormat="1" ht="19.95" customHeight="1">
      <c r="A262" s="6" t="str">
        <f t="shared" si="9"/>
        <v>040010</v>
      </c>
      <c r="B262" s="6" t="s">
        <v>20</v>
      </c>
      <c r="C262" s="6" t="s">
        <v>17</v>
      </c>
      <c r="D262" s="6" t="str">
        <f>"512523204"</f>
        <v>512523204</v>
      </c>
      <c r="E262" s="7">
        <v>69.5</v>
      </c>
      <c r="F262" s="7">
        <v>67.5</v>
      </c>
      <c r="G262" s="7"/>
      <c r="H262" s="7">
        <v>68.7</v>
      </c>
      <c r="XCW262" s="9"/>
      <c r="XCX262" s="9"/>
      <c r="XCY262" s="9"/>
      <c r="XCZ262" s="9"/>
      <c r="XDA262" s="9"/>
      <c r="XDB262" s="9"/>
      <c r="XDC262" s="9"/>
      <c r="XDD262" s="9"/>
      <c r="XDE262" s="9"/>
      <c r="XDF262" s="9"/>
      <c r="XDG262" s="9"/>
      <c r="XDH262" s="9"/>
      <c r="XDI262" s="9"/>
      <c r="XDJ262" s="9"/>
      <c r="XDK262" s="9"/>
      <c r="XDL262" s="9"/>
      <c r="XDM262" s="9"/>
      <c r="XDN262" s="9"/>
      <c r="XDO262" s="9"/>
      <c r="XDP262" s="9"/>
      <c r="XDQ262" s="9"/>
      <c r="XDR262" s="9"/>
      <c r="XDS262" s="9"/>
      <c r="XDT262" s="9"/>
      <c r="XDU262" s="9"/>
      <c r="XDV262" s="9"/>
      <c r="XDW262" s="9"/>
      <c r="XDX262" s="9"/>
      <c r="XDY262" s="9"/>
      <c r="XDZ262" s="9"/>
      <c r="XEA262" s="9"/>
      <c r="XEB262" s="9"/>
      <c r="XEC262" s="9"/>
      <c r="XED262" s="9"/>
      <c r="XEE262" s="9"/>
      <c r="XEF262" s="9"/>
      <c r="XEG262" s="9"/>
      <c r="XEH262" s="9"/>
      <c r="XEI262" s="9"/>
      <c r="XEJ262" s="9"/>
      <c r="XEK262" s="9"/>
      <c r="XEL262" s="9"/>
      <c r="XEM262" s="9"/>
      <c r="XEN262" s="9"/>
      <c r="XEO262" s="9"/>
      <c r="XEP262" s="9"/>
      <c r="XEQ262" s="9"/>
      <c r="XER262" s="9"/>
      <c r="XES262" s="9"/>
      <c r="XET262" s="9"/>
      <c r="XEU262" s="9"/>
      <c r="XEV262" s="9"/>
      <c r="XEW262" s="9"/>
      <c r="XEX262" s="9"/>
      <c r="XEY262" s="9"/>
      <c r="XEZ262" s="9"/>
      <c r="XFA262" s="9"/>
      <c r="XFB262" s="9"/>
      <c r="XFC262" s="9"/>
      <c r="XFD262" s="9"/>
    </row>
    <row r="263" spans="1:8 16325:16384" s="3" customFormat="1" ht="19.95" customHeight="1">
      <c r="A263" s="6" t="str">
        <f t="shared" si="9"/>
        <v>040010</v>
      </c>
      <c r="B263" s="6" t="s">
        <v>20</v>
      </c>
      <c r="C263" s="6" t="s">
        <v>17</v>
      </c>
      <c r="D263" s="6" t="str">
        <f>"512523130"</f>
        <v>512523130</v>
      </c>
      <c r="E263" s="7">
        <v>69.5</v>
      </c>
      <c r="F263" s="7">
        <v>71.5</v>
      </c>
      <c r="G263" s="7"/>
      <c r="H263" s="7">
        <v>70.3</v>
      </c>
      <c r="XCW263" s="9"/>
      <c r="XCX263" s="9"/>
      <c r="XCY263" s="9"/>
      <c r="XCZ263" s="9"/>
      <c r="XDA263" s="9"/>
      <c r="XDB263" s="9"/>
      <c r="XDC263" s="9"/>
      <c r="XDD263" s="9"/>
      <c r="XDE263" s="9"/>
      <c r="XDF263" s="9"/>
      <c r="XDG263" s="9"/>
      <c r="XDH263" s="9"/>
      <c r="XDI263" s="9"/>
      <c r="XDJ263" s="9"/>
      <c r="XDK263" s="9"/>
      <c r="XDL263" s="9"/>
      <c r="XDM263" s="9"/>
      <c r="XDN263" s="9"/>
      <c r="XDO263" s="9"/>
      <c r="XDP263" s="9"/>
      <c r="XDQ263" s="9"/>
      <c r="XDR263" s="9"/>
      <c r="XDS263" s="9"/>
      <c r="XDT263" s="9"/>
      <c r="XDU263" s="9"/>
      <c r="XDV263" s="9"/>
      <c r="XDW263" s="9"/>
      <c r="XDX263" s="9"/>
      <c r="XDY263" s="9"/>
      <c r="XDZ263" s="9"/>
      <c r="XEA263" s="9"/>
      <c r="XEB263" s="9"/>
      <c r="XEC263" s="9"/>
      <c r="XED263" s="9"/>
      <c r="XEE263" s="9"/>
      <c r="XEF263" s="9"/>
      <c r="XEG263" s="9"/>
      <c r="XEH263" s="9"/>
      <c r="XEI263" s="9"/>
      <c r="XEJ263" s="9"/>
      <c r="XEK263" s="9"/>
      <c r="XEL263" s="9"/>
      <c r="XEM263" s="9"/>
      <c r="XEN263" s="9"/>
      <c r="XEO263" s="9"/>
      <c r="XEP263" s="9"/>
      <c r="XEQ263" s="9"/>
      <c r="XER263" s="9"/>
      <c r="XES263" s="9"/>
      <c r="XET263" s="9"/>
      <c r="XEU263" s="9"/>
      <c r="XEV263" s="9"/>
      <c r="XEW263" s="9"/>
      <c r="XEX263" s="9"/>
      <c r="XEY263" s="9"/>
      <c r="XEZ263" s="9"/>
      <c r="XFA263" s="9"/>
      <c r="XFB263" s="9"/>
      <c r="XFC263" s="9"/>
      <c r="XFD263" s="9"/>
    </row>
    <row r="264" spans="1:8 16325:16384" s="3" customFormat="1" ht="19.95" customHeight="1">
      <c r="A264" s="6" t="str">
        <f t="shared" si="9"/>
        <v>040010</v>
      </c>
      <c r="B264" s="6" t="s">
        <v>20</v>
      </c>
      <c r="C264" s="6" t="s">
        <v>17</v>
      </c>
      <c r="D264" s="6" t="str">
        <f>"512523222"</f>
        <v>512523222</v>
      </c>
      <c r="E264" s="7">
        <v>53</v>
      </c>
      <c r="F264" s="7">
        <v>66</v>
      </c>
      <c r="G264" s="7"/>
      <c r="H264" s="7">
        <v>58.2</v>
      </c>
      <c r="XCW264" s="9"/>
      <c r="XCX264" s="9"/>
      <c r="XCY264" s="9"/>
      <c r="XCZ264" s="9"/>
      <c r="XDA264" s="9"/>
      <c r="XDB264" s="9"/>
      <c r="XDC264" s="9"/>
      <c r="XDD264" s="9"/>
      <c r="XDE264" s="9"/>
      <c r="XDF264" s="9"/>
      <c r="XDG264" s="9"/>
      <c r="XDH264" s="9"/>
      <c r="XDI264" s="9"/>
      <c r="XDJ264" s="9"/>
      <c r="XDK264" s="9"/>
      <c r="XDL264" s="9"/>
      <c r="XDM264" s="9"/>
      <c r="XDN264" s="9"/>
      <c r="XDO264" s="9"/>
      <c r="XDP264" s="9"/>
      <c r="XDQ264" s="9"/>
      <c r="XDR264" s="9"/>
      <c r="XDS264" s="9"/>
      <c r="XDT264" s="9"/>
      <c r="XDU264" s="9"/>
      <c r="XDV264" s="9"/>
      <c r="XDW264" s="9"/>
      <c r="XDX264" s="9"/>
      <c r="XDY264" s="9"/>
      <c r="XDZ264" s="9"/>
      <c r="XEA264" s="9"/>
      <c r="XEB264" s="9"/>
      <c r="XEC264" s="9"/>
      <c r="XED264" s="9"/>
      <c r="XEE264" s="9"/>
      <c r="XEF264" s="9"/>
      <c r="XEG264" s="9"/>
      <c r="XEH264" s="9"/>
      <c r="XEI264" s="9"/>
      <c r="XEJ264" s="9"/>
      <c r="XEK264" s="9"/>
      <c r="XEL264" s="9"/>
      <c r="XEM264" s="9"/>
      <c r="XEN264" s="9"/>
      <c r="XEO264" s="9"/>
      <c r="XEP264" s="9"/>
      <c r="XEQ264" s="9"/>
      <c r="XER264" s="9"/>
      <c r="XES264" s="9"/>
      <c r="XET264" s="9"/>
      <c r="XEU264" s="9"/>
      <c r="XEV264" s="9"/>
      <c r="XEW264" s="9"/>
      <c r="XEX264" s="9"/>
      <c r="XEY264" s="9"/>
      <c r="XEZ264" s="9"/>
      <c r="XFA264" s="9"/>
      <c r="XFB264" s="9"/>
      <c r="XFC264" s="9"/>
      <c r="XFD264" s="9"/>
    </row>
    <row r="265" spans="1:8 16325:16384" s="3" customFormat="1" ht="19.95" customHeight="1">
      <c r="A265" s="6" t="str">
        <f t="shared" si="9"/>
        <v>040010</v>
      </c>
      <c r="B265" s="6" t="s">
        <v>20</v>
      </c>
      <c r="C265" s="6" t="s">
        <v>17</v>
      </c>
      <c r="D265" s="6" t="str">
        <f>"512523216"</f>
        <v>512523216</v>
      </c>
      <c r="E265" s="7">
        <v>77</v>
      </c>
      <c r="F265" s="7">
        <v>68</v>
      </c>
      <c r="G265" s="7"/>
      <c r="H265" s="7">
        <v>73.400000000000006</v>
      </c>
      <c r="XCW265" s="9"/>
      <c r="XCX265" s="9"/>
      <c r="XCY265" s="9"/>
      <c r="XCZ265" s="9"/>
      <c r="XDA265" s="9"/>
      <c r="XDB265" s="9"/>
      <c r="XDC265" s="9"/>
      <c r="XDD265" s="9"/>
      <c r="XDE265" s="9"/>
      <c r="XDF265" s="9"/>
      <c r="XDG265" s="9"/>
      <c r="XDH265" s="9"/>
      <c r="XDI265" s="9"/>
      <c r="XDJ265" s="9"/>
      <c r="XDK265" s="9"/>
      <c r="XDL265" s="9"/>
      <c r="XDM265" s="9"/>
      <c r="XDN265" s="9"/>
      <c r="XDO265" s="9"/>
      <c r="XDP265" s="9"/>
      <c r="XDQ265" s="9"/>
      <c r="XDR265" s="9"/>
      <c r="XDS265" s="9"/>
      <c r="XDT265" s="9"/>
      <c r="XDU265" s="9"/>
      <c r="XDV265" s="9"/>
      <c r="XDW265" s="9"/>
      <c r="XDX265" s="9"/>
      <c r="XDY265" s="9"/>
      <c r="XDZ265" s="9"/>
      <c r="XEA265" s="9"/>
      <c r="XEB265" s="9"/>
      <c r="XEC265" s="9"/>
      <c r="XED265" s="9"/>
      <c r="XEE265" s="9"/>
      <c r="XEF265" s="9"/>
      <c r="XEG265" s="9"/>
      <c r="XEH265" s="9"/>
      <c r="XEI265" s="9"/>
      <c r="XEJ265" s="9"/>
      <c r="XEK265" s="9"/>
      <c r="XEL265" s="9"/>
      <c r="XEM265" s="9"/>
      <c r="XEN265" s="9"/>
      <c r="XEO265" s="9"/>
      <c r="XEP265" s="9"/>
      <c r="XEQ265" s="9"/>
      <c r="XER265" s="9"/>
      <c r="XES265" s="9"/>
      <c r="XET265" s="9"/>
      <c r="XEU265" s="9"/>
      <c r="XEV265" s="9"/>
      <c r="XEW265" s="9"/>
      <c r="XEX265" s="9"/>
      <c r="XEY265" s="9"/>
      <c r="XEZ265" s="9"/>
      <c r="XFA265" s="9"/>
      <c r="XFB265" s="9"/>
      <c r="XFC265" s="9"/>
      <c r="XFD265" s="9"/>
    </row>
    <row r="266" spans="1:8 16325:16384" s="3" customFormat="1" ht="19.95" customHeight="1">
      <c r="A266" s="6" t="str">
        <f t="shared" si="9"/>
        <v>040010</v>
      </c>
      <c r="B266" s="6" t="s">
        <v>20</v>
      </c>
      <c r="C266" s="6" t="s">
        <v>17</v>
      </c>
      <c r="D266" s="6" t="str">
        <f>"512523126"</f>
        <v>512523126</v>
      </c>
      <c r="E266" s="7">
        <v>44.5</v>
      </c>
      <c r="F266" s="7">
        <v>0</v>
      </c>
      <c r="G266" s="7"/>
      <c r="H266" s="7">
        <v>26.7</v>
      </c>
      <c r="XCW266" s="9"/>
      <c r="XCX266" s="9"/>
      <c r="XCY266" s="9"/>
      <c r="XCZ266" s="9"/>
      <c r="XDA266" s="9"/>
      <c r="XDB266" s="9"/>
      <c r="XDC266" s="9"/>
      <c r="XDD266" s="9"/>
      <c r="XDE266" s="9"/>
      <c r="XDF266" s="9"/>
      <c r="XDG266" s="9"/>
      <c r="XDH266" s="9"/>
      <c r="XDI266" s="9"/>
      <c r="XDJ266" s="9"/>
      <c r="XDK266" s="9"/>
      <c r="XDL266" s="9"/>
      <c r="XDM266" s="9"/>
      <c r="XDN266" s="9"/>
      <c r="XDO266" s="9"/>
      <c r="XDP266" s="9"/>
      <c r="XDQ266" s="9"/>
      <c r="XDR266" s="9"/>
      <c r="XDS266" s="9"/>
      <c r="XDT266" s="9"/>
      <c r="XDU266" s="9"/>
      <c r="XDV266" s="9"/>
      <c r="XDW266" s="9"/>
      <c r="XDX266" s="9"/>
      <c r="XDY266" s="9"/>
      <c r="XDZ266" s="9"/>
      <c r="XEA266" s="9"/>
      <c r="XEB266" s="9"/>
      <c r="XEC266" s="9"/>
      <c r="XED266" s="9"/>
      <c r="XEE266" s="9"/>
      <c r="XEF266" s="9"/>
      <c r="XEG266" s="9"/>
      <c r="XEH266" s="9"/>
      <c r="XEI266" s="9"/>
      <c r="XEJ266" s="9"/>
      <c r="XEK266" s="9"/>
      <c r="XEL266" s="9"/>
      <c r="XEM266" s="9"/>
      <c r="XEN266" s="9"/>
      <c r="XEO266" s="9"/>
      <c r="XEP266" s="9"/>
      <c r="XEQ266" s="9"/>
      <c r="XER266" s="9"/>
      <c r="XES266" s="9"/>
      <c r="XET266" s="9"/>
      <c r="XEU266" s="9"/>
      <c r="XEV266" s="9"/>
      <c r="XEW266" s="9"/>
      <c r="XEX266" s="9"/>
      <c r="XEY266" s="9"/>
      <c r="XEZ266" s="9"/>
      <c r="XFA266" s="9"/>
      <c r="XFB266" s="9"/>
      <c r="XFC266" s="9"/>
      <c r="XFD266" s="9"/>
    </row>
    <row r="267" spans="1:8 16325:16384" s="3" customFormat="1" ht="19.95" customHeight="1">
      <c r="A267" s="6" t="str">
        <f t="shared" si="9"/>
        <v>040010</v>
      </c>
      <c r="B267" s="6" t="s">
        <v>20</v>
      </c>
      <c r="C267" s="6" t="s">
        <v>17</v>
      </c>
      <c r="D267" s="6" t="str">
        <f>"512523225"</f>
        <v>512523225</v>
      </c>
      <c r="E267" s="7">
        <v>76</v>
      </c>
      <c r="F267" s="7">
        <v>70</v>
      </c>
      <c r="G267" s="7"/>
      <c r="H267" s="7">
        <v>73.599999999999994</v>
      </c>
      <c r="XCW267" s="9"/>
      <c r="XCX267" s="9"/>
      <c r="XCY267" s="9"/>
      <c r="XCZ267" s="9"/>
      <c r="XDA267" s="9"/>
      <c r="XDB267" s="9"/>
      <c r="XDC267" s="9"/>
      <c r="XDD267" s="9"/>
      <c r="XDE267" s="9"/>
      <c r="XDF267" s="9"/>
      <c r="XDG267" s="9"/>
      <c r="XDH267" s="9"/>
      <c r="XDI267" s="9"/>
      <c r="XDJ267" s="9"/>
      <c r="XDK267" s="9"/>
      <c r="XDL267" s="9"/>
      <c r="XDM267" s="9"/>
      <c r="XDN267" s="9"/>
      <c r="XDO267" s="9"/>
      <c r="XDP267" s="9"/>
      <c r="XDQ267" s="9"/>
      <c r="XDR267" s="9"/>
      <c r="XDS267" s="9"/>
      <c r="XDT267" s="9"/>
      <c r="XDU267" s="9"/>
      <c r="XDV267" s="9"/>
      <c r="XDW267" s="9"/>
      <c r="XDX267" s="9"/>
      <c r="XDY267" s="9"/>
      <c r="XDZ267" s="9"/>
      <c r="XEA267" s="9"/>
      <c r="XEB267" s="9"/>
      <c r="XEC267" s="9"/>
      <c r="XED267" s="9"/>
      <c r="XEE267" s="9"/>
      <c r="XEF267" s="9"/>
      <c r="XEG267" s="9"/>
      <c r="XEH267" s="9"/>
      <c r="XEI267" s="9"/>
      <c r="XEJ267" s="9"/>
      <c r="XEK267" s="9"/>
      <c r="XEL267" s="9"/>
      <c r="XEM267" s="9"/>
      <c r="XEN267" s="9"/>
      <c r="XEO267" s="9"/>
      <c r="XEP267" s="9"/>
      <c r="XEQ267" s="9"/>
      <c r="XER267" s="9"/>
      <c r="XES267" s="9"/>
      <c r="XET267" s="9"/>
      <c r="XEU267" s="9"/>
      <c r="XEV267" s="9"/>
      <c r="XEW267" s="9"/>
      <c r="XEX267" s="9"/>
      <c r="XEY267" s="9"/>
      <c r="XEZ267" s="9"/>
      <c r="XFA267" s="9"/>
      <c r="XFB267" s="9"/>
      <c r="XFC267" s="9"/>
      <c r="XFD267" s="9"/>
    </row>
    <row r="268" spans="1:8 16325:16384" s="3" customFormat="1" ht="19.95" customHeight="1">
      <c r="A268" s="6" t="str">
        <f t="shared" si="9"/>
        <v>040010</v>
      </c>
      <c r="B268" s="6" t="s">
        <v>20</v>
      </c>
      <c r="C268" s="6" t="s">
        <v>17</v>
      </c>
      <c r="D268" s="6" t="str">
        <f>"512523202"</f>
        <v>512523202</v>
      </c>
      <c r="E268" s="7">
        <v>37.5</v>
      </c>
      <c r="F268" s="7">
        <v>66</v>
      </c>
      <c r="G268" s="7"/>
      <c r="H268" s="7">
        <v>48.9</v>
      </c>
      <c r="XCW268" s="9"/>
      <c r="XCX268" s="9"/>
      <c r="XCY268" s="9"/>
      <c r="XCZ268" s="9"/>
      <c r="XDA268" s="9"/>
      <c r="XDB268" s="9"/>
      <c r="XDC268" s="9"/>
      <c r="XDD268" s="9"/>
      <c r="XDE268" s="9"/>
      <c r="XDF268" s="9"/>
      <c r="XDG268" s="9"/>
      <c r="XDH268" s="9"/>
      <c r="XDI268" s="9"/>
      <c r="XDJ268" s="9"/>
      <c r="XDK268" s="9"/>
      <c r="XDL268" s="9"/>
      <c r="XDM268" s="9"/>
      <c r="XDN268" s="9"/>
      <c r="XDO268" s="9"/>
      <c r="XDP268" s="9"/>
      <c r="XDQ268" s="9"/>
      <c r="XDR268" s="9"/>
      <c r="XDS268" s="9"/>
      <c r="XDT268" s="9"/>
      <c r="XDU268" s="9"/>
      <c r="XDV268" s="9"/>
      <c r="XDW268" s="9"/>
      <c r="XDX268" s="9"/>
      <c r="XDY268" s="9"/>
      <c r="XDZ268" s="9"/>
      <c r="XEA268" s="9"/>
      <c r="XEB268" s="9"/>
      <c r="XEC268" s="9"/>
      <c r="XED268" s="9"/>
      <c r="XEE268" s="9"/>
      <c r="XEF268" s="9"/>
      <c r="XEG268" s="9"/>
      <c r="XEH268" s="9"/>
      <c r="XEI268" s="9"/>
      <c r="XEJ268" s="9"/>
      <c r="XEK268" s="9"/>
      <c r="XEL268" s="9"/>
      <c r="XEM268" s="9"/>
      <c r="XEN268" s="9"/>
      <c r="XEO268" s="9"/>
      <c r="XEP268" s="9"/>
      <c r="XEQ268" s="9"/>
      <c r="XER268" s="9"/>
      <c r="XES268" s="9"/>
      <c r="XET268" s="9"/>
      <c r="XEU268" s="9"/>
      <c r="XEV268" s="9"/>
      <c r="XEW268" s="9"/>
      <c r="XEX268" s="9"/>
      <c r="XEY268" s="9"/>
      <c r="XEZ268" s="9"/>
      <c r="XFA268" s="9"/>
      <c r="XFB268" s="9"/>
      <c r="XFC268" s="9"/>
      <c r="XFD268" s="9"/>
    </row>
    <row r="269" spans="1:8 16325:16384" s="3" customFormat="1" ht="19.95" customHeight="1">
      <c r="A269" s="6" t="str">
        <f t="shared" si="9"/>
        <v>040010</v>
      </c>
      <c r="B269" s="6" t="s">
        <v>20</v>
      </c>
      <c r="C269" s="6" t="s">
        <v>17</v>
      </c>
      <c r="D269" s="6" t="str">
        <f>"512523229"</f>
        <v>512523229</v>
      </c>
      <c r="E269" s="7">
        <v>70.5</v>
      </c>
      <c r="F269" s="7">
        <v>83</v>
      </c>
      <c r="G269" s="7"/>
      <c r="H269" s="7">
        <v>75.5</v>
      </c>
      <c r="XCW269" s="9"/>
      <c r="XCX269" s="9"/>
      <c r="XCY269" s="9"/>
      <c r="XCZ269" s="9"/>
      <c r="XDA269" s="9"/>
      <c r="XDB269" s="9"/>
      <c r="XDC269" s="9"/>
      <c r="XDD269" s="9"/>
      <c r="XDE269" s="9"/>
      <c r="XDF269" s="9"/>
      <c r="XDG269" s="9"/>
      <c r="XDH269" s="9"/>
      <c r="XDI269" s="9"/>
      <c r="XDJ269" s="9"/>
      <c r="XDK269" s="9"/>
      <c r="XDL269" s="9"/>
      <c r="XDM269" s="9"/>
      <c r="XDN269" s="9"/>
      <c r="XDO269" s="9"/>
      <c r="XDP269" s="9"/>
      <c r="XDQ269" s="9"/>
      <c r="XDR269" s="9"/>
      <c r="XDS269" s="9"/>
      <c r="XDT269" s="9"/>
      <c r="XDU269" s="9"/>
      <c r="XDV269" s="9"/>
      <c r="XDW269" s="9"/>
      <c r="XDX269" s="9"/>
      <c r="XDY269" s="9"/>
      <c r="XDZ269" s="9"/>
      <c r="XEA269" s="9"/>
      <c r="XEB269" s="9"/>
      <c r="XEC269" s="9"/>
      <c r="XED269" s="9"/>
      <c r="XEE269" s="9"/>
      <c r="XEF269" s="9"/>
      <c r="XEG269" s="9"/>
      <c r="XEH269" s="9"/>
      <c r="XEI269" s="9"/>
      <c r="XEJ269" s="9"/>
      <c r="XEK269" s="9"/>
      <c r="XEL269" s="9"/>
      <c r="XEM269" s="9"/>
      <c r="XEN269" s="9"/>
      <c r="XEO269" s="9"/>
      <c r="XEP269" s="9"/>
      <c r="XEQ269" s="9"/>
      <c r="XER269" s="9"/>
      <c r="XES269" s="9"/>
      <c r="XET269" s="9"/>
      <c r="XEU269" s="9"/>
      <c r="XEV269" s="9"/>
      <c r="XEW269" s="9"/>
      <c r="XEX269" s="9"/>
      <c r="XEY269" s="9"/>
      <c r="XEZ269" s="9"/>
      <c r="XFA269" s="9"/>
      <c r="XFB269" s="9"/>
      <c r="XFC269" s="9"/>
      <c r="XFD269" s="9"/>
    </row>
    <row r="270" spans="1:8 16325:16384" s="3" customFormat="1" ht="19.95" customHeight="1">
      <c r="A270" s="6" t="str">
        <f t="shared" si="9"/>
        <v>040010</v>
      </c>
      <c r="B270" s="6" t="s">
        <v>20</v>
      </c>
      <c r="C270" s="6" t="s">
        <v>17</v>
      </c>
      <c r="D270" s="6" t="str">
        <f>"512523224"</f>
        <v>512523224</v>
      </c>
      <c r="E270" s="7">
        <v>57</v>
      </c>
      <c r="F270" s="7">
        <v>0</v>
      </c>
      <c r="G270" s="7"/>
      <c r="H270" s="7">
        <v>34.200000000000003</v>
      </c>
      <c r="XCW270" s="9"/>
      <c r="XCX270" s="9"/>
      <c r="XCY270" s="9"/>
      <c r="XCZ270" s="9"/>
      <c r="XDA270" s="9"/>
      <c r="XDB270" s="9"/>
      <c r="XDC270" s="9"/>
      <c r="XDD270" s="9"/>
      <c r="XDE270" s="9"/>
      <c r="XDF270" s="9"/>
      <c r="XDG270" s="9"/>
      <c r="XDH270" s="9"/>
      <c r="XDI270" s="9"/>
      <c r="XDJ270" s="9"/>
      <c r="XDK270" s="9"/>
      <c r="XDL270" s="9"/>
      <c r="XDM270" s="9"/>
      <c r="XDN270" s="9"/>
      <c r="XDO270" s="9"/>
      <c r="XDP270" s="9"/>
      <c r="XDQ270" s="9"/>
      <c r="XDR270" s="9"/>
      <c r="XDS270" s="9"/>
      <c r="XDT270" s="9"/>
      <c r="XDU270" s="9"/>
      <c r="XDV270" s="9"/>
      <c r="XDW270" s="9"/>
      <c r="XDX270" s="9"/>
      <c r="XDY270" s="9"/>
      <c r="XDZ270" s="9"/>
      <c r="XEA270" s="9"/>
      <c r="XEB270" s="9"/>
      <c r="XEC270" s="9"/>
      <c r="XED270" s="9"/>
      <c r="XEE270" s="9"/>
      <c r="XEF270" s="9"/>
      <c r="XEG270" s="9"/>
      <c r="XEH270" s="9"/>
      <c r="XEI270" s="9"/>
      <c r="XEJ270" s="9"/>
      <c r="XEK270" s="9"/>
      <c r="XEL270" s="9"/>
      <c r="XEM270" s="9"/>
      <c r="XEN270" s="9"/>
      <c r="XEO270" s="9"/>
      <c r="XEP270" s="9"/>
      <c r="XEQ270" s="9"/>
      <c r="XER270" s="9"/>
      <c r="XES270" s="9"/>
      <c r="XET270" s="9"/>
      <c r="XEU270" s="9"/>
      <c r="XEV270" s="9"/>
      <c r="XEW270" s="9"/>
      <c r="XEX270" s="9"/>
      <c r="XEY270" s="9"/>
      <c r="XEZ270" s="9"/>
      <c r="XFA270" s="9"/>
      <c r="XFB270" s="9"/>
      <c r="XFC270" s="9"/>
      <c r="XFD270" s="9"/>
    </row>
    <row r="271" spans="1:8 16325:16384" s="3" customFormat="1" ht="19.95" customHeight="1">
      <c r="A271" s="6" t="str">
        <f t="shared" si="9"/>
        <v>040010</v>
      </c>
      <c r="B271" s="6" t="s">
        <v>20</v>
      </c>
      <c r="C271" s="6" t="s">
        <v>17</v>
      </c>
      <c r="D271" s="6" t="str">
        <f>"512523220"</f>
        <v>512523220</v>
      </c>
      <c r="E271" s="7">
        <v>38.5</v>
      </c>
      <c r="F271" s="7">
        <v>55</v>
      </c>
      <c r="G271" s="7"/>
      <c r="H271" s="7">
        <v>45.1</v>
      </c>
      <c r="XCW271" s="9"/>
      <c r="XCX271" s="9"/>
      <c r="XCY271" s="9"/>
      <c r="XCZ271" s="9"/>
      <c r="XDA271" s="9"/>
      <c r="XDB271" s="9"/>
      <c r="XDC271" s="9"/>
      <c r="XDD271" s="9"/>
      <c r="XDE271" s="9"/>
      <c r="XDF271" s="9"/>
      <c r="XDG271" s="9"/>
      <c r="XDH271" s="9"/>
      <c r="XDI271" s="9"/>
      <c r="XDJ271" s="9"/>
      <c r="XDK271" s="9"/>
      <c r="XDL271" s="9"/>
      <c r="XDM271" s="9"/>
      <c r="XDN271" s="9"/>
      <c r="XDO271" s="9"/>
      <c r="XDP271" s="9"/>
      <c r="XDQ271" s="9"/>
      <c r="XDR271" s="9"/>
      <c r="XDS271" s="9"/>
      <c r="XDT271" s="9"/>
      <c r="XDU271" s="9"/>
      <c r="XDV271" s="9"/>
      <c r="XDW271" s="9"/>
      <c r="XDX271" s="9"/>
      <c r="XDY271" s="9"/>
      <c r="XDZ271" s="9"/>
      <c r="XEA271" s="9"/>
      <c r="XEB271" s="9"/>
      <c r="XEC271" s="9"/>
      <c r="XED271" s="9"/>
      <c r="XEE271" s="9"/>
      <c r="XEF271" s="9"/>
      <c r="XEG271" s="9"/>
      <c r="XEH271" s="9"/>
      <c r="XEI271" s="9"/>
      <c r="XEJ271" s="9"/>
      <c r="XEK271" s="9"/>
      <c r="XEL271" s="9"/>
      <c r="XEM271" s="9"/>
      <c r="XEN271" s="9"/>
      <c r="XEO271" s="9"/>
      <c r="XEP271" s="9"/>
      <c r="XEQ271" s="9"/>
      <c r="XER271" s="9"/>
      <c r="XES271" s="9"/>
      <c r="XET271" s="9"/>
      <c r="XEU271" s="9"/>
      <c r="XEV271" s="9"/>
      <c r="XEW271" s="9"/>
      <c r="XEX271" s="9"/>
      <c r="XEY271" s="9"/>
      <c r="XEZ271" s="9"/>
      <c r="XFA271" s="9"/>
      <c r="XFB271" s="9"/>
      <c r="XFC271" s="9"/>
      <c r="XFD271" s="9"/>
    </row>
    <row r="272" spans="1:8 16325:16384" s="3" customFormat="1" ht="19.95" customHeight="1">
      <c r="A272" s="6" t="str">
        <f t="shared" si="9"/>
        <v>040010</v>
      </c>
      <c r="B272" s="6" t="s">
        <v>20</v>
      </c>
      <c r="C272" s="6" t="s">
        <v>17</v>
      </c>
      <c r="D272" s="6" t="str">
        <f>"512523208"</f>
        <v>512523208</v>
      </c>
      <c r="E272" s="7">
        <v>81</v>
      </c>
      <c r="F272" s="7">
        <v>71.5</v>
      </c>
      <c r="G272" s="7"/>
      <c r="H272" s="7">
        <v>77.2</v>
      </c>
      <c r="XCW272" s="9"/>
      <c r="XCX272" s="9"/>
      <c r="XCY272" s="9"/>
      <c r="XCZ272" s="9"/>
      <c r="XDA272" s="9"/>
      <c r="XDB272" s="9"/>
      <c r="XDC272" s="9"/>
      <c r="XDD272" s="9"/>
      <c r="XDE272" s="9"/>
      <c r="XDF272" s="9"/>
      <c r="XDG272" s="9"/>
      <c r="XDH272" s="9"/>
      <c r="XDI272" s="9"/>
      <c r="XDJ272" s="9"/>
      <c r="XDK272" s="9"/>
      <c r="XDL272" s="9"/>
      <c r="XDM272" s="9"/>
      <c r="XDN272" s="9"/>
      <c r="XDO272" s="9"/>
      <c r="XDP272" s="9"/>
      <c r="XDQ272" s="9"/>
      <c r="XDR272" s="9"/>
      <c r="XDS272" s="9"/>
      <c r="XDT272" s="9"/>
      <c r="XDU272" s="9"/>
      <c r="XDV272" s="9"/>
      <c r="XDW272" s="9"/>
      <c r="XDX272" s="9"/>
      <c r="XDY272" s="9"/>
      <c r="XDZ272" s="9"/>
      <c r="XEA272" s="9"/>
      <c r="XEB272" s="9"/>
      <c r="XEC272" s="9"/>
      <c r="XED272" s="9"/>
      <c r="XEE272" s="9"/>
      <c r="XEF272" s="9"/>
      <c r="XEG272" s="9"/>
      <c r="XEH272" s="9"/>
      <c r="XEI272" s="9"/>
      <c r="XEJ272" s="9"/>
      <c r="XEK272" s="9"/>
      <c r="XEL272" s="9"/>
      <c r="XEM272" s="9"/>
      <c r="XEN272" s="9"/>
      <c r="XEO272" s="9"/>
      <c r="XEP272" s="9"/>
      <c r="XEQ272" s="9"/>
      <c r="XER272" s="9"/>
      <c r="XES272" s="9"/>
      <c r="XET272" s="9"/>
      <c r="XEU272" s="9"/>
      <c r="XEV272" s="9"/>
      <c r="XEW272" s="9"/>
      <c r="XEX272" s="9"/>
      <c r="XEY272" s="9"/>
      <c r="XEZ272" s="9"/>
      <c r="XFA272" s="9"/>
      <c r="XFB272" s="9"/>
      <c r="XFC272" s="9"/>
      <c r="XFD272" s="9"/>
    </row>
    <row r="273" spans="1:8 16325:16384" s="3" customFormat="1" ht="19.95" customHeight="1">
      <c r="A273" s="6" t="str">
        <f t="shared" si="9"/>
        <v>040010</v>
      </c>
      <c r="B273" s="6" t="s">
        <v>20</v>
      </c>
      <c r="C273" s="6" t="s">
        <v>17</v>
      </c>
      <c r="D273" s="6" t="str">
        <f>"512523213"</f>
        <v>512523213</v>
      </c>
      <c r="E273" s="7">
        <v>57</v>
      </c>
      <c r="F273" s="7">
        <v>0</v>
      </c>
      <c r="G273" s="7"/>
      <c r="H273" s="7">
        <v>34.200000000000003</v>
      </c>
      <c r="XCW273" s="9"/>
      <c r="XCX273" s="9"/>
      <c r="XCY273" s="9"/>
      <c r="XCZ273" s="9"/>
      <c r="XDA273" s="9"/>
      <c r="XDB273" s="9"/>
      <c r="XDC273" s="9"/>
      <c r="XDD273" s="9"/>
      <c r="XDE273" s="9"/>
      <c r="XDF273" s="9"/>
      <c r="XDG273" s="9"/>
      <c r="XDH273" s="9"/>
      <c r="XDI273" s="9"/>
      <c r="XDJ273" s="9"/>
      <c r="XDK273" s="9"/>
      <c r="XDL273" s="9"/>
      <c r="XDM273" s="9"/>
      <c r="XDN273" s="9"/>
      <c r="XDO273" s="9"/>
      <c r="XDP273" s="9"/>
      <c r="XDQ273" s="9"/>
      <c r="XDR273" s="9"/>
      <c r="XDS273" s="9"/>
      <c r="XDT273" s="9"/>
      <c r="XDU273" s="9"/>
      <c r="XDV273" s="9"/>
      <c r="XDW273" s="9"/>
      <c r="XDX273" s="9"/>
      <c r="XDY273" s="9"/>
      <c r="XDZ273" s="9"/>
      <c r="XEA273" s="9"/>
      <c r="XEB273" s="9"/>
      <c r="XEC273" s="9"/>
      <c r="XED273" s="9"/>
      <c r="XEE273" s="9"/>
      <c r="XEF273" s="9"/>
      <c r="XEG273" s="9"/>
      <c r="XEH273" s="9"/>
      <c r="XEI273" s="9"/>
      <c r="XEJ273" s="9"/>
      <c r="XEK273" s="9"/>
      <c r="XEL273" s="9"/>
      <c r="XEM273" s="9"/>
      <c r="XEN273" s="9"/>
      <c r="XEO273" s="9"/>
      <c r="XEP273" s="9"/>
      <c r="XEQ273" s="9"/>
      <c r="XER273" s="9"/>
      <c r="XES273" s="9"/>
      <c r="XET273" s="9"/>
      <c r="XEU273" s="9"/>
      <c r="XEV273" s="9"/>
      <c r="XEW273" s="9"/>
      <c r="XEX273" s="9"/>
      <c r="XEY273" s="9"/>
      <c r="XEZ273" s="9"/>
      <c r="XFA273" s="9"/>
      <c r="XFB273" s="9"/>
      <c r="XFC273" s="9"/>
      <c r="XFD273" s="9"/>
    </row>
    <row r="274" spans="1:8 16325:16384" s="3" customFormat="1" ht="19.95" customHeight="1">
      <c r="A274" s="6" t="str">
        <f t="shared" si="9"/>
        <v>040010</v>
      </c>
      <c r="B274" s="6" t="s">
        <v>20</v>
      </c>
      <c r="C274" s="6" t="s">
        <v>17</v>
      </c>
      <c r="D274" s="6" t="str">
        <f>"512523301"</f>
        <v>512523301</v>
      </c>
      <c r="E274" s="7">
        <v>69.5</v>
      </c>
      <c r="F274" s="7">
        <v>77.5</v>
      </c>
      <c r="G274" s="7"/>
      <c r="H274" s="7">
        <v>72.7</v>
      </c>
      <c r="XCW274" s="9"/>
      <c r="XCX274" s="9"/>
      <c r="XCY274" s="9"/>
      <c r="XCZ274" s="9"/>
      <c r="XDA274" s="9"/>
      <c r="XDB274" s="9"/>
      <c r="XDC274" s="9"/>
      <c r="XDD274" s="9"/>
      <c r="XDE274" s="9"/>
      <c r="XDF274" s="9"/>
      <c r="XDG274" s="9"/>
      <c r="XDH274" s="9"/>
      <c r="XDI274" s="9"/>
      <c r="XDJ274" s="9"/>
      <c r="XDK274" s="9"/>
      <c r="XDL274" s="9"/>
      <c r="XDM274" s="9"/>
      <c r="XDN274" s="9"/>
      <c r="XDO274" s="9"/>
      <c r="XDP274" s="9"/>
      <c r="XDQ274" s="9"/>
      <c r="XDR274" s="9"/>
      <c r="XDS274" s="9"/>
      <c r="XDT274" s="9"/>
      <c r="XDU274" s="9"/>
      <c r="XDV274" s="9"/>
      <c r="XDW274" s="9"/>
      <c r="XDX274" s="9"/>
      <c r="XDY274" s="9"/>
      <c r="XDZ274" s="9"/>
      <c r="XEA274" s="9"/>
      <c r="XEB274" s="9"/>
      <c r="XEC274" s="9"/>
      <c r="XED274" s="9"/>
      <c r="XEE274" s="9"/>
      <c r="XEF274" s="9"/>
      <c r="XEG274" s="9"/>
      <c r="XEH274" s="9"/>
      <c r="XEI274" s="9"/>
      <c r="XEJ274" s="9"/>
      <c r="XEK274" s="9"/>
      <c r="XEL274" s="9"/>
      <c r="XEM274" s="9"/>
      <c r="XEN274" s="9"/>
      <c r="XEO274" s="9"/>
      <c r="XEP274" s="9"/>
      <c r="XEQ274" s="9"/>
      <c r="XER274" s="9"/>
      <c r="XES274" s="9"/>
      <c r="XET274" s="9"/>
      <c r="XEU274" s="9"/>
      <c r="XEV274" s="9"/>
      <c r="XEW274" s="9"/>
      <c r="XEX274" s="9"/>
      <c r="XEY274" s="9"/>
      <c r="XEZ274" s="9"/>
      <c r="XFA274" s="9"/>
      <c r="XFB274" s="9"/>
      <c r="XFC274" s="9"/>
      <c r="XFD274" s="9"/>
    </row>
    <row r="275" spans="1:8 16325:16384" s="3" customFormat="1" ht="19.95" customHeight="1">
      <c r="A275" s="6" t="str">
        <f t="shared" si="9"/>
        <v>040010</v>
      </c>
      <c r="B275" s="6" t="s">
        <v>20</v>
      </c>
      <c r="C275" s="6" t="s">
        <v>17</v>
      </c>
      <c r="D275" s="6" t="str">
        <f>"512523120"</f>
        <v>512523120</v>
      </c>
      <c r="E275" s="7">
        <v>0</v>
      </c>
      <c r="F275" s="7">
        <v>0</v>
      </c>
      <c r="G275" s="7"/>
      <c r="H275" s="7">
        <v>0</v>
      </c>
      <c r="XCW275" s="9"/>
      <c r="XCX275" s="9"/>
      <c r="XCY275" s="9"/>
      <c r="XCZ275" s="9"/>
      <c r="XDA275" s="9"/>
      <c r="XDB275" s="9"/>
      <c r="XDC275" s="9"/>
      <c r="XDD275" s="9"/>
      <c r="XDE275" s="9"/>
      <c r="XDF275" s="9"/>
      <c r="XDG275" s="9"/>
      <c r="XDH275" s="9"/>
      <c r="XDI275" s="9"/>
      <c r="XDJ275" s="9"/>
      <c r="XDK275" s="9"/>
      <c r="XDL275" s="9"/>
      <c r="XDM275" s="9"/>
      <c r="XDN275" s="9"/>
      <c r="XDO275" s="9"/>
      <c r="XDP275" s="9"/>
      <c r="XDQ275" s="9"/>
      <c r="XDR275" s="9"/>
      <c r="XDS275" s="9"/>
      <c r="XDT275" s="9"/>
      <c r="XDU275" s="9"/>
      <c r="XDV275" s="9"/>
      <c r="XDW275" s="9"/>
      <c r="XDX275" s="9"/>
      <c r="XDY275" s="9"/>
      <c r="XDZ275" s="9"/>
      <c r="XEA275" s="9"/>
      <c r="XEB275" s="9"/>
      <c r="XEC275" s="9"/>
      <c r="XED275" s="9"/>
      <c r="XEE275" s="9"/>
      <c r="XEF275" s="9"/>
      <c r="XEG275" s="9"/>
      <c r="XEH275" s="9"/>
      <c r="XEI275" s="9"/>
      <c r="XEJ275" s="9"/>
      <c r="XEK275" s="9"/>
      <c r="XEL275" s="9"/>
      <c r="XEM275" s="9"/>
      <c r="XEN275" s="9"/>
      <c r="XEO275" s="9"/>
      <c r="XEP275" s="9"/>
      <c r="XEQ275" s="9"/>
      <c r="XER275" s="9"/>
      <c r="XES275" s="9"/>
      <c r="XET275" s="9"/>
      <c r="XEU275" s="9"/>
      <c r="XEV275" s="9"/>
      <c r="XEW275" s="9"/>
      <c r="XEX275" s="9"/>
      <c r="XEY275" s="9"/>
      <c r="XEZ275" s="9"/>
      <c r="XFA275" s="9"/>
      <c r="XFB275" s="9"/>
      <c r="XFC275" s="9"/>
      <c r="XFD275" s="9"/>
    </row>
    <row r="276" spans="1:8 16325:16384" s="3" customFormat="1" ht="19.95" customHeight="1">
      <c r="A276" s="6" t="str">
        <f t="shared" si="9"/>
        <v>040010</v>
      </c>
      <c r="B276" s="6" t="s">
        <v>20</v>
      </c>
      <c r="C276" s="6" t="s">
        <v>17</v>
      </c>
      <c r="D276" s="6" t="str">
        <f>"512523116"</f>
        <v>512523116</v>
      </c>
      <c r="E276" s="7">
        <v>0</v>
      </c>
      <c r="F276" s="7">
        <v>0</v>
      </c>
      <c r="G276" s="7"/>
      <c r="H276" s="7">
        <v>0</v>
      </c>
      <c r="XCW276" s="9"/>
      <c r="XCX276" s="9"/>
      <c r="XCY276" s="9"/>
      <c r="XCZ276" s="9"/>
      <c r="XDA276" s="9"/>
      <c r="XDB276" s="9"/>
      <c r="XDC276" s="9"/>
      <c r="XDD276" s="9"/>
      <c r="XDE276" s="9"/>
      <c r="XDF276" s="9"/>
      <c r="XDG276" s="9"/>
      <c r="XDH276" s="9"/>
      <c r="XDI276" s="9"/>
      <c r="XDJ276" s="9"/>
      <c r="XDK276" s="9"/>
      <c r="XDL276" s="9"/>
      <c r="XDM276" s="9"/>
      <c r="XDN276" s="9"/>
      <c r="XDO276" s="9"/>
      <c r="XDP276" s="9"/>
      <c r="XDQ276" s="9"/>
      <c r="XDR276" s="9"/>
      <c r="XDS276" s="9"/>
      <c r="XDT276" s="9"/>
      <c r="XDU276" s="9"/>
      <c r="XDV276" s="9"/>
      <c r="XDW276" s="9"/>
      <c r="XDX276" s="9"/>
      <c r="XDY276" s="9"/>
      <c r="XDZ276" s="9"/>
      <c r="XEA276" s="9"/>
      <c r="XEB276" s="9"/>
      <c r="XEC276" s="9"/>
      <c r="XED276" s="9"/>
      <c r="XEE276" s="9"/>
      <c r="XEF276" s="9"/>
      <c r="XEG276" s="9"/>
      <c r="XEH276" s="9"/>
      <c r="XEI276" s="9"/>
      <c r="XEJ276" s="9"/>
      <c r="XEK276" s="9"/>
      <c r="XEL276" s="9"/>
      <c r="XEM276" s="9"/>
      <c r="XEN276" s="9"/>
      <c r="XEO276" s="9"/>
      <c r="XEP276" s="9"/>
      <c r="XEQ276" s="9"/>
      <c r="XER276" s="9"/>
      <c r="XES276" s="9"/>
      <c r="XET276" s="9"/>
      <c r="XEU276" s="9"/>
      <c r="XEV276" s="9"/>
      <c r="XEW276" s="9"/>
      <c r="XEX276" s="9"/>
      <c r="XEY276" s="9"/>
      <c r="XEZ276" s="9"/>
      <c r="XFA276" s="9"/>
      <c r="XFB276" s="9"/>
      <c r="XFC276" s="9"/>
      <c r="XFD276" s="9"/>
    </row>
    <row r="277" spans="1:8 16325:16384" s="3" customFormat="1" ht="19.95" customHeight="1">
      <c r="A277" s="6" t="str">
        <f t="shared" si="9"/>
        <v>040010</v>
      </c>
      <c r="B277" s="6" t="s">
        <v>20</v>
      </c>
      <c r="C277" s="6" t="s">
        <v>17</v>
      </c>
      <c r="D277" s="6" t="str">
        <f>"512523125"</f>
        <v>512523125</v>
      </c>
      <c r="E277" s="7">
        <v>82.5</v>
      </c>
      <c r="F277" s="7">
        <v>83.5</v>
      </c>
      <c r="G277" s="7"/>
      <c r="H277" s="7">
        <v>82.9</v>
      </c>
      <c r="XCW277" s="9"/>
      <c r="XCX277" s="9"/>
      <c r="XCY277" s="9"/>
      <c r="XCZ277" s="9"/>
      <c r="XDA277" s="9"/>
      <c r="XDB277" s="9"/>
      <c r="XDC277" s="9"/>
      <c r="XDD277" s="9"/>
      <c r="XDE277" s="9"/>
      <c r="XDF277" s="9"/>
      <c r="XDG277" s="9"/>
      <c r="XDH277" s="9"/>
      <c r="XDI277" s="9"/>
      <c r="XDJ277" s="9"/>
      <c r="XDK277" s="9"/>
      <c r="XDL277" s="9"/>
      <c r="XDM277" s="9"/>
      <c r="XDN277" s="9"/>
      <c r="XDO277" s="9"/>
      <c r="XDP277" s="9"/>
      <c r="XDQ277" s="9"/>
      <c r="XDR277" s="9"/>
      <c r="XDS277" s="9"/>
      <c r="XDT277" s="9"/>
      <c r="XDU277" s="9"/>
      <c r="XDV277" s="9"/>
      <c r="XDW277" s="9"/>
      <c r="XDX277" s="9"/>
      <c r="XDY277" s="9"/>
      <c r="XDZ277" s="9"/>
      <c r="XEA277" s="9"/>
      <c r="XEB277" s="9"/>
      <c r="XEC277" s="9"/>
      <c r="XED277" s="9"/>
      <c r="XEE277" s="9"/>
      <c r="XEF277" s="9"/>
      <c r="XEG277" s="9"/>
      <c r="XEH277" s="9"/>
      <c r="XEI277" s="9"/>
      <c r="XEJ277" s="9"/>
      <c r="XEK277" s="9"/>
      <c r="XEL277" s="9"/>
      <c r="XEM277" s="9"/>
      <c r="XEN277" s="9"/>
      <c r="XEO277" s="9"/>
      <c r="XEP277" s="9"/>
      <c r="XEQ277" s="9"/>
      <c r="XER277" s="9"/>
      <c r="XES277" s="9"/>
      <c r="XET277" s="9"/>
      <c r="XEU277" s="9"/>
      <c r="XEV277" s="9"/>
      <c r="XEW277" s="9"/>
      <c r="XEX277" s="9"/>
      <c r="XEY277" s="9"/>
      <c r="XEZ277" s="9"/>
      <c r="XFA277" s="9"/>
      <c r="XFB277" s="9"/>
      <c r="XFC277" s="9"/>
      <c r="XFD277" s="9"/>
    </row>
    <row r="278" spans="1:8 16325:16384" s="3" customFormat="1" ht="19.95" customHeight="1">
      <c r="A278" s="6" t="str">
        <f t="shared" si="9"/>
        <v>040010</v>
      </c>
      <c r="B278" s="6" t="s">
        <v>20</v>
      </c>
      <c r="C278" s="6" t="s">
        <v>17</v>
      </c>
      <c r="D278" s="6" t="str">
        <f>"512523118"</f>
        <v>512523118</v>
      </c>
      <c r="E278" s="7">
        <v>77</v>
      </c>
      <c r="F278" s="7">
        <v>91</v>
      </c>
      <c r="G278" s="7"/>
      <c r="H278" s="7">
        <v>82.6</v>
      </c>
      <c r="XCW278" s="9"/>
      <c r="XCX278" s="9"/>
      <c r="XCY278" s="9"/>
      <c r="XCZ278" s="9"/>
      <c r="XDA278" s="9"/>
      <c r="XDB278" s="9"/>
      <c r="XDC278" s="9"/>
      <c r="XDD278" s="9"/>
      <c r="XDE278" s="9"/>
      <c r="XDF278" s="9"/>
      <c r="XDG278" s="9"/>
      <c r="XDH278" s="9"/>
      <c r="XDI278" s="9"/>
      <c r="XDJ278" s="9"/>
      <c r="XDK278" s="9"/>
      <c r="XDL278" s="9"/>
      <c r="XDM278" s="9"/>
      <c r="XDN278" s="9"/>
      <c r="XDO278" s="9"/>
      <c r="XDP278" s="9"/>
      <c r="XDQ278" s="9"/>
      <c r="XDR278" s="9"/>
      <c r="XDS278" s="9"/>
      <c r="XDT278" s="9"/>
      <c r="XDU278" s="9"/>
      <c r="XDV278" s="9"/>
      <c r="XDW278" s="9"/>
      <c r="XDX278" s="9"/>
      <c r="XDY278" s="9"/>
      <c r="XDZ278" s="9"/>
      <c r="XEA278" s="9"/>
      <c r="XEB278" s="9"/>
      <c r="XEC278" s="9"/>
      <c r="XED278" s="9"/>
      <c r="XEE278" s="9"/>
      <c r="XEF278" s="9"/>
      <c r="XEG278" s="9"/>
      <c r="XEH278" s="9"/>
      <c r="XEI278" s="9"/>
      <c r="XEJ278" s="9"/>
      <c r="XEK278" s="9"/>
      <c r="XEL278" s="9"/>
      <c r="XEM278" s="9"/>
      <c r="XEN278" s="9"/>
      <c r="XEO278" s="9"/>
      <c r="XEP278" s="9"/>
      <c r="XEQ278" s="9"/>
      <c r="XER278" s="9"/>
      <c r="XES278" s="9"/>
      <c r="XET278" s="9"/>
      <c r="XEU278" s="9"/>
      <c r="XEV278" s="9"/>
      <c r="XEW278" s="9"/>
      <c r="XEX278" s="9"/>
      <c r="XEY278" s="9"/>
      <c r="XEZ278" s="9"/>
      <c r="XFA278" s="9"/>
      <c r="XFB278" s="9"/>
      <c r="XFC278" s="9"/>
      <c r="XFD278" s="9"/>
    </row>
    <row r="279" spans="1:8 16325:16384" s="3" customFormat="1" ht="19.95" customHeight="1">
      <c r="A279" s="6" t="str">
        <f t="shared" si="9"/>
        <v>040010</v>
      </c>
      <c r="B279" s="6" t="s">
        <v>20</v>
      </c>
      <c r="C279" s="6" t="s">
        <v>17</v>
      </c>
      <c r="D279" s="6" t="str">
        <f>"512523217"</f>
        <v>512523217</v>
      </c>
      <c r="E279" s="7">
        <v>0</v>
      </c>
      <c r="F279" s="7">
        <v>0</v>
      </c>
      <c r="G279" s="7"/>
      <c r="H279" s="7">
        <v>0</v>
      </c>
      <c r="XCW279" s="9"/>
      <c r="XCX279" s="9"/>
      <c r="XCY279" s="9"/>
      <c r="XCZ279" s="9"/>
      <c r="XDA279" s="9"/>
      <c r="XDB279" s="9"/>
      <c r="XDC279" s="9"/>
      <c r="XDD279" s="9"/>
      <c r="XDE279" s="9"/>
      <c r="XDF279" s="9"/>
      <c r="XDG279" s="9"/>
      <c r="XDH279" s="9"/>
      <c r="XDI279" s="9"/>
      <c r="XDJ279" s="9"/>
      <c r="XDK279" s="9"/>
      <c r="XDL279" s="9"/>
      <c r="XDM279" s="9"/>
      <c r="XDN279" s="9"/>
      <c r="XDO279" s="9"/>
      <c r="XDP279" s="9"/>
      <c r="XDQ279" s="9"/>
      <c r="XDR279" s="9"/>
      <c r="XDS279" s="9"/>
      <c r="XDT279" s="9"/>
      <c r="XDU279" s="9"/>
      <c r="XDV279" s="9"/>
      <c r="XDW279" s="9"/>
      <c r="XDX279" s="9"/>
      <c r="XDY279" s="9"/>
      <c r="XDZ279" s="9"/>
      <c r="XEA279" s="9"/>
      <c r="XEB279" s="9"/>
      <c r="XEC279" s="9"/>
      <c r="XED279" s="9"/>
      <c r="XEE279" s="9"/>
      <c r="XEF279" s="9"/>
      <c r="XEG279" s="9"/>
      <c r="XEH279" s="9"/>
      <c r="XEI279" s="9"/>
      <c r="XEJ279" s="9"/>
      <c r="XEK279" s="9"/>
      <c r="XEL279" s="9"/>
      <c r="XEM279" s="9"/>
      <c r="XEN279" s="9"/>
      <c r="XEO279" s="9"/>
      <c r="XEP279" s="9"/>
      <c r="XEQ279" s="9"/>
      <c r="XER279" s="9"/>
      <c r="XES279" s="9"/>
      <c r="XET279" s="9"/>
      <c r="XEU279" s="9"/>
      <c r="XEV279" s="9"/>
      <c r="XEW279" s="9"/>
      <c r="XEX279" s="9"/>
      <c r="XEY279" s="9"/>
      <c r="XEZ279" s="9"/>
      <c r="XFA279" s="9"/>
      <c r="XFB279" s="9"/>
      <c r="XFC279" s="9"/>
      <c r="XFD279" s="9"/>
    </row>
    <row r="280" spans="1:8 16325:16384" s="3" customFormat="1" ht="19.95" customHeight="1">
      <c r="A280" s="6" t="str">
        <f t="shared" si="9"/>
        <v>040010</v>
      </c>
      <c r="B280" s="6" t="s">
        <v>20</v>
      </c>
      <c r="C280" s="6" t="s">
        <v>17</v>
      </c>
      <c r="D280" s="6" t="str">
        <f>"512523121"</f>
        <v>512523121</v>
      </c>
      <c r="E280" s="7">
        <v>0</v>
      </c>
      <c r="F280" s="7">
        <v>0</v>
      </c>
      <c r="G280" s="7"/>
      <c r="H280" s="7">
        <v>0</v>
      </c>
      <c r="XCW280" s="9"/>
      <c r="XCX280" s="9"/>
      <c r="XCY280" s="9"/>
      <c r="XCZ280" s="9"/>
      <c r="XDA280" s="9"/>
      <c r="XDB280" s="9"/>
      <c r="XDC280" s="9"/>
      <c r="XDD280" s="9"/>
      <c r="XDE280" s="9"/>
      <c r="XDF280" s="9"/>
      <c r="XDG280" s="9"/>
      <c r="XDH280" s="9"/>
      <c r="XDI280" s="9"/>
      <c r="XDJ280" s="9"/>
      <c r="XDK280" s="9"/>
      <c r="XDL280" s="9"/>
      <c r="XDM280" s="9"/>
      <c r="XDN280" s="9"/>
      <c r="XDO280" s="9"/>
      <c r="XDP280" s="9"/>
      <c r="XDQ280" s="9"/>
      <c r="XDR280" s="9"/>
      <c r="XDS280" s="9"/>
      <c r="XDT280" s="9"/>
      <c r="XDU280" s="9"/>
      <c r="XDV280" s="9"/>
      <c r="XDW280" s="9"/>
      <c r="XDX280" s="9"/>
      <c r="XDY280" s="9"/>
      <c r="XDZ280" s="9"/>
      <c r="XEA280" s="9"/>
      <c r="XEB280" s="9"/>
      <c r="XEC280" s="9"/>
      <c r="XED280" s="9"/>
      <c r="XEE280" s="9"/>
      <c r="XEF280" s="9"/>
      <c r="XEG280" s="9"/>
      <c r="XEH280" s="9"/>
      <c r="XEI280" s="9"/>
      <c r="XEJ280" s="9"/>
      <c r="XEK280" s="9"/>
      <c r="XEL280" s="9"/>
      <c r="XEM280" s="9"/>
      <c r="XEN280" s="9"/>
      <c r="XEO280" s="9"/>
      <c r="XEP280" s="9"/>
      <c r="XEQ280" s="9"/>
      <c r="XER280" s="9"/>
      <c r="XES280" s="9"/>
      <c r="XET280" s="9"/>
      <c r="XEU280" s="9"/>
      <c r="XEV280" s="9"/>
      <c r="XEW280" s="9"/>
      <c r="XEX280" s="9"/>
      <c r="XEY280" s="9"/>
      <c r="XEZ280" s="9"/>
      <c r="XFA280" s="9"/>
      <c r="XFB280" s="9"/>
      <c r="XFC280" s="9"/>
      <c r="XFD280" s="9"/>
    </row>
    <row r="281" spans="1:8 16325:16384" s="3" customFormat="1" ht="19.95" customHeight="1">
      <c r="A281" s="6" t="str">
        <f t="shared" si="9"/>
        <v>040010</v>
      </c>
      <c r="B281" s="6" t="s">
        <v>20</v>
      </c>
      <c r="C281" s="6" t="s">
        <v>17</v>
      </c>
      <c r="D281" s="6" t="str">
        <f>"512523111"</f>
        <v>512523111</v>
      </c>
      <c r="E281" s="7">
        <v>0</v>
      </c>
      <c r="F281" s="7">
        <v>0</v>
      </c>
      <c r="G281" s="7"/>
      <c r="H281" s="7">
        <v>0</v>
      </c>
      <c r="XCW281" s="9"/>
      <c r="XCX281" s="9"/>
      <c r="XCY281" s="9"/>
      <c r="XCZ281" s="9"/>
      <c r="XDA281" s="9"/>
      <c r="XDB281" s="9"/>
      <c r="XDC281" s="9"/>
      <c r="XDD281" s="9"/>
      <c r="XDE281" s="9"/>
      <c r="XDF281" s="9"/>
      <c r="XDG281" s="9"/>
      <c r="XDH281" s="9"/>
      <c r="XDI281" s="9"/>
      <c r="XDJ281" s="9"/>
      <c r="XDK281" s="9"/>
      <c r="XDL281" s="9"/>
      <c r="XDM281" s="9"/>
      <c r="XDN281" s="9"/>
      <c r="XDO281" s="9"/>
      <c r="XDP281" s="9"/>
      <c r="XDQ281" s="9"/>
      <c r="XDR281" s="9"/>
      <c r="XDS281" s="9"/>
      <c r="XDT281" s="9"/>
      <c r="XDU281" s="9"/>
      <c r="XDV281" s="9"/>
      <c r="XDW281" s="9"/>
      <c r="XDX281" s="9"/>
      <c r="XDY281" s="9"/>
      <c r="XDZ281" s="9"/>
      <c r="XEA281" s="9"/>
      <c r="XEB281" s="9"/>
      <c r="XEC281" s="9"/>
      <c r="XED281" s="9"/>
      <c r="XEE281" s="9"/>
      <c r="XEF281" s="9"/>
      <c r="XEG281" s="9"/>
      <c r="XEH281" s="9"/>
      <c r="XEI281" s="9"/>
      <c r="XEJ281" s="9"/>
      <c r="XEK281" s="9"/>
      <c r="XEL281" s="9"/>
      <c r="XEM281" s="9"/>
      <c r="XEN281" s="9"/>
      <c r="XEO281" s="9"/>
      <c r="XEP281" s="9"/>
      <c r="XEQ281" s="9"/>
      <c r="XER281" s="9"/>
      <c r="XES281" s="9"/>
      <c r="XET281" s="9"/>
      <c r="XEU281" s="9"/>
      <c r="XEV281" s="9"/>
      <c r="XEW281" s="9"/>
      <c r="XEX281" s="9"/>
      <c r="XEY281" s="9"/>
      <c r="XEZ281" s="9"/>
      <c r="XFA281" s="9"/>
      <c r="XFB281" s="9"/>
      <c r="XFC281" s="9"/>
      <c r="XFD281" s="9"/>
    </row>
    <row r="282" spans="1:8 16325:16384" s="3" customFormat="1" ht="19.95" customHeight="1">
      <c r="A282" s="6" t="str">
        <f t="shared" si="9"/>
        <v>040010</v>
      </c>
      <c r="B282" s="6" t="s">
        <v>20</v>
      </c>
      <c r="C282" s="6" t="s">
        <v>17</v>
      </c>
      <c r="D282" s="6" t="str">
        <f>"512523302"</f>
        <v>512523302</v>
      </c>
      <c r="E282" s="7">
        <v>80</v>
      </c>
      <c r="F282" s="7">
        <v>66.5</v>
      </c>
      <c r="G282" s="7"/>
      <c r="H282" s="7">
        <v>74.599999999999994</v>
      </c>
      <c r="XCW282" s="9"/>
      <c r="XCX282" s="9"/>
      <c r="XCY282" s="9"/>
      <c r="XCZ282" s="9"/>
      <c r="XDA282" s="9"/>
      <c r="XDB282" s="9"/>
      <c r="XDC282" s="9"/>
      <c r="XDD282" s="9"/>
      <c r="XDE282" s="9"/>
      <c r="XDF282" s="9"/>
      <c r="XDG282" s="9"/>
      <c r="XDH282" s="9"/>
      <c r="XDI282" s="9"/>
      <c r="XDJ282" s="9"/>
      <c r="XDK282" s="9"/>
      <c r="XDL282" s="9"/>
      <c r="XDM282" s="9"/>
      <c r="XDN282" s="9"/>
      <c r="XDO282" s="9"/>
      <c r="XDP282" s="9"/>
      <c r="XDQ282" s="9"/>
      <c r="XDR282" s="9"/>
      <c r="XDS282" s="9"/>
      <c r="XDT282" s="9"/>
      <c r="XDU282" s="9"/>
      <c r="XDV282" s="9"/>
      <c r="XDW282" s="9"/>
      <c r="XDX282" s="9"/>
      <c r="XDY282" s="9"/>
      <c r="XDZ282" s="9"/>
      <c r="XEA282" s="9"/>
      <c r="XEB282" s="9"/>
      <c r="XEC282" s="9"/>
      <c r="XED282" s="9"/>
      <c r="XEE282" s="9"/>
      <c r="XEF282" s="9"/>
      <c r="XEG282" s="9"/>
      <c r="XEH282" s="9"/>
      <c r="XEI282" s="9"/>
      <c r="XEJ282" s="9"/>
      <c r="XEK282" s="9"/>
      <c r="XEL282" s="9"/>
      <c r="XEM282" s="9"/>
      <c r="XEN282" s="9"/>
      <c r="XEO282" s="9"/>
      <c r="XEP282" s="9"/>
      <c r="XEQ282" s="9"/>
      <c r="XER282" s="9"/>
      <c r="XES282" s="9"/>
      <c r="XET282" s="9"/>
      <c r="XEU282" s="9"/>
      <c r="XEV282" s="9"/>
      <c r="XEW282" s="9"/>
      <c r="XEX282" s="9"/>
      <c r="XEY282" s="9"/>
      <c r="XEZ282" s="9"/>
      <c r="XFA282" s="9"/>
      <c r="XFB282" s="9"/>
      <c r="XFC282" s="9"/>
      <c r="XFD282" s="9"/>
    </row>
    <row r="283" spans="1:8 16325:16384" s="3" customFormat="1" ht="19.95" customHeight="1">
      <c r="A283" s="6" t="str">
        <f t="shared" si="9"/>
        <v>040010</v>
      </c>
      <c r="B283" s="6" t="s">
        <v>20</v>
      </c>
      <c r="C283" s="6" t="s">
        <v>17</v>
      </c>
      <c r="D283" s="6" t="str">
        <f>"512523122"</f>
        <v>512523122</v>
      </c>
      <c r="E283" s="7">
        <v>32</v>
      </c>
      <c r="F283" s="7">
        <v>54</v>
      </c>
      <c r="G283" s="7"/>
      <c r="H283" s="7">
        <v>40.799999999999997</v>
      </c>
      <c r="XCW283" s="9"/>
      <c r="XCX283" s="9"/>
      <c r="XCY283" s="9"/>
      <c r="XCZ283" s="9"/>
      <c r="XDA283" s="9"/>
      <c r="XDB283" s="9"/>
      <c r="XDC283" s="9"/>
      <c r="XDD283" s="9"/>
      <c r="XDE283" s="9"/>
      <c r="XDF283" s="9"/>
      <c r="XDG283" s="9"/>
      <c r="XDH283" s="9"/>
      <c r="XDI283" s="9"/>
      <c r="XDJ283" s="9"/>
      <c r="XDK283" s="9"/>
      <c r="XDL283" s="9"/>
      <c r="XDM283" s="9"/>
      <c r="XDN283" s="9"/>
      <c r="XDO283" s="9"/>
      <c r="XDP283" s="9"/>
      <c r="XDQ283" s="9"/>
      <c r="XDR283" s="9"/>
      <c r="XDS283" s="9"/>
      <c r="XDT283" s="9"/>
      <c r="XDU283" s="9"/>
      <c r="XDV283" s="9"/>
      <c r="XDW283" s="9"/>
      <c r="XDX283" s="9"/>
      <c r="XDY283" s="9"/>
      <c r="XDZ283" s="9"/>
      <c r="XEA283" s="9"/>
      <c r="XEB283" s="9"/>
      <c r="XEC283" s="9"/>
      <c r="XED283" s="9"/>
      <c r="XEE283" s="9"/>
      <c r="XEF283" s="9"/>
      <c r="XEG283" s="9"/>
      <c r="XEH283" s="9"/>
      <c r="XEI283" s="9"/>
      <c r="XEJ283" s="9"/>
      <c r="XEK283" s="9"/>
      <c r="XEL283" s="9"/>
      <c r="XEM283" s="9"/>
      <c r="XEN283" s="9"/>
      <c r="XEO283" s="9"/>
      <c r="XEP283" s="9"/>
      <c r="XEQ283" s="9"/>
      <c r="XER283" s="9"/>
      <c r="XES283" s="9"/>
      <c r="XET283" s="9"/>
      <c r="XEU283" s="9"/>
      <c r="XEV283" s="9"/>
      <c r="XEW283" s="9"/>
      <c r="XEX283" s="9"/>
      <c r="XEY283" s="9"/>
      <c r="XEZ283" s="9"/>
      <c r="XFA283" s="9"/>
      <c r="XFB283" s="9"/>
      <c r="XFC283" s="9"/>
      <c r="XFD283" s="9"/>
    </row>
    <row r="284" spans="1:8 16325:16384" s="3" customFormat="1" ht="19.95" customHeight="1">
      <c r="A284" s="6" t="str">
        <f t="shared" si="9"/>
        <v>040010</v>
      </c>
      <c r="B284" s="6" t="s">
        <v>20</v>
      </c>
      <c r="C284" s="6" t="s">
        <v>17</v>
      </c>
      <c r="D284" s="6" t="str">
        <f>"512523212"</f>
        <v>512523212</v>
      </c>
      <c r="E284" s="7">
        <v>95.5</v>
      </c>
      <c r="F284" s="7">
        <v>87</v>
      </c>
      <c r="G284" s="7"/>
      <c r="H284" s="7">
        <v>92.1</v>
      </c>
      <c r="XCW284" s="9"/>
      <c r="XCX284" s="9"/>
      <c r="XCY284" s="9"/>
      <c r="XCZ284" s="9"/>
      <c r="XDA284" s="9"/>
      <c r="XDB284" s="9"/>
      <c r="XDC284" s="9"/>
      <c r="XDD284" s="9"/>
      <c r="XDE284" s="9"/>
      <c r="XDF284" s="9"/>
      <c r="XDG284" s="9"/>
      <c r="XDH284" s="9"/>
      <c r="XDI284" s="9"/>
      <c r="XDJ284" s="9"/>
      <c r="XDK284" s="9"/>
      <c r="XDL284" s="9"/>
      <c r="XDM284" s="9"/>
      <c r="XDN284" s="9"/>
      <c r="XDO284" s="9"/>
      <c r="XDP284" s="9"/>
      <c r="XDQ284" s="9"/>
      <c r="XDR284" s="9"/>
      <c r="XDS284" s="9"/>
      <c r="XDT284" s="9"/>
      <c r="XDU284" s="9"/>
      <c r="XDV284" s="9"/>
      <c r="XDW284" s="9"/>
      <c r="XDX284" s="9"/>
      <c r="XDY284" s="9"/>
      <c r="XDZ284" s="9"/>
      <c r="XEA284" s="9"/>
      <c r="XEB284" s="9"/>
      <c r="XEC284" s="9"/>
      <c r="XED284" s="9"/>
      <c r="XEE284" s="9"/>
      <c r="XEF284" s="9"/>
      <c r="XEG284" s="9"/>
      <c r="XEH284" s="9"/>
      <c r="XEI284" s="9"/>
      <c r="XEJ284" s="9"/>
      <c r="XEK284" s="9"/>
      <c r="XEL284" s="9"/>
      <c r="XEM284" s="9"/>
      <c r="XEN284" s="9"/>
      <c r="XEO284" s="9"/>
      <c r="XEP284" s="9"/>
      <c r="XEQ284" s="9"/>
      <c r="XER284" s="9"/>
      <c r="XES284" s="9"/>
      <c r="XET284" s="9"/>
      <c r="XEU284" s="9"/>
      <c r="XEV284" s="9"/>
      <c r="XEW284" s="9"/>
      <c r="XEX284" s="9"/>
      <c r="XEY284" s="9"/>
      <c r="XEZ284" s="9"/>
      <c r="XFA284" s="9"/>
      <c r="XFB284" s="9"/>
      <c r="XFC284" s="9"/>
      <c r="XFD284" s="9"/>
    </row>
    <row r="285" spans="1:8 16325:16384" s="3" customFormat="1" ht="19.95" customHeight="1">
      <c r="A285" s="6" t="str">
        <f t="shared" ref="A285:A329" si="10">"040011"</f>
        <v>040011</v>
      </c>
      <c r="B285" s="6" t="s">
        <v>9</v>
      </c>
      <c r="C285" s="6" t="s">
        <v>21</v>
      </c>
      <c r="D285" s="6" t="str">
        <f>"512417719"</f>
        <v>512417719</v>
      </c>
      <c r="E285" s="7">
        <v>79.5</v>
      </c>
      <c r="F285" s="7">
        <v>75</v>
      </c>
      <c r="G285" s="7"/>
      <c r="H285" s="7">
        <v>77.7</v>
      </c>
      <c r="XCW285" s="9"/>
      <c r="XCX285" s="9"/>
      <c r="XCY285" s="9"/>
      <c r="XCZ285" s="9"/>
      <c r="XDA285" s="9"/>
      <c r="XDB285" s="9"/>
      <c r="XDC285" s="9"/>
      <c r="XDD285" s="9"/>
      <c r="XDE285" s="9"/>
      <c r="XDF285" s="9"/>
      <c r="XDG285" s="9"/>
      <c r="XDH285" s="9"/>
      <c r="XDI285" s="9"/>
      <c r="XDJ285" s="9"/>
      <c r="XDK285" s="9"/>
      <c r="XDL285" s="9"/>
      <c r="XDM285" s="9"/>
      <c r="XDN285" s="9"/>
      <c r="XDO285" s="9"/>
      <c r="XDP285" s="9"/>
      <c r="XDQ285" s="9"/>
      <c r="XDR285" s="9"/>
      <c r="XDS285" s="9"/>
      <c r="XDT285" s="9"/>
      <c r="XDU285" s="9"/>
      <c r="XDV285" s="9"/>
      <c r="XDW285" s="9"/>
      <c r="XDX285" s="9"/>
      <c r="XDY285" s="9"/>
      <c r="XDZ285" s="9"/>
      <c r="XEA285" s="9"/>
      <c r="XEB285" s="9"/>
      <c r="XEC285" s="9"/>
      <c r="XED285" s="9"/>
      <c r="XEE285" s="9"/>
      <c r="XEF285" s="9"/>
      <c r="XEG285" s="9"/>
      <c r="XEH285" s="9"/>
      <c r="XEI285" s="9"/>
      <c r="XEJ285" s="9"/>
      <c r="XEK285" s="9"/>
      <c r="XEL285" s="9"/>
      <c r="XEM285" s="9"/>
      <c r="XEN285" s="9"/>
      <c r="XEO285" s="9"/>
      <c r="XEP285" s="9"/>
      <c r="XEQ285" s="9"/>
      <c r="XER285" s="9"/>
      <c r="XES285" s="9"/>
      <c r="XET285" s="9"/>
      <c r="XEU285" s="9"/>
      <c r="XEV285" s="9"/>
      <c r="XEW285" s="9"/>
      <c r="XEX285" s="9"/>
      <c r="XEY285" s="9"/>
      <c r="XEZ285" s="9"/>
      <c r="XFA285" s="9"/>
      <c r="XFB285" s="9"/>
      <c r="XFC285" s="9"/>
      <c r="XFD285" s="9"/>
    </row>
    <row r="286" spans="1:8 16325:16384" s="3" customFormat="1" ht="19.95" customHeight="1">
      <c r="A286" s="6" t="str">
        <f t="shared" si="10"/>
        <v>040011</v>
      </c>
      <c r="B286" s="6" t="s">
        <v>9</v>
      </c>
      <c r="C286" s="6" t="s">
        <v>21</v>
      </c>
      <c r="D286" s="6" t="str">
        <f>"512417803"</f>
        <v>512417803</v>
      </c>
      <c r="E286" s="7">
        <v>74.5</v>
      </c>
      <c r="F286" s="7">
        <v>73</v>
      </c>
      <c r="G286" s="7"/>
      <c r="H286" s="7">
        <v>73.900000000000006</v>
      </c>
      <c r="XCW286" s="9"/>
      <c r="XCX286" s="9"/>
      <c r="XCY286" s="9"/>
      <c r="XCZ286" s="9"/>
      <c r="XDA286" s="9"/>
      <c r="XDB286" s="9"/>
      <c r="XDC286" s="9"/>
      <c r="XDD286" s="9"/>
      <c r="XDE286" s="9"/>
      <c r="XDF286" s="9"/>
      <c r="XDG286" s="9"/>
      <c r="XDH286" s="9"/>
      <c r="XDI286" s="9"/>
      <c r="XDJ286" s="9"/>
      <c r="XDK286" s="9"/>
      <c r="XDL286" s="9"/>
      <c r="XDM286" s="9"/>
      <c r="XDN286" s="9"/>
      <c r="XDO286" s="9"/>
      <c r="XDP286" s="9"/>
      <c r="XDQ286" s="9"/>
      <c r="XDR286" s="9"/>
      <c r="XDS286" s="9"/>
      <c r="XDT286" s="9"/>
      <c r="XDU286" s="9"/>
      <c r="XDV286" s="9"/>
      <c r="XDW286" s="9"/>
      <c r="XDX286" s="9"/>
      <c r="XDY286" s="9"/>
      <c r="XDZ286" s="9"/>
      <c r="XEA286" s="9"/>
      <c r="XEB286" s="9"/>
      <c r="XEC286" s="9"/>
      <c r="XED286" s="9"/>
      <c r="XEE286" s="9"/>
      <c r="XEF286" s="9"/>
      <c r="XEG286" s="9"/>
      <c r="XEH286" s="9"/>
      <c r="XEI286" s="9"/>
      <c r="XEJ286" s="9"/>
      <c r="XEK286" s="9"/>
      <c r="XEL286" s="9"/>
      <c r="XEM286" s="9"/>
      <c r="XEN286" s="9"/>
      <c r="XEO286" s="9"/>
      <c r="XEP286" s="9"/>
      <c r="XEQ286" s="9"/>
      <c r="XER286" s="9"/>
      <c r="XES286" s="9"/>
      <c r="XET286" s="9"/>
      <c r="XEU286" s="9"/>
      <c r="XEV286" s="9"/>
      <c r="XEW286" s="9"/>
      <c r="XEX286" s="9"/>
      <c r="XEY286" s="9"/>
      <c r="XEZ286" s="9"/>
      <c r="XFA286" s="9"/>
      <c r="XFB286" s="9"/>
      <c r="XFC286" s="9"/>
      <c r="XFD286" s="9"/>
    </row>
    <row r="287" spans="1:8 16325:16384" s="3" customFormat="1" ht="19.95" customHeight="1">
      <c r="A287" s="6" t="str">
        <f t="shared" si="10"/>
        <v>040011</v>
      </c>
      <c r="B287" s="6" t="s">
        <v>9</v>
      </c>
      <c r="C287" s="6" t="s">
        <v>21</v>
      </c>
      <c r="D287" s="6" t="str">
        <f>"512417710"</f>
        <v>512417710</v>
      </c>
      <c r="E287" s="7">
        <v>61</v>
      </c>
      <c r="F287" s="7">
        <v>55</v>
      </c>
      <c r="G287" s="7"/>
      <c r="H287" s="7">
        <v>58.6</v>
      </c>
      <c r="XCW287" s="9"/>
      <c r="XCX287" s="9"/>
      <c r="XCY287" s="9"/>
      <c r="XCZ287" s="9"/>
      <c r="XDA287" s="9"/>
      <c r="XDB287" s="9"/>
      <c r="XDC287" s="9"/>
      <c r="XDD287" s="9"/>
      <c r="XDE287" s="9"/>
      <c r="XDF287" s="9"/>
      <c r="XDG287" s="9"/>
      <c r="XDH287" s="9"/>
      <c r="XDI287" s="9"/>
      <c r="XDJ287" s="9"/>
      <c r="XDK287" s="9"/>
      <c r="XDL287" s="9"/>
      <c r="XDM287" s="9"/>
      <c r="XDN287" s="9"/>
      <c r="XDO287" s="9"/>
      <c r="XDP287" s="9"/>
      <c r="XDQ287" s="9"/>
      <c r="XDR287" s="9"/>
      <c r="XDS287" s="9"/>
      <c r="XDT287" s="9"/>
      <c r="XDU287" s="9"/>
      <c r="XDV287" s="9"/>
      <c r="XDW287" s="9"/>
      <c r="XDX287" s="9"/>
      <c r="XDY287" s="9"/>
      <c r="XDZ287" s="9"/>
      <c r="XEA287" s="9"/>
      <c r="XEB287" s="9"/>
      <c r="XEC287" s="9"/>
      <c r="XED287" s="9"/>
      <c r="XEE287" s="9"/>
      <c r="XEF287" s="9"/>
      <c r="XEG287" s="9"/>
      <c r="XEH287" s="9"/>
      <c r="XEI287" s="9"/>
      <c r="XEJ287" s="9"/>
      <c r="XEK287" s="9"/>
      <c r="XEL287" s="9"/>
      <c r="XEM287" s="9"/>
      <c r="XEN287" s="9"/>
      <c r="XEO287" s="9"/>
      <c r="XEP287" s="9"/>
      <c r="XEQ287" s="9"/>
      <c r="XER287" s="9"/>
      <c r="XES287" s="9"/>
      <c r="XET287" s="9"/>
      <c r="XEU287" s="9"/>
      <c r="XEV287" s="9"/>
      <c r="XEW287" s="9"/>
      <c r="XEX287" s="9"/>
      <c r="XEY287" s="9"/>
      <c r="XEZ287" s="9"/>
      <c r="XFA287" s="9"/>
      <c r="XFB287" s="9"/>
      <c r="XFC287" s="9"/>
      <c r="XFD287" s="9"/>
    </row>
    <row r="288" spans="1:8 16325:16384" s="3" customFormat="1" ht="19.95" customHeight="1">
      <c r="A288" s="6" t="str">
        <f t="shared" si="10"/>
        <v>040011</v>
      </c>
      <c r="B288" s="6" t="s">
        <v>9</v>
      </c>
      <c r="C288" s="6" t="s">
        <v>21</v>
      </c>
      <c r="D288" s="6" t="str">
        <f>"512417721"</f>
        <v>512417721</v>
      </c>
      <c r="E288" s="7">
        <v>81.5</v>
      </c>
      <c r="F288" s="7">
        <v>68</v>
      </c>
      <c r="G288" s="7"/>
      <c r="H288" s="7">
        <v>76.099999999999994</v>
      </c>
      <c r="XCW288" s="9"/>
      <c r="XCX288" s="9"/>
      <c r="XCY288" s="9"/>
      <c r="XCZ288" s="9"/>
      <c r="XDA288" s="9"/>
      <c r="XDB288" s="9"/>
      <c r="XDC288" s="9"/>
      <c r="XDD288" s="9"/>
      <c r="XDE288" s="9"/>
      <c r="XDF288" s="9"/>
      <c r="XDG288" s="9"/>
      <c r="XDH288" s="9"/>
      <c r="XDI288" s="9"/>
      <c r="XDJ288" s="9"/>
      <c r="XDK288" s="9"/>
      <c r="XDL288" s="9"/>
      <c r="XDM288" s="9"/>
      <c r="XDN288" s="9"/>
      <c r="XDO288" s="9"/>
      <c r="XDP288" s="9"/>
      <c r="XDQ288" s="9"/>
      <c r="XDR288" s="9"/>
      <c r="XDS288" s="9"/>
      <c r="XDT288" s="9"/>
      <c r="XDU288" s="9"/>
      <c r="XDV288" s="9"/>
      <c r="XDW288" s="9"/>
      <c r="XDX288" s="9"/>
      <c r="XDY288" s="9"/>
      <c r="XDZ288" s="9"/>
      <c r="XEA288" s="9"/>
      <c r="XEB288" s="9"/>
      <c r="XEC288" s="9"/>
      <c r="XED288" s="9"/>
      <c r="XEE288" s="9"/>
      <c r="XEF288" s="9"/>
      <c r="XEG288" s="9"/>
      <c r="XEH288" s="9"/>
      <c r="XEI288" s="9"/>
      <c r="XEJ288" s="9"/>
      <c r="XEK288" s="9"/>
      <c r="XEL288" s="9"/>
      <c r="XEM288" s="9"/>
      <c r="XEN288" s="9"/>
      <c r="XEO288" s="9"/>
      <c r="XEP288" s="9"/>
      <c r="XEQ288" s="9"/>
      <c r="XER288" s="9"/>
      <c r="XES288" s="9"/>
      <c r="XET288" s="9"/>
      <c r="XEU288" s="9"/>
      <c r="XEV288" s="9"/>
      <c r="XEW288" s="9"/>
      <c r="XEX288" s="9"/>
      <c r="XEY288" s="9"/>
      <c r="XEZ288" s="9"/>
      <c r="XFA288" s="9"/>
      <c r="XFB288" s="9"/>
      <c r="XFC288" s="9"/>
      <c r="XFD288" s="9"/>
    </row>
    <row r="289" spans="1:8 16325:16384" s="3" customFormat="1" ht="19.95" customHeight="1">
      <c r="A289" s="6" t="str">
        <f t="shared" si="10"/>
        <v>040011</v>
      </c>
      <c r="B289" s="6" t="s">
        <v>9</v>
      </c>
      <c r="C289" s="6" t="s">
        <v>21</v>
      </c>
      <c r="D289" s="6" t="str">
        <f>"512417820"</f>
        <v>512417820</v>
      </c>
      <c r="E289" s="7">
        <v>68.5</v>
      </c>
      <c r="F289" s="7">
        <v>64</v>
      </c>
      <c r="G289" s="7"/>
      <c r="H289" s="7">
        <v>66.7</v>
      </c>
      <c r="XCW289" s="9"/>
      <c r="XCX289" s="9"/>
      <c r="XCY289" s="9"/>
      <c r="XCZ289" s="9"/>
      <c r="XDA289" s="9"/>
      <c r="XDB289" s="9"/>
      <c r="XDC289" s="9"/>
      <c r="XDD289" s="9"/>
      <c r="XDE289" s="9"/>
      <c r="XDF289" s="9"/>
      <c r="XDG289" s="9"/>
      <c r="XDH289" s="9"/>
      <c r="XDI289" s="9"/>
      <c r="XDJ289" s="9"/>
      <c r="XDK289" s="9"/>
      <c r="XDL289" s="9"/>
      <c r="XDM289" s="9"/>
      <c r="XDN289" s="9"/>
      <c r="XDO289" s="9"/>
      <c r="XDP289" s="9"/>
      <c r="XDQ289" s="9"/>
      <c r="XDR289" s="9"/>
      <c r="XDS289" s="9"/>
      <c r="XDT289" s="9"/>
      <c r="XDU289" s="9"/>
      <c r="XDV289" s="9"/>
      <c r="XDW289" s="9"/>
      <c r="XDX289" s="9"/>
      <c r="XDY289" s="9"/>
      <c r="XDZ289" s="9"/>
      <c r="XEA289" s="9"/>
      <c r="XEB289" s="9"/>
      <c r="XEC289" s="9"/>
      <c r="XED289" s="9"/>
      <c r="XEE289" s="9"/>
      <c r="XEF289" s="9"/>
      <c r="XEG289" s="9"/>
      <c r="XEH289" s="9"/>
      <c r="XEI289" s="9"/>
      <c r="XEJ289" s="9"/>
      <c r="XEK289" s="9"/>
      <c r="XEL289" s="9"/>
      <c r="XEM289" s="9"/>
      <c r="XEN289" s="9"/>
      <c r="XEO289" s="9"/>
      <c r="XEP289" s="9"/>
      <c r="XEQ289" s="9"/>
      <c r="XER289" s="9"/>
      <c r="XES289" s="9"/>
      <c r="XET289" s="9"/>
      <c r="XEU289" s="9"/>
      <c r="XEV289" s="9"/>
      <c r="XEW289" s="9"/>
      <c r="XEX289" s="9"/>
      <c r="XEY289" s="9"/>
      <c r="XEZ289" s="9"/>
      <c r="XFA289" s="9"/>
      <c r="XFB289" s="9"/>
      <c r="XFC289" s="9"/>
      <c r="XFD289" s="9"/>
    </row>
    <row r="290" spans="1:8 16325:16384" s="3" customFormat="1" ht="19.95" customHeight="1">
      <c r="A290" s="6" t="str">
        <f t="shared" si="10"/>
        <v>040011</v>
      </c>
      <c r="B290" s="6" t="s">
        <v>9</v>
      </c>
      <c r="C290" s="6" t="s">
        <v>21</v>
      </c>
      <c r="D290" s="6" t="str">
        <f>"512417723"</f>
        <v>512417723</v>
      </c>
      <c r="E290" s="7">
        <v>83.5</v>
      </c>
      <c r="F290" s="7">
        <v>85</v>
      </c>
      <c r="G290" s="7"/>
      <c r="H290" s="7">
        <v>84.1</v>
      </c>
      <c r="XCW290" s="9"/>
      <c r="XCX290" s="9"/>
      <c r="XCY290" s="9"/>
      <c r="XCZ290" s="9"/>
      <c r="XDA290" s="9"/>
      <c r="XDB290" s="9"/>
      <c r="XDC290" s="9"/>
      <c r="XDD290" s="9"/>
      <c r="XDE290" s="9"/>
      <c r="XDF290" s="9"/>
      <c r="XDG290" s="9"/>
      <c r="XDH290" s="9"/>
      <c r="XDI290" s="9"/>
      <c r="XDJ290" s="9"/>
      <c r="XDK290" s="9"/>
      <c r="XDL290" s="9"/>
      <c r="XDM290" s="9"/>
      <c r="XDN290" s="9"/>
      <c r="XDO290" s="9"/>
      <c r="XDP290" s="9"/>
      <c r="XDQ290" s="9"/>
      <c r="XDR290" s="9"/>
      <c r="XDS290" s="9"/>
      <c r="XDT290" s="9"/>
      <c r="XDU290" s="9"/>
      <c r="XDV290" s="9"/>
      <c r="XDW290" s="9"/>
      <c r="XDX290" s="9"/>
      <c r="XDY290" s="9"/>
      <c r="XDZ290" s="9"/>
      <c r="XEA290" s="9"/>
      <c r="XEB290" s="9"/>
      <c r="XEC290" s="9"/>
      <c r="XED290" s="9"/>
      <c r="XEE290" s="9"/>
      <c r="XEF290" s="9"/>
      <c r="XEG290" s="9"/>
      <c r="XEH290" s="9"/>
      <c r="XEI290" s="9"/>
      <c r="XEJ290" s="9"/>
      <c r="XEK290" s="9"/>
      <c r="XEL290" s="9"/>
      <c r="XEM290" s="9"/>
      <c r="XEN290" s="9"/>
      <c r="XEO290" s="9"/>
      <c r="XEP290" s="9"/>
      <c r="XEQ290" s="9"/>
      <c r="XER290" s="9"/>
      <c r="XES290" s="9"/>
      <c r="XET290" s="9"/>
      <c r="XEU290" s="9"/>
      <c r="XEV290" s="9"/>
      <c r="XEW290" s="9"/>
      <c r="XEX290" s="9"/>
      <c r="XEY290" s="9"/>
      <c r="XEZ290" s="9"/>
      <c r="XFA290" s="9"/>
      <c r="XFB290" s="9"/>
      <c r="XFC290" s="9"/>
      <c r="XFD290" s="9"/>
    </row>
    <row r="291" spans="1:8 16325:16384" s="3" customFormat="1" ht="19.95" customHeight="1">
      <c r="A291" s="6" t="str">
        <f t="shared" si="10"/>
        <v>040011</v>
      </c>
      <c r="B291" s="6" t="s">
        <v>9</v>
      </c>
      <c r="C291" s="6" t="s">
        <v>21</v>
      </c>
      <c r="D291" s="6" t="str">
        <f>"512417814"</f>
        <v>512417814</v>
      </c>
      <c r="E291" s="7">
        <v>0</v>
      </c>
      <c r="F291" s="7">
        <v>0</v>
      </c>
      <c r="G291" s="7"/>
      <c r="H291" s="7">
        <v>0</v>
      </c>
      <c r="XCW291" s="9"/>
      <c r="XCX291" s="9"/>
      <c r="XCY291" s="9"/>
      <c r="XCZ291" s="9"/>
      <c r="XDA291" s="9"/>
      <c r="XDB291" s="9"/>
      <c r="XDC291" s="9"/>
      <c r="XDD291" s="9"/>
      <c r="XDE291" s="9"/>
      <c r="XDF291" s="9"/>
      <c r="XDG291" s="9"/>
      <c r="XDH291" s="9"/>
      <c r="XDI291" s="9"/>
      <c r="XDJ291" s="9"/>
      <c r="XDK291" s="9"/>
      <c r="XDL291" s="9"/>
      <c r="XDM291" s="9"/>
      <c r="XDN291" s="9"/>
      <c r="XDO291" s="9"/>
      <c r="XDP291" s="9"/>
      <c r="XDQ291" s="9"/>
      <c r="XDR291" s="9"/>
      <c r="XDS291" s="9"/>
      <c r="XDT291" s="9"/>
      <c r="XDU291" s="9"/>
      <c r="XDV291" s="9"/>
      <c r="XDW291" s="9"/>
      <c r="XDX291" s="9"/>
      <c r="XDY291" s="9"/>
      <c r="XDZ291" s="9"/>
      <c r="XEA291" s="9"/>
      <c r="XEB291" s="9"/>
      <c r="XEC291" s="9"/>
      <c r="XED291" s="9"/>
      <c r="XEE291" s="9"/>
      <c r="XEF291" s="9"/>
      <c r="XEG291" s="9"/>
      <c r="XEH291" s="9"/>
      <c r="XEI291" s="9"/>
      <c r="XEJ291" s="9"/>
      <c r="XEK291" s="9"/>
      <c r="XEL291" s="9"/>
      <c r="XEM291" s="9"/>
      <c r="XEN291" s="9"/>
      <c r="XEO291" s="9"/>
      <c r="XEP291" s="9"/>
      <c r="XEQ291" s="9"/>
      <c r="XER291" s="9"/>
      <c r="XES291" s="9"/>
      <c r="XET291" s="9"/>
      <c r="XEU291" s="9"/>
      <c r="XEV291" s="9"/>
      <c r="XEW291" s="9"/>
      <c r="XEX291" s="9"/>
      <c r="XEY291" s="9"/>
      <c r="XEZ291" s="9"/>
      <c r="XFA291" s="9"/>
      <c r="XFB291" s="9"/>
      <c r="XFC291" s="9"/>
      <c r="XFD291" s="9"/>
    </row>
    <row r="292" spans="1:8 16325:16384" s="3" customFormat="1" ht="19.95" customHeight="1">
      <c r="A292" s="6" t="str">
        <f t="shared" si="10"/>
        <v>040011</v>
      </c>
      <c r="B292" s="6" t="s">
        <v>9</v>
      </c>
      <c r="C292" s="6" t="s">
        <v>21</v>
      </c>
      <c r="D292" s="6" t="str">
        <f>"512417801"</f>
        <v>512417801</v>
      </c>
      <c r="E292" s="7">
        <v>61</v>
      </c>
      <c r="F292" s="7">
        <v>63</v>
      </c>
      <c r="G292" s="7"/>
      <c r="H292" s="7">
        <v>61.8</v>
      </c>
      <c r="XCW292" s="9"/>
      <c r="XCX292" s="9"/>
      <c r="XCY292" s="9"/>
      <c r="XCZ292" s="9"/>
      <c r="XDA292" s="9"/>
      <c r="XDB292" s="9"/>
      <c r="XDC292" s="9"/>
      <c r="XDD292" s="9"/>
      <c r="XDE292" s="9"/>
      <c r="XDF292" s="9"/>
      <c r="XDG292" s="9"/>
      <c r="XDH292" s="9"/>
      <c r="XDI292" s="9"/>
      <c r="XDJ292" s="9"/>
      <c r="XDK292" s="9"/>
      <c r="XDL292" s="9"/>
      <c r="XDM292" s="9"/>
      <c r="XDN292" s="9"/>
      <c r="XDO292" s="9"/>
      <c r="XDP292" s="9"/>
      <c r="XDQ292" s="9"/>
      <c r="XDR292" s="9"/>
      <c r="XDS292" s="9"/>
      <c r="XDT292" s="9"/>
      <c r="XDU292" s="9"/>
      <c r="XDV292" s="9"/>
      <c r="XDW292" s="9"/>
      <c r="XDX292" s="9"/>
      <c r="XDY292" s="9"/>
      <c r="XDZ292" s="9"/>
      <c r="XEA292" s="9"/>
      <c r="XEB292" s="9"/>
      <c r="XEC292" s="9"/>
      <c r="XED292" s="9"/>
      <c r="XEE292" s="9"/>
      <c r="XEF292" s="9"/>
      <c r="XEG292" s="9"/>
      <c r="XEH292" s="9"/>
      <c r="XEI292" s="9"/>
      <c r="XEJ292" s="9"/>
      <c r="XEK292" s="9"/>
      <c r="XEL292" s="9"/>
      <c r="XEM292" s="9"/>
      <c r="XEN292" s="9"/>
      <c r="XEO292" s="9"/>
      <c r="XEP292" s="9"/>
      <c r="XEQ292" s="9"/>
      <c r="XER292" s="9"/>
      <c r="XES292" s="9"/>
      <c r="XET292" s="9"/>
      <c r="XEU292" s="9"/>
      <c r="XEV292" s="9"/>
      <c r="XEW292" s="9"/>
      <c r="XEX292" s="9"/>
      <c r="XEY292" s="9"/>
      <c r="XEZ292" s="9"/>
      <c r="XFA292" s="9"/>
      <c r="XFB292" s="9"/>
      <c r="XFC292" s="9"/>
      <c r="XFD292" s="9"/>
    </row>
    <row r="293" spans="1:8 16325:16384" s="3" customFormat="1" ht="19.95" customHeight="1">
      <c r="A293" s="6" t="str">
        <f t="shared" si="10"/>
        <v>040011</v>
      </c>
      <c r="B293" s="6" t="s">
        <v>9</v>
      </c>
      <c r="C293" s="6" t="s">
        <v>21</v>
      </c>
      <c r="D293" s="6" t="str">
        <f>"512417821"</f>
        <v>512417821</v>
      </c>
      <c r="E293" s="7">
        <v>83</v>
      </c>
      <c r="F293" s="7">
        <v>58</v>
      </c>
      <c r="G293" s="7"/>
      <c r="H293" s="7">
        <v>73</v>
      </c>
      <c r="XCW293" s="9"/>
      <c r="XCX293" s="9"/>
      <c r="XCY293" s="9"/>
      <c r="XCZ293" s="9"/>
      <c r="XDA293" s="9"/>
      <c r="XDB293" s="9"/>
      <c r="XDC293" s="9"/>
      <c r="XDD293" s="9"/>
      <c r="XDE293" s="9"/>
      <c r="XDF293" s="9"/>
      <c r="XDG293" s="9"/>
      <c r="XDH293" s="9"/>
      <c r="XDI293" s="9"/>
      <c r="XDJ293" s="9"/>
      <c r="XDK293" s="9"/>
      <c r="XDL293" s="9"/>
      <c r="XDM293" s="9"/>
      <c r="XDN293" s="9"/>
      <c r="XDO293" s="9"/>
      <c r="XDP293" s="9"/>
      <c r="XDQ293" s="9"/>
      <c r="XDR293" s="9"/>
      <c r="XDS293" s="9"/>
      <c r="XDT293" s="9"/>
      <c r="XDU293" s="9"/>
      <c r="XDV293" s="9"/>
      <c r="XDW293" s="9"/>
      <c r="XDX293" s="9"/>
      <c r="XDY293" s="9"/>
      <c r="XDZ293" s="9"/>
      <c r="XEA293" s="9"/>
      <c r="XEB293" s="9"/>
      <c r="XEC293" s="9"/>
      <c r="XED293" s="9"/>
      <c r="XEE293" s="9"/>
      <c r="XEF293" s="9"/>
      <c r="XEG293" s="9"/>
      <c r="XEH293" s="9"/>
      <c r="XEI293" s="9"/>
      <c r="XEJ293" s="9"/>
      <c r="XEK293" s="9"/>
      <c r="XEL293" s="9"/>
      <c r="XEM293" s="9"/>
      <c r="XEN293" s="9"/>
      <c r="XEO293" s="9"/>
      <c r="XEP293" s="9"/>
      <c r="XEQ293" s="9"/>
      <c r="XER293" s="9"/>
      <c r="XES293" s="9"/>
      <c r="XET293" s="9"/>
      <c r="XEU293" s="9"/>
      <c r="XEV293" s="9"/>
      <c r="XEW293" s="9"/>
      <c r="XEX293" s="9"/>
      <c r="XEY293" s="9"/>
      <c r="XEZ293" s="9"/>
      <c r="XFA293" s="9"/>
      <c r="XFB293" s="9"/>
      <c r="XFC293" s="9"/>
      <c r="XFD293" s="9"/>
    </row>
    <row r="294" spans="1:8 16325:16384" s="3" customFormat="1" ht="19.95" customHeight="1">
      <c r="A294" s="6" t="str">
        <f t="shared" si="10"/>
        <v>040011</v>
      </c>
      <c r="B294" s="6" t="s">
        <v>9</v>
      </c>
      <c r="C294" s="6" t="s">
        <v>21</v>
      </c>
      <c r="D294" s="6" t="str">
        <f>"512417709"</f>
        <v>512417709</v>
      </c>
      <c r="E294" s="7">
        <v>83.5</v>
      </c>
      <c r="F294" s="7">
        <v>72.5</v>
      </c>
      <c r="G294" s="7"/>
      <c r="H294" s="7">
        <v>79.099999999999994</v>
      </c>
      <c r="XCW294" s="9"/>
      <c r="XCX294" s="9"/>
      <c r="XCY294" s="9"/>
      <c r="XCZ294" s="9"/>
      <c r="XDA294" s="9"/>
      <c r="XDB294" s="9"/>
      <c r="XDC294" s="9"/>
      <c r="XDD294" s="9"/>
      <c r="XDE294" s="9"/>
      <c r="XDF294" s="9"/>
      <c r="XDG294" s="9"/>
      <c r="XDH294" s="9"/>
      <c r="XDI294" s="9"/>
      <c r="XDJ294" s="9"/>
      <c r="XDK294" s="9"/>
      <c r="XDL294" s="9"/>
      <c r="XDM294" s="9"/>
      <c r="XDN294" s="9"/>
      <c r="XDO294" s="9"/>
      <c r="XDP294" s="9"/>
      <c r="XDQ294" s="9"/>
      <c r="XDR294" s="9"/>
      <c r="XDS294" s="9"/>
      <c r="XDT294" s="9"/>
      <c r="XDU294" s="9"/>
      <c r="XDV294" s="9"/>
      <c r="XDW294" s="9"/>
      <c r="XDX294" s="9"/>
      <c r="XDY294" s="9"/>
      <c r="XDZ294" s="9"/>
      <c r="XEA294" s="9"/>
      <c r="XEB294" s="9"/>
      <c r="XEC294" s="9"/>
      <c r="XED294" s="9"/>
      <c r="XEE294" s="9"/>
      <c r="XEF294" s="9"/>
      <c r="XEG294" s="9"/>
      <c r="XEH294" s="9"/>
      <c r="XEI294" s="9"/>
      <c r="XEJ294" s="9"/>
      <c r="XEK294" s="9"/>
      <c r="XEL294" s="9"/>
      <c r="XEM294" s="9"/>
      <c r="XEN294" s="9"/>
      <c r="XEO294" s="9"/>
      <c r="XEP294" s="9"/>
      <c r="XEQ294" s="9"/>
      <c r="XER294" s="9"/>
      <c r="XES294" s="9"/>
      <c r="XET294" s="9"/>
      <c r="XEU294" s="9"/>
      <c r="XEV294" s="9"/>
      <c r="XEW294" s="9"/>
      <c r="XEX294" s="9"/>
      <c r="XEY294" s="9"/>
      <c r="XEZ294" s="9"/>
      <c r="XFA294" s="9"/>
      <c r="XFB294" s="9"/>
      <c r="XFC294" s="9"/>
      <c r="XFD294" s="9"/>
    </row>
    <row r="295" spans="1:8 16325:16384" s="3" customFormat="1" ht="19.95" customHeight="1">
      <c r="A295" s="6" t="str">
        <f t="shared" si="10"/>
        <v>040011</v>
      </c>
      <c r="B295" s="6" t="s">
        <v>9</v>
      </c>
      <c r="C295" s="6" t="s">
        <v>21</v>
      </c>
      <c r="D295" s="6" t="str">
        <f>"512417808"</f>
        <v>512417808</v>
      </c>
      <c r="E295" s="7">
        <v>0</v>
      </c>
      <c r="F295" s="7">
        <v>0</v>
      </c>
      <c r="G295" s="7"/>
      <c r="H295" s="7">
        <v>0</v>
      </c>
      <c r="XCW295" s="9"/>
      <c r="XCX295" s="9"/>
      <c r="XCY295" s="9"/>
      <c r="XCZ295" s="9"/>
      <c r="XDA295" s="9"/>
      <c r="XDB295" s="9"/>
      <c r="XDC295" s="9"/>
      <c r="XDD295" s="9"/>
      <c r="XDE295" s="9"/>
      <c r="XDF295" s="9"/>
      <c r="XDG295" s="9"/>
      <c r="XDH295" s="9"/>
      <c r="XDI295" s="9"/>
      <c r="XDJ295" s="9"/>
      <c r="XDK295" s="9"/>
      <c r="XDL295" s="9"/>
      <c r="XDM295" s="9"/>
      <c r="XDN295" s="9"/>
      <c r="XDO295" s="9"/>
      <c r="XDP295" s="9"/>
      <c r="XDQ295" s="9"/>
      <c r="XDR295" s="9"/>
      <c r="XDS295" s="9"/>
      <c r="XDT295" s="9"/>
      <c r="XDU295" s="9"/>
      <c r="XDV295" s="9"/>
      <c r="XDW295" s="9"/>
      <c r="XDX295" s="9"/>
      <c r="XDY295" s="9"/>
      <c r="XDZ295" s="9"/>
      <c r="XEA295" s="9"/>
      <c r="XEB295" s="9"/>
      <c r="XEC295" s="9"/>
      <c r="XED295" s="9"/>
      <c r="XEE295" s="9"/>
      <c r="XEF295" s="9"/>
      <c r="XEG295" s="9"/>
      <c r="XEH295" s="9"/>
      <c r="XEI295" s="9"/>
      <c r="XEJ295" s="9"/>
      <c r="XEK295" s="9"/>
      <c r="XEL295" s="9"/>
      <c r="XEM295" s="9"/>
      <c r="XEN295" s="9"/>
      <c r="XEO295" s="9"/>
      <c r="XEP295" s="9"/>
      <c r="XEQ295" s="9"/>
      <c r="XER295" s="9"/>
      <c r="XES295" s="9"/>
      <c r="XET295" s="9"/>
      <c r="XEU295" s="9"/>
      <c r="XEV295" s="9"/>
      <c r="XEW295" s="9"/>
      <c r="XEX295" s="9"/>
      <c r="XEY295" s="9"/>
      <c r="XEZ295" s="9"/>
      <c r="XFA295" s="9"/>
      <c r="XFB295" s="9"/>
      <c r="XFC295" s="9"/>
      <c r="XFD295" s="9"/>
    </row>
    <row r="296" spans="1:8 16325:16384" s="3" customFormat="1" ht="19.95" customHeight="1">
      <c r="A296" s="6" t="str">
        <f t="shared" si="10"/>
        <v>040011</v>
      </c>
      <c r="B296" s="6" t="s">
        <v>9</v>
      </c>
      <c r="C296" s="6" t="s">
        <v>21</v>
      </c>
      <c r="D296" s="6" t="str">
        <f>"512417812"</f>
        <v>512417812</v>
      </c>
      <c r="E296" s="7">
        <v>70</v>
      </c>
      <c r="F296" s="7">
        <v>83.5</v>
      </c>
      <c r="G296" s="7"/>
      <c r="H296" s="7">
        <v>75.400000000000006</v>
      </c>
      <c r="XCW296" s="9"/>
      <c r="XCX296" s="9"/>
      <c r="XCY296" s="9"/>
      <c r="XCZ296" s="9"/>
      <c r="XDA296" s="9"/>
      <c r="XDB296" s="9"/>
      <c r="XDC296" s="9"/>
      <c r="XDD296" s="9"/>
      <c r="XDE296" s="9"/>
      <c r="XDF296" s="9"/>
      <c r="XDG296" s="9"/>
      <c r="XDH296" s="9"/>
      <c r="XDI296" s="9"/>
      <c r="XDJ296" s="9"/>
      <c r="XDK296" s="9"/>
      <c r="XDL296" s="9"/>
      <c r="XDM296" s="9"/>
      <c r="XDN296" s="9"/>
      <c r="XDO296" s="9"/>
      <c r="XDP296" s="9"/>
      <c r="XDQ296" s="9"/>
      <c r="XDR296" s="9"/>
      <c r="XDS296" s="9"/>
      <c r="XDT296" s="9"/>
      <c r="XDU296" s="9"/>
      <c r="XDV296" s="9"/>
      <c r="XDW296" s="9"/>
      <c r="XDX296" s="9"/>
      <c r="XDY296" s="9"/>
      <c r="XDZ296" s="9"/>
      <c r="XEA296" s="9"/>
      <c r="XEB296" s="9"/>
      <c r="XEC296" s="9"/>
      <c r="XED296" s="9"/>
      <c r="XEE296" s="9"/>
      <c r="XEF296" s="9"/>
      <c r="XEG296" s="9"/>
      <c r="XEH296" s="9"/>
      <c r="XEI296" s="9"/>
      <c r="XEJ296" s="9"/>
      <c r="XEK296" s="9"/>
      <c r="XEL296" s="9"/>
      <c r="XEM296" s="9"/>
      <c r="XEN296" s="9"/>
      <c r="XEO296" s="9"/>
      <c r="XEP296" s="9"/>
      <c r="XEQ296" s="9"/>
      <c r="XER296" s="9"/>
      <c r="XES296" s="9"/>
      <c r="XET296" s="9"/>
      <c r="XEU296" s="9"/>
      <c r="XEV296" s="9"/>
      <c r="XEW296" s="9"/>
      <c r="XEX296" s="9"/>
      <c r="XEY296" s="9"/>
      <c r="XEZ296" s="9"/>
      <c r="XFA296" s="9"/>
      <c r="XFB296" s="9"/>
      <c r="XFC296" s="9"/>
      <c r="XFD296" s="9"/>
    </row>
    <row r="297" spans="1:8 16325:16384" s="3" customFormat="1" ht="19.95" customHeight="1">
      <c r="A297" s="6" t="str">
        <f t="shared" si="10"/>
        <v>040011</v>
      </c>
      <c r="B297" s="6" t="s">
        <v>9</v>
      </c>
      <c r="C297" s="6" t="s">
        <v>21</v>
      </c>
      <c r="D297" s="6" t="str">
        <f>"512417816"</f>
        <v>512417816</v>
      </c>
      <c r="E297" s="7">
        <v>76</v>
      </c>
      <c r="F297" s="7">
        <v>82</v>
      </c>
      <c r="G297" s="7"/>
      <c r="H297" s="7">
        <v>78.400000000000006</v>
      </c>
      <c r="XCW297" s="9"/>
      <c r="XCX297" s="9"/>
      <c r="XCY297" s="9"/>
      <c r="XCZ297" s="9"/>
      <c r="XDA297" s="9"/>
      <c r="XDB297" s="9"/>
      <c r="XDC297" s="9"/>
      <c r="XDD297" s="9"/>
      <c r="XDE297" s="9"/>
      <c r="XDF297" s="9"/>
      <c r="XDG297" s="9"/>
      <c r="XDH297" s="9"/>
      <c r="XDI297" s="9"/>
      <c r="XDJ297" s="9"/>
      <c r="XDK297" s="9"/>
      <c r="XDL297" s="9"/>
      <c r="XDM297" s="9"/>
      <c r="XDN297" s="9"/>
      <c r="XDO297" s="9"/>
      <c r="XDP297" s="9"/>
      <c r="XDQ297" s="9"/>
      <c r="XDR297" s="9"/>
      <c r="XDS297" s="9"/>
      <c r="XDT297" s="9"/>
      <c r="XDU297" s="9"/>
      <c r="XDV297" s="9"/>
      <c r="XDW297" s="9"/>
      <c r="XDX297" s="9"/>
      <c r="XDY297" s="9"/>
      <c r="XDZ297" s="9"/>
      <c r="XEA297" s="9"/>
      <c r="XEB297" s="9"/>
      <c r="XEC297" s="9"/>
      <c r="XED297" s="9"/>
      <c r="XEE297" s="9"/>
      <c r="XEF297" s="9"/>
      <c r="XEG297" s="9"/>
      <c r="XEH297" s="9"/>
      <c r="XEI297" s="9"/>
      <c r="XEJ297" s="9"/>
      <c r="XEK297" s="9"/>
      <c r="XEL297" s="9"/>
      <c r="XEM297" s="9"/>
      <c r="XEN297" s="9"/>
      <c r="XEO297" s="9"/>
      <c r="XEP297" s="9"/>
      <c r="XEQ297" s="9"/>
      <c r="XER297" s="9"/>
      <c r="XES297" s="9"/>
      <c r="XET297" s="9"/>
      <c r="XEU297" s="9"/>
      <c r="XEV297" s="9"/>
      <c r="XEW297" s="9"/>
      <c r="XEX297" s="9"/>
      <c r="XEY297" s="9"/>
      <c r="XEZ297" s="9"/>
      <c r="XFA297" s="9"/>
      <c r="XFB297" s="9"/>
      <c r="XFC297" s="9"/>
      <c r="XFD297" s="9"/>
    </row>
    <row r="298" spans="1:8 16325:16384" s="3" customFormat="1" ht="19.95" customHeight="1">
      <c r="A298" s="6" t="str">
        <f t="shared" si="10"/>
        <v>040011</v>
      </c>
      <c r="B298" s="6" t="s">
        <v>9</v>
      </c>
      <c r="C298" s="6" t="s">
        <v>21</v>
      </c>
      <c r="D298" s="6" t="str">
        <f>"512417730"</f>
        <v>512417730</v>
      </c>
      <c r="E298" s="7">
        <v>84.5</v>
      </c>
      <c r="F298" s="7">
        <v>72.5</v>
      </c>
      <c r="G298" s="7"/>
      <c r="H298" s="7">
        <v>79.7</v>
      </c>
      <c r="XCW298" s="9"/>
      <c r="XCX298" s="9"/>
      <c r="XCY298" s="9"/>
      <c r="XCZ298" s="9"/>
      <c r="XDA298" s="9"/>
      <c r="XDB298" s="9"/>
      <c r="XDC298" s="9"/>
      <c r="XDD298" s="9"/>
      <c r="XDE298" s="9"/>
      <c r="XDF298" s="9"/>
      <c r="XDG298" s="9"/>
      <c r="XDH298" s="9"/>
      <c r="XDI298" s="9"/>
      <c r="XDJ298" s="9"/>
      <c r="XDK298" s="9"/>
      <c r="XDL298" s="9"/>
      <c r="XDM298" s="9"/>
      <c r="XDN298" s="9"/>
      <c r="XDO298" s="9"/>
      <c r="XDP298" s="9"/>
      <c r="XDQ298" s="9"/>
      <c r="XDR298" s="9"/>
      <c r="XDS298" s="9"/>
      <c r="XDT298" s="9"/>
      <c r="XDU298" s="9"/>
      <c r="XDV298" s="9"/>
      <c r="XDW298" s="9"/>
      <c r="XDX298" s="9"/>
      <c r="XDY298" s="9"/>
      <c r="XDZ298" s="9"/>
      <c r="XEA298" s="9"/>
      <c r="XEB298" s="9"/>
      <c r="XEC298" s="9"/>
      <c r="XED298" s="9"/>
      <c r="XEE298" s="9"/>
      <c r="XEF298" s="9"/>
      <c r="XEG298" s="9"/>
      <c r="XEH298" s="9"/>
      <c r="XEI298" s="9"/>
      <c r="XEJ298" s="9"/>
      <c r="XEK298" s="9"/>
      <c r="XEL298" s="9"/>
      <c r="XEM298" s="9"/>
      <c r="XEN298" s="9"/>
      <c r="XEO298" s="9"/>
      <c r="XEP298" s="9"/>
      <c r="XEQ298" s="9"/>
      <c r="XER298" s="9"/>
      <c r="XES298" s="9"/>
      <c r="XET298" s="9"/>
      <c r="XEU298" s="9"/>
      <c r="XEV298" s="9"/>
      <c r="XEW298" s="9"/>
      <c r="XEX298" s="9"/>
      <c r="XEY298" s="9"/>
      <c r="XEZ298" s="9"/>
      <c r="XFA298" s="9"/>
      <c r="XFB298" s="9"/>
      <c r="XFC298" s="9"/>
      <c r="XFD298" s="9"/>
    </row>
    <row r="299" spans="1:8 16325:16384" s="3" customFormat="1" ht="19.95" customHeight="1">
      <c r="A299" s="6" t="str">
        <f t="shared" si="10"/>
        <v>040011</v>
      </c>
      <c r="B299" s="6" t="s">
        <v>9</v>
      </c>
      <c r="C299" s="6" t="s">
        <v>21</v>
      </c>
      <c r="D299" s="6" t="str">
        <f>"512417708"</f>
        <v>512417708</v>
      </c>
      <c r="E299" s="7">
        <v>75</v>
      </c>
      <c r="F299" s="7">
        <v>78.5</v>
      </c>
      <c r="G299" s="7"/>
      <c r="H299" s="7">
        <v>76.400000000000006</v>
      </c>
      <c r="XCW299" s="9"/>
      <c r="XCX299" s="9"/>
      <c r="XCY299" s="9"/>
      <c r="XCZ299" s="9"/>
      <c r="XDA299" s="9"/>
      <c r="XDB299" s="9"/>
      <c r="XDC299" s="9"/>
      <c r="XDD299" s="9"/>
      <c r="XDE299" s="9"/>
      <c r="XDF299" s="9"/>
      <c r="XDG299" s="9"/>
      <c r="XDH299" s="9"/>
      <c r="XDI299" s="9"/>
      <c r="XDJ299" s="9"/>
      <c r="XDK299" s="9"/>
      <c r="XDL299" s="9"/>
      <c r="XDM299" s="9"/>
      <c r="XDN299" s="9"/>
      <c r="XDO299" s="9"/>
      <c r="XDP299" s="9"/>
      <c r="XDQ299" s="9"/>
      <c r="XDR299" s="9"/>
      <c r="XDS299" s="9"/>
      <c r="XDT299" s="9"/>
      <c r="XDU299" s="9"/>
      <c r="XDV299" s="9"/>
      <c r="XDW299" s="9"/>
      <c r="XDX299" s="9"/>
      <c r="XDY299" s="9"/>
      <c r="XDZ299" s="9"/>
      <c r="XEA299" s="9"/>
      <c r="XEB299" s="9"/>
      <c r="XEC299" s="9"/>
      <c r="XED299" s="9"/>
      <c r="XEE299" s="9"/>
      <c r="XEF299" s="9"/>
      <c r="XEG299" s="9"/>
      <c r="XEH299" s="9"/>
      <c r="XEI299" s="9"/>
      <c r="XEJ299" s="9"/>
      <c r="XEK299" s="9"/>
      <c r="XEL299" s="9"/>
      <c r="XEM299" s="9"/>
      <c r="XEN299" s="9"/>
      <c r="XEO299" s="9"/>
      <c r="XEP299" s="9"/>
      <c r="XEQ299" s="9"/>
      <c r="XER299" s="9"/>
      <c r="XES299" s="9"/>
      <c r="XET299" s="9"/>
      <c r="XEU299" s="9"/>
      <c r="XEV299" s="9"/>
      <c r="XEW299" s="9"/>
      <c r="XEX299" s="9"/>
      <c r="XEY299" s="9"/>
      <c r="XEZ299" s="9"/>
      <c r="XFA299" s="9"/>
      <c r="XFB299" s="9"/>
      <c r="XFC299" s="9"/>
      <c r="XFD299" s="9"/>
    </row>
    <row r="300" spans="1:8 16325:16384" s="3" customFormat="1" ht="19.95" customHeight="1">
      <c r="A300" s="6" t="str">
        <f t="shared" si="10"/>
        <v>040011</v>
      </c>
      <c r="B300" s="6" t="s">
        <v>9</v>
      </c>
      <c r="C300" s="6" t="s">
        <v>21</v>
      </c>
      <c r="D300" s="6" t="str">
        <f>"512417727"</f>
        <v>512417727</v>
      </c>
      <c r="E300" s="7">
        <v>82</v>
      </c>
      <c r="F300" s="7">
        <v>76.5</v>
      </c>
      <c r="G300" s="7"/>
      <c r="H300" s="7">
        <v>79.8</v>
      </c>
      <c r="XCW300" s="9"/>
      <c r="XCX300" s="9"/>
      <c r="XCY300" s="9"/>
      <c r="XCZ300" s="9"/>
      <c r="XDA300" s="9"/>
      <c r="XDB300" s="9"/>
      <c r="XDC300" s="9"/>
      <c r="XDD300" s="9"/>
      <c r="XDE300" s="9"/>
      <c r="XDF300" s="9"/>
      <c r="XDG300" s="9"/>
      <c r="XDH300" s="9"/>
      <c r="XDI300" s="9"/>
      <c r="XDJ300" s="9"/>
      <c r="XDK300" s="9"/>
      <c r="XDL300" s="9"/>
      <c r="XDM300" s="9"/>
      <c r="XDN300" s="9"/>
      <c r="XDO300" s="9"/>
      <c r="XDP300" s="9"/>
      <c r="XDQ300" s="9"/>
      <c r="XDR300" s="9"/>
      <c r="XDS300" s="9"/>
      <c r="XDT300" s="9"/>
      <c r="XDU300" s="9"/>
      <c r="XDV300" s="9"/>
      <c r="XDW300" s="9"/>
      <c r="XDX300" s="9"/>
      <c r="XDY300" s="9"/>
      <c r="XDZ300" s="9"/>
      <c r="XEA300" s="9"/>
      <c r="XEB300" s="9"/>
      <c r="XEC300" s="9"/>
      <c r="XED300" s="9"/>
      <c r="XEE300" s="9"/>
      <c r="XEF300" s="9"/>
      <c r="XEG300" s="9"/>
      <c r="XEH300" s="9"/>
      <c r="XEI300" s="9"/>
      <c r="XEJ300" s="9"/>
      <c r="XEK300" s="9"/>
      <c r="XEL300" s="9"/>
      <c r="XEM300" s="9"/>
      <c r="XEN300" s="9"/>
      <c r="XEO300" s="9"/>
      <c r="XEP300" s="9"/>
      <c r="XEQ300" s="9"/>
      <c r="XER300" s="9"/>
      <c r="XES300" s="9"/>
      <c r="XET300" s="9"/>
      <c r="XEU300" s="9"/>
      <c r="XEV300" s="9"/>
      <c r="XEW300" s="9"/>
      <c r="XEX300" s="9"/>
      <c r="XEY300" s="9"/>
      <c r="XEZ300" s="9"/>
      <c r="XFA300" s="9"/>
      <c r="XFB300" s="9"/>
      <c r="XFC300" s="9"/>
      <c r="XFD300" s="9"/>
    </row>
    <row r="301" spans="1:8 16325:16384" s="3" customFormat="1" ht="19.95" customHeight="1">
      <c r="A301" s="6" t="str">
        <f t="shared" si="10"/>
        <v>040011</v>
      </c>
      <c r="B301" s="6" t="s">
        <v>9</v>
      </c>
      <c r="C301" s="6" t="s">
        <v>21</v>
      </c>
      <c r="D301" s="6" t="str">
        <f>"512417813"</f>
        <v>512417813</v>
      </c>
      <c r="E301" s="7">
        <v>79</v>
      </c>
      <c r="F301" s="7">
        <v>88</v>
      </c>
      <c r="G301" s="7"/>
      <c r="H301" s="7">
        <v>82.6</v>
      </c>
      <c r="XCW301" s="9"/>
      <c r="XCX301" s="9"/>
      <c r="XCY301" s="9"/>
      <c r="XCZ301" s="9"/>
      <c r="XDA301" s="9"/>
      <c r="XDB301" s="9"/>
      <c r="XDC301" s="9"/>
      <c r="XDD301" s="9"/>
      <c r="XDE301" s="9"/>
      <c r="XDF301" s="9"/>
      <c r="XDG301" s="9"/>
      <c r="XDH301" s="9"/>
      <c r="XDI301" s="9"/>
      <c r="XDJ301" s="9"/>
      <c r="XDK301" s="9"/>
      <c r="XDL301" s="9"/>
      <c r="XDM301" s="9"/>
      <c r="XDN301" s="9"/>
      <c r="XDO301" s="9"/>
      <c r="XDP301" s="9"/>
      <c r="XDQ301" s="9"/>
      <c r="XDR301" s="9"/>
      <c r="XDS301" s="9"/>
      <c r="XDT301" s="9"/>
      <c r="XDU301" s="9"/>
      <c r="XDV301" s="9"/>
      <c r="XDW301" s="9"/>
      <c r="XDX301" s="9"/>
      <c r="XDY301" s="9"/>
      <c r="XDZ301" s="9"/>
      <c r="XEA301" s="9"/>
      <c r="XEB301" s="9"/>
      <c r="XEC301" s="9"/>
      <c r="XED301" s="9"/>
      <c r="XEE301" s="9"/>
      <c r="XEF301" s="9"/>
      <c r="XEG301" s="9"/>
      <c r="XEH301" s="9"/>
      <c r="XEI301" s="9"/>
      <c r="XEJ301" s="9"/>
      <c r="XEK301" s="9"/>
      <c r="XEL301" s="9"/>
      <c r="XEM301" s="9"/>
      <c r="XEN301" s="9"/>
      <c r="XEO301" s="9"/>
      <c r="XEP301" s="9"/>
      <c r="XEQ301" s="9"/>
      <c r="XER301" s="9"/>
      <c r="XES301" s="9"/>
      <c r="XET301" s="9"/>
      <c r="XEU301" s="9"/>
      <c r="XEV301" s="9"/>
      <c r="XEW301" s="9"/>
      <c r="XEX301" s="9"/>
      <c r="XEY301" s="9"/>
      <c r="XEZ301" s="9"/>
      <c r="XFA301" s="9"/>
      <c r="XFB301" s="9"/>
      <c r="XFC301" s="9"/>
      <c r="XFD301" s="9"/>
    </row>
    <row r="302" spans="1:8 16325:16384" s="3" customFormat="1" ht="19.95" customHeight="1">
      <c r="A302" s="6" t="str">
        <f t="shared" si="10"/>
        <v>040011</v>
      </c>
      <c r="B302" s="6" t="s">
        <v>9</v>
      </c>
      <c r="C302" s="6" t="s">
        <v>21</v>
      </c>
      <c r="D302" s="6" t="str">
        <f>"512417809"</f>
        <v>512417809</v>
      </c>
      <c r="E302" s="7">
        <v>77.5</v>
      </c>
      <c r="F302" s="7">
        <v>71</v>
      </c>
      <c r="G302" s="7"/>
      <c r="H302" s="7">
        <v>74.900000000000006</v>
      </c>
      <c r="XCW302" s="9"/>
      <c r="XCX302" s="9"/>
      <c r="XCY302" s="9"/>
      <c r="XCZ302" s="9"/>
      <c r="XDA302" s="9"/>
      <c r="XDB302" s="9"/>
      <c r="XDC302" s="9"/>
      <c r="XDD302" s="9"/>
      <c r="XDE302" s="9"/>
      <c r="XDF302" s="9"/>
      <c r="XDG302" s="9"/>
      <c r="XDH302" s="9"/>
      <c r="XDI302" s="9"/>
      <c r="XDJ302" s="9"/>
      <c r="XDK302" s="9"/>
      <c r="XDL302" s="9"/>
      <c r="XDM302" s="9"/>
      <c r="XDN302" s="9"/>
      <c r="XDO302" s="9"/>
      <c r="XDP302" s="9"/>
      <c r="XDQ302" s="9"/>
      <c r="XDR302" s="9"/>
      <c r="XDS302" s="9"/>
      <c r="XDT302" s="9"/>
      <c r="XDU302" s="9"/>
      <c r="XDV302" s="9"/>
      <c r="XDW302" s="9"/>
      <c r="XDX302" s="9"/>
      <c r="XDY302" s="9"/>
      <c r="XDZ302" s="9"/>
      <c r="XEA302" s="9"/>
      <c r="XEB302" s="9"/>
      <c r="XEC302" s="9"/>
      <c r="XED302" s="9"/>
      <c r="XEE302" s="9"/>
      <c r="XEF302" s="9"/>
      <c r="XEG302" s="9"/>
      <c r="XEH302" s="9"/>
      <c r="XEI302" s="9"/>
      <c r="XEJ302" s="9"/>
      <c r="XEK302" s="9"/>
      <c r="XEL302" s="9"/>
      <c r="XEM302" s="9"/>
      <c r="XEN302" s="9"/>
      <c r="XEO302" s="9"/>
      <c r="XEP302" s="9"/>
      <c r="XEQ302" s="9"/>
      <c r="XER302" s="9"/>
      <c r="XES302" s="9"/>
      <c r="XET302" s="9"/>
      <c r="XEU302" s="9"/>
      <c r="XEV302" s="9"/>
      <c r="XEW302" s="9"/>
      <c r="XEX302" s="9"/>
      <c r="XEY302" s="9"/>
      <c r="XEZ302" s="9"/>
      <c r="XFA302" s="9"/>
      <c r="XFB302" s="9"/>
      <c r="XFC302" s="9"/>
      <c r="XFD302" s="9"/>
    </row>
    <row r="303" spans="1:8 16325:16384" s="3" customFormat="1" ht="19.95" customHeight="1">
      <c r="A303" s="6" t="str">
        <f t="shared" si="10"/>
        <v>040011</v>
      </c>
      <c r="B303" s="6" t="s">
        <v>9</v>
      </c>
      <c r="C303" s="6" t="s">
        <v>21</v>
      </c>
      <c r="D303" s="6" t="str">
        <f>"512417811"</f>
        <v>512417811</v>
      </c>
      <c r="E303" s="7">
        <v>85</v>
      </c>
      <c r="F303" s="7">
        <v>80</v>
      </c>
      <c r="G303" s="7"/>
      <c r="H303" s="7">
        <v>83</v>
      </c>
      <c r="XCW303" s="9"/>
      <c r="XCX303" s="9"/>
      <c r="XCY303" s="9"/>
      <c r="XCZ303" s="9"/>
      <c r="XDA303" s="9"/>
      <c r="XDB303" s="9"/>
      <c r="XDC303" s="9"/>
      <c r="XDD303" s="9"/>
      <c r="XDE303" s="9"/>
      <c r="XDF303" s="9"/>
      <c r="XDG303" s="9"/>
      <c r="XDH303" s="9"/>
      <c r="XDI303" s="9"/>
      <c r="XDJ303" s="9"/>
      <c r="XDK303" s="9"/>
      <c r="XDL303" s="9"/>
      <c r="XDM303" s="9"/>
      <c r="XDN303" s="9"/>
      <c r="XDO303" s="9"/>
      <c r="XDP303" s="9"/>
      <c r="XDQ303" s="9"/>
      <c r="XDR303" s="9"/>
      <c r="XDS303" s="9"/>
      <c r="XDT303" s="9"/>
      <c r="XDU303" s="9"/>
      <c r="XDV303" s="9"/>
      <c r="XDW303" s="9"/>
      <c r="XDX303" s="9"/>
      <c r="XDY303" s="9"/>
      <c r="XDZ303" s="9"/>
      <c r="XEA303" s="9"/>
      <c r="XEB303" s="9"/>
      <c r="XEC303" s="9"/>
      <c r="XED303" s="9"/>
      <c r="XEE303" s="9"/>
      <c r="XEF303" s="9"/>
      <c r="XEG303" s="9"/>
      <c r="XEH303" s="9"/>
      <c r="XEI303" s="9"/>
      <c r="XEJ303" s="9"/>
      <c r="XEK303" s="9"/>
      <c r="XEL303" s="9"/>
      <c r="XEM303" s="9"/>
      <c r="XEN303" s="9"/>
      <c r="XEO303" s="9"/>
      <c r="XEP303" s="9"/>
      <c r="XEQ303" s="9"/>
      <c r="XER303" s="9"/>
      <c r="XES303" s="9"/>
      <c r="XET303" s="9"/>
      <c r="XEU303" s="9"/>
      <c r="XEV303" s="9"/>
      <c r="XEW303" s="9"/>
      <c r="XEX303" s="9"/>
      <c r="XEY303" s="9"/>
      <c r="XEZ303" s="9"/>
      <c r="XFA303" s="9"/>
      <c r="XFB303" s="9"/>
      <c r="XFC303" s="9"/>
      <c r="XFD303" s="9"/>
    </row>
    <row r="304" spans="1:8 16325:16384" s="3" customFormat="1" ht="19.95" customHeight="1">
      <c r="A304" s="6" t="str">
        <f t="shared" si="10"/>
        <v>040011</v>
      </c>
      <c r="B304" s="6" t="s">
        <v>9</v>
      </c>
      <c r="C304" s="6" t="s">
        <v>21</v>
      </c>
      <c r="D304" s="6" t="str">
        <f>"512417805"</f>
        <v>512417805</v>
      </c>
      <c r="E304" s="7">
        <v>79</v>
      </c>
      <c r="F304" s="7">
        <v>78.5</v>
      </c>
      <c r="G304" s="7"/>
      <c r="H304" s="7">
        <v>78.8</v>
      </c>
      <c r="XCW304" s="9"/>
      <c r="XCX304" s="9"/>
      <c r="XCY304" s="9"/>
      <c r="XCZ304" s="9"/>
      <c r="XDA304" s="9"/>
      <c r="XDB304" s="9"/>
      <c r="XDC304" s="9"/>
      <c r="XDD304" s="9"/>
      <c r="XDE304" s="9"/>
      <c r="XDF304" s="9"/>
      <c r="XDG304" s="9"/>
      <c r="XDH304" s="9"/>
      <c r="XDI304" s="9"/>
      <c r="XDJ304" s="9"/>
      <c r="XDK304" s="9"/>
      <c r="XDL304" s="9"/>
      <c r="XDM304" s="9"/>
      <c r="XDN304" s="9"/>
      <c r="XDO304" s="9"/>
      <c r="XDP304" s="9"/>
      <c r="XDQ304" s="9"/>
      <c r="XDR304" s="9"/>
      <c r="XDS304" s="9"/>
      <c r="XDT304" s="9"/>
      <c r="XDU304" s="9"/>
      <c r="XDV304" s="9"/>
      <c r="XDW304" s="9"/>
      <c r="XDX304" s="9"/>
      <c r="XDY304" s="9"/>
      <c r="XDZ304" s="9"/>
      <c r="XEA304" s="9"/>
      <c r="XEB304" s="9"/>
      <c r="XEC304" s="9"/>
      <c r="XED304" s="9"/>
      <c r="XEE304" s="9"/>
      <c r="XEF304" s="9"/>
      <c r="XEG304" s="9"/>
      <c r="XEH304" s="9"/>
      <c r="XEI304" s="9"/>
      <c r="XEJ304" s="9"/>
      <c r="XEK304" s="9"/>
      <c r="XEL304" s="9"/>
      <c r="XEM304" s="9"/>
      <c r="XEN304" s="9"/>
      <c r="XEO304" s="9"/>
      <c r="XEP304" s="9"/>
      <c r="XEQ304" s="9"/>
      <c r="XER304" s="9"/>
      <c r="XES304" s="9"/>
      <c r="XET304" s="9"/>
      <c r="XEU304" s="9"/>
      <c r="XEV304" s="9"/>
      <c r="XEW304" s="9"/>
      <c r="XEX304" s="9"/>
      <c r="XEY304" s="9"/>
      <c r="XEZ304" s="9"/>
      <c r="XFA304" s="9"/>
      <c r="XFB304" s="9"/>
      <c r="XFC304" s="9"/>
      <c r="XFD304" s="9"/>
    </row>
    <row r="305" spans="1:8 16325:16384" s="3" customFormat="1" ht="19.95" customHeight="1">
      <c r="A305" s="6" t="str">
        <f t="shared" si="10"/>
        <v>040011</v>
      </c>
      <c r="B305" s="6" t="s">
        <v>9</v>
      </c>
      <c r="C305" s="6" t="s">
        <v>21</v>
      </c>
      <c r="D305" s="6" t="str">
        <f>"512417717"</f>
        <v>512417717</v>
      </c>
      <c r="E305" s="7">
        <v>85</v>
      </c>
      <c r="F305" s="7">
        <v>93</v>
      </c>
      <c r="G305" s="7"/>
      <c r="H305" s="7">
        <v>88.2</v>
      </c>
      <c r="XCW305" s="9"/>
      <c r="XCX305" s="9"/>
      <c r="XCY305" s="9"/>
      <c r="XCZ305" s="9"/>
      <c r="XDA305" s="9"/>
      <c r="XDB305" s="9"/>
      <c r="XDC305" s="9"/>
      <c r="XDD305" s="9"/>
      <c r="XDE305" s="9"/>
      <c r="XDF305" s="9"/>
      <c r="XDG305" s="9"/>
      <c r="XDH305" s="9"/>
      <c r="XDI305" s="9"/>
      <c r="XDJ305" s="9"/>
      <c r="XDK305" s="9"/>
      <c r="XDL305" s="9"/>
      <c r="XDM305" s="9"/>
      <c r="XDN305" s="9"/>
      <c r="XDO305" s="9"/>
      <c r="XDP305" s="9"/>
      <c r="XDQ305" s="9"/>
      <c r="XDR305" s="9"/>
      <c r="XDS305" s="9"/>
      <c r="XDT305" s="9"/>
      <c r="XDU305" s="9"/>
      <c r="XDV305" s="9"/>
      <c r="XDW305" s="9"/>
      <c r="XDX305" s="9"/>
      <c r="XDY305" s="9"/>
      <c r="XDZ305" s="9"/>
      <c r="XEA305" s="9"/>
      <c r="XEB305" s="9"/>
      <c r="XEC305" s="9"/>
      <c r="XED305" s="9"/>
      <c r="XEE305" s="9"/>
      <c r="XEF305" s="9"/>
      <c r="XEG305" s="9"/>
      <c r="XEH305" s="9"/>
      <c r="XEI305" s="9"/>
      <c r="XEJ305" s="9"/>
      <c r="XEK305" s="9"/>
      <c r="XEL305" s="9"/>
      <c r="XEM305" s="9"/>
      <c r="XEN305" s="9"/>
      <c r="XEO305" s="9"/>
      <c r="XEP305" s="9"/>
      <c r="XEQ305" s="9"/>
      <c r="XER305" s="9"/>
      <c r="XES305" s="9"/>
      <c r="XET305" s="9"/>
      <c r="XEU305" s="9"/>
      <c r="XEV305" s="9"/>
      <c r="XEW305" s="9"/>
      <c r="XEX305" s="9"/>
      <c r="XEY305" s="9"/>
      <c r="XEZ305" s="9"/>
      <c r="XFA305" s="9"/>
      <c r="XFB305" s="9"/>
      <c r="XFC305" s="9"/>
      <c r="XFD305" s="9"/>
    </row>
    <row r="306" spans="1:8 16325:16384" s="3" customFormat="1" ht="19.95" customHeight="1">
      <c r="A306" s="6" t="str">
        <f t="shared" si="10"/>
        <v>040011</v>
      </c>
      <c r="B306" s="6" t="s">
        <v>9</v>
      </c>
      <c r="C306" s="6" t="s">
        <v>21</v>
      </c>
      <c r="D306" s="6" t="str">
        <f>"512417819"</f>
        <v>512417819</v>
      </c>
      <c r="E306" s="7">
        <v>86</v>
      </c>
      <c r="F306" s="7">
        <v>85.5</v>
      </c>
      <c r="G306" s="7"/>
      <c r="H306" s="7">
        <v>85.8</v>
      </c>
      <c r="XCW306" s="9"/>
      <c r="XCX306" s="9"/>
      <c r="XCY306" s="9"/>
      <c r="XCZ306" s="9"/>
      <c r="XDA306" s="9"/>
      <c r="XDB306" s="9"/>
      <c r="XDC306" s="9"/>
      <c r="XDD306" s="9"/>
      <c r="XDE306" s="9"/>
      <c r="XDF306" s="9"/>
      <c r="XDG306" s="9"/>
      <c r="XDH306" s="9"/>
      <c r="XDI306" s="9"/>
      <c r="XDJ306" s="9"/>
      <c r="XDK306" s="9"/>
      <c r="XDL306" s="9"/>
      <c r="XDM306" s="9"/>
      <c r="XDN306" s="9"/>
      <c r="XDO306" s="9"/>
      <c r="XDP306" s="9"/>
      <c r="XDQ306" s="9"/>
      <c r="XDR306" s="9"/>
      <c r="XDS306" s="9"/>
      <c r="XDT306" s="9"/>
      <c r="XDU306" s="9"/>
      <c r="XDV306" s="9"/>
      <c r="XDW306" s="9"/>
      <c r="XDX306" s="9"/>
      <c r="XDY306" s="9"/>
      <c r="XDZ306" s="9"/>
      <c r="XEA306" s="9"/>
      <c r="XEB306" s="9"/>
      <c r="XEC306" s="9"/>
      <c r="XED306" s="9"/>
      <c r="XEE306" s="9"/>
      <c r="XEF306" s="9"/>
      <c r="XEG306" s="9"/>
      <c r="XEH306" s="9"/>
      <c r="XEI306" s="9"/>
      <c r="XEJ306" s="9"/>
      <c r="XEK306" s="9"/>
      <c r="XEL306" s="9"/>
      <c r="XEM306" s="9"/>
      <c r="XEN306" s="9"/>
      <c r="XEO306" s="9"/>
      <c r="XEP306" s="9"/>
      <c r="XEQ306" s="9"/>
      <c r="XER306" s="9"/>
      <c r="XES306" s="9"/>
      <c r="XET306" s="9"/>
      <c r="XEU306" s="9"/>
      <c r="XEV306" s="9"/>
      <c r="XEW306" s="9"/>
      <c r="XEX306" s="9"/>
      <c r="XEY306" s="9"/>
      <c r="XEZ306" s="9"/>
      <c r="XFA306" s="9"/>
      <c r="XFB306" s="9"/>
      <c r="XFC306" s="9"/>
      <c r="XFD306" s="9"/>
    </row>
    <row r="307" spans="1:8 16325:16384" s="3" customFormat="1" ht="19.95" customHeight="1">
      <c r="A307" s="6" t="str">
        <f t="shared" si="10"/>
        <v>040011</v>
      </c>
      <c r="B307" s="6" t="s">
        <v>9</v>
      </c>
      <c r="C307" s="6" t="s">
        <v>21</v>
      </c>
      <c r="D307" s="6" t="str">
        <f>"512417718"</f>
        <v>512417718</v>
      </c>
      <c r="E307" s="7">
        <v>0</v>
      </c>
      <c r="F307" s="7">
        <v>0</v>
      </c>
      <c r="G307" s="7"/>
      <c r="H307" s="7">
        <v>0</v>
      </c>
      <c r="XCW307" s="9"/>
      <c r="XCX307" s="9"/>
      <c r="XCY307" s="9"/>
      <c r="XCZ307" s="9"/>
      <c r="XDA307" s="9"/>
      <c r="XDB307" s="9"/>
      <c r="XDC307" s="9"/>
      <c r="XDD307" s="9"/>
      <c r="XDE307" s="9"/>
      <c r="XDF307" s="9"/>
      <c r="XDG307" s="9"/>
      <c r="XDH307" s="9"/>
      <c r="XDI307" s="9"/>
      <c r="XDJ307" s="9"/>
      <c r="XDK307" s="9"/>
      <c r="XDL307" s="9"/>
      <c r="XDM307" s="9"/>
      <c r="XDN307" s="9"/>
      <c r="XDO307" s="9"/>
      <c r="XDP307" s="9"/>
      <c r="XDQ307" s="9"/>
      <c r="XDR307" s="9"/>
      <c r="XDS307" s="9"/>
      <c r="XDT307" s="9"/>
      <c r="XDU307" s="9"/>
      <c r="XDV307" s="9"/>
      <c r="XDW307" s="9"/>
      <c r="XDX307" s="9"/>
      <c r="XDY307" s="9"/>
      <c r="XDZ307" s="9"/>
      <c r="XEA307" s="9"/>
      <c r="XEB307" s="9"/>
      <c r="XEC307" s="9"/>
      <c r="XED307" s="9"/>
      <c r="XEE307" s="9"/>
      <c r="XEF307" s="9"/>
      <c r="XEG307" s="9"/>
      <c r="XEH307" s="9"/>
      <c r="XEI307" s="9"/>
      <c r="XEJ307" s="9"/>
      <c r="XEK307" s="9"/>
      <c r="XEL307" s="9"/>
      <c r="XEM307" s="9"/>
      <c r="XEN307" s="9"/>
      <c r="XEO307" s="9"/>
      <c r="XEP307" s="9"/>
      <c r="XEQ307" s="9"/>
      <c r="XER307" s="9"/>
      <c r="XES307" s="9"/>
      <c r="XET307" s="9"/>
      <c r="XEU307" s="9"/>
      <c r="XEV307" s="9"/>
      <c r="XEW307" s="9"/>
      <c r="XEX307" s="9"/>
      <c r="XEY307" s="9"/>
      <c r="XEZ307" s="9"/>
      <c r="XFA307" s="9"/>
      <c r="XFB307" s="9"/>
      <c r="XFC307" s="9"/>
      <c r="XFD307" s="9"/>
    </row>
    <row r="308" spans="1:8 16325:16384" s="3" customFormat="1" ht="19.95" customHeight="1">
      <c r="A308" s="6" t="str">
        <f t="shared" si="10"/>
        <v>040011</v>
      </c>
      <c r="B308" s="6" t="s">
        <v>9</v>
      </c>
      <c r="C308" s="6" t="s">
        <v>21</v>
      </c>
      <c r="D308" s="6" t="str">
        <f>"512417728"</f>
        <v>512417728</v>
      </c>
      <c r="E308" s="7">
        <v>0</v>
      </c>
      <c r="F308" s="7">
        <v>0</v>
      </c>
      <c r="G308" s="7"/>
      <c r="H308" s="7">
        <v>0</v>
      </c>
      <c r="XCW308" s="9"/>
      <c r="XCX308" s="9"/>
      <c r="XCY308" s="9"/>
      <c r="XCZ308" s="9"/>
      <c r="XDA308" s="9"/>
      <c r="XDB308" s="9"/>
      <c r="XDC308" s="9"/>
      <c r="XDD308" s="9"/>
      <c r="XDE308" s="9"/>
      <c r="XDF308" s="9"/>
      <c r="XDG308" s="9"/>
      <c r="XDH308" s="9"/>
      <c r="XDI308" s="9"/>
      <c r="XDJ308" s="9"/>
      <c r="XDK308" s="9"/>
      <c r="XDL308" s="9"/>
      <c r="XDM308" s="9"/>
      <c r="XDN308" s="9"/>
      <c r="XDO308" s="9"/>
      <c r="XDP308" s="9"/>
      <c r="XDQ308" s="9"/>
      <c r="XDR308" s="9"/>
      <c r="XDS308" s="9"/>
      <c r="XDT308" s="9"/>
      <c r="XDU308" s="9"/>
      <c r="XDV308" s="9"/>
      <c r="XDW308" s="9"/>
      <c r="XDX308" s="9"/>
      <c r="XDY308" s="9"/>
      <c r="XDZ308" s="9"/>
      <c r="XEA308" s="9"/>
      <c r="XEB308" s="9"/>
      <c r="XEC308" s="9"/>
      <c r="XED308" s="9"/>
      <c r="XEE308" s="9"/>
      <c r="XEF308" s="9"/>
      <c r="XEG308" s="9"/>
      <c r="XEH308" s="9"/>
      <c r="XEI308" s="9"/>
      <c r="XEJ308" s="9"/>
      <c r="XEK308" s="9"/>
      <c r="XEL308" s="9"/>
      <c r="XEM308" s="9"/>
      <c r="XEN308" s="9"/>
      <c r="XEO308" s="9"/>
      <c r="XEP308" s="9"/>
      <c r="XEQ308" s="9"/>
      <c r="XER308" s="9"/>
      <c r="XES308" s="9"/>
      <c r="XET308" s="9"/>
      <c r="XEU308" s="9"/>
      <c r="XEV308" s="9"/>
      <c r="XEW308" s="9"/>
      <c r="XEX308" s="9"/>
      <c r="XEY308" s="9"/>
      <c r="XEZ308" s="9"/>
      <c r="XFA308" s="9"/>
      <c r="XFB308" s="9"/>
      <c r="XFC308" s="9"/>
      <c r="XFD308" s="9"/>
    </row>
    <row r="309" spans="1:8 16325:16384" s="3" customFormat="1" ht="19.95" customHeight="1">
      <c r="A309" s="6" t="str">
        <f t="shared" si="10"/>
        <v>040011</v>
      </c>
      <c r="B309" s="6" t="s">
        <v>9</v>
      </c>
      <c r="C309" s="6" t="s">
        <v>21</v>
      </c>
      <c r="D309" s="6" t="str">
        <f>"512417715"</f>
        <v>512417715</v>
      </c>
      <c r="E309" s="7">
        <v>80</v>
      </c>
      <c r="F309" s="7">
        <v>83.5</v>
      </c>
      <c r="G309" s="7"/>
      <c r="H309" s="7">
        <v>81.400000000000006</v>
      </c>
      <c r="XCW309" s="9"/>
      <c r="XCX309" s="9"/>
      <c r="XCY309" s="9"/>
      <c r="XCZ309" s="9"/>
      <c r="XDA309" s="9"/>
      <c r="XDB309" s="9"/>
      <c r="XDC309" s="9"/>
      <c r="XDD309" s="9"/>
      <c r="XDE309" s="9"/>
      <c r="XDF309" s="9"/>
      <c r="XDG309" s="9"/>
      <c r="XDH309" s="9"/>
      <c r="XDI309" s="9"/>
      <c r="XDJ309" s="9"/>
      <c r="XDK309" s="9"/>
      <c r="XDL309" s="9"/>
      <c r="XDM309" s="9"/>
      <c r="XDN309" s="9"/>
      <c r="XDO309" s="9"/>
      <c r="XDP309" s="9"/>
      <c r="XDQ309" s="9"/>
      <c r="XDR309" s="9"/>
      <c r="XDS309" s="9"/>
      <c r="XDT309" s="9"/>
      <c r="XDU309" s="9"/>
      <c r="XDV309" s="9"/>
      <c r="XDW309" s="9"/>
      <c r="XDX309" s="9"/>
      <c r="XDY309" s="9"/>
      <c r="XDZ309" s="9"/>
      <c r="XEA309" s="9"/>
      <c r="XEB309" s="9"/>
      <c r="XEC309" s="9"/>
      <c r="XED309" s="9"/>
      <c r="XEE309" s="9"/>
      <c r="XEF309" s="9"/>
      <c r="XEG309" s="9"/>
      <c r="XEH309" s="9"/>
      <c r="XEI309" s="9"/>
      <c r="XEJ309" s="9"/>
      <c r="XEK309" s="9"/>
      <c r="XEL309" s="9"/>
      <c r="XEM309" s="9"/>
      <c r="XEN309" s="9"/>
      <c r="XEO309" s="9"/>
      <c r="XEP309" s="9"/>
      <c r="XEQ309" s="9"/>
      <c r="XER309" s="9"/>
      <c r="XES309" s="9"/>
      <c r="XET309" s="9"/>
      <c r="XEU309" s="9"/>
      <c r="XEV309" s="9"/>
      <c r="XEW309" s="9"/>
      <c r="XEX309" s="9"/>
      <c r="XEY309" s="9"/>
      <c r="XEZ309" s="9"/>
      <c r="XFA309" s="9"/>
      <c r="XFB309" s="9"/>
      <c r="XFC309" s="9"/>
      <c r="XFD309" s="9"/>
    </row>
    <row r="310" spans="1:8 16325:16384" s="3" customFormat="1" ht="19.95" customHeight="1">
      <c r="A310" s="6" t="str">
        <f t="shared" si="10"/>
        <v>040011</v>
      </c>
      <c r="B310" s="6" t="s">
        <v>9</v>
      </c>
      <c r="C310" s="6" t="s">
        <v>21</v>
      </c>
      <c r="D310" s="6" t="str">
        <f>"512417729"</f>
        <v>512417729</v>
      </c>
      <c r="E310" s="7">
        <v>75.5</v>
      </c>
      <c r="F310" s="7">
        <v>73</v>
      </c>
      <c r="G310" s="7"/>
      <c r="H310" s="7">
        <v>74.5</v>
      </c>
      <c r="XCW310" s="9"/>
      <c r="XCX310" s="9"/>
      <c r="XCY310" s="9"/>
      <c r="XCZ310" s="9"/>
      <c r="XDA310" s="9"/>
      <c r="XDB310" s="9"/>
      <c r="XDC310" s="9"/>
      <c r="XDD310" s="9"/>
      <c r="XDE310" s="9"/>
      <c r="XDF310" s="9"/>
      <c r="XDG310" s="9"/>
      <c r="XDH310" s="9"/>
      <c r="XDI310" s="9"/>
      <c r="XDJ310" s="9"/>
      <c r="XDK310" s="9"/>
      <c r="XDL310" s="9"/>
      <c r="XDM310" s="9"/>
      <c r="XDN310" s="9"/>
      <c r="XDO310" s="9"/>
      <c r="XDP310" s="9"/>
      <c r="XDQ310" s="9"/>
      <c r="XDR310" s="9"/>
      <c r="XDS310" s="9"/>
      <c r="XDT310" s="9"/>
      <c r="XDU310" s="9"/>
      <c r="XDV310" s="9"/>
      <c r="XDW310" s="9"/>
      <c r="XDX310" s="9"/>
      <c r="XDY310" s="9"/>
      <c r="XDZ310" s="9"/>
      <c r="XEA310" s="9"/>
      <c r="XEB310" s="9"/>
      <c r="XEC310" s="9"/>
      <c r="XED310" s="9"/>
      <c r="XEE310" s="9"/>
      <c r="XEF310" s="9"/>
      <c r="XEG310" s="9"/>
      <c r="XEH310" s="9"/>
      <c r="XEI310" s="9"/>
      <c r="XEJ310" s="9"/>
      <c r="XEK310" s="9"/>
      <c r="XEL310" s="9"/>
      <c r="XEM310" s="9"/>
      <c r="XEN310" s="9"/>
      <c r="XEO310" s="9"/>
      <c r="XEP310" s="9"/>
      <c r="XEQ310" s="9"/>
      <c r="XER310" s="9"/>
      <c r="XES310" s="9"/>
      <c r="XET310" s="9"/>
      <c r="XEU310" s="9"/>
      <c r="XEV310" s="9"/>
      <c r="XEW310" s="9"/>
      <c r="XEX310" s="9"/>
      <c r="XEY310" s="9"/>
      <c r="XEZ310" s="9"/>
      <c r="XFA310" s="9"/>
      <c r="XFB310" s="9"/>
      <c r="XFC310" s="9"/>
      <c r="XFD310" s="9"/>
    </row>
    <row r="311" spans="1:8 16325:16384" s="3" customFormat="1" ht="19.95" customHeight="1">
      <c r="A311" s="6" t="str">
        <f t="shared" si="10"/>
        <v>040011</v>
      </c>
      <c r="B311" s="6" t="s">
        <v>9</v>
      </c>
      <c r="C311" s="6" t="s">
        <v>21</v>
      </c>
      <c r="D311" s="6" t="str">
        <f>"512417818"</f>
        <v>512417818</v>
      </c>
      <c r="E311" s="7">
        <v>74</v>
      </c>
      <c r="F311" s="7">
        <v>63.5</v>
      </c>
      <c r="G311" s="7"/>
      <c r="H311" s="7">
        <v>69.8</v>
      </c>
      <c r="XCW311" s="9"/>
      <c r="XCX311" s="9"/>
      <c r="XCY311" s="9"/>
      <c r="XCZ311" s="9"/>
      <c r="XDA311" s="9"/>
      <c r="XDB311" s="9"/>
      <c r="XDC311" s="9"/>
      <c r="XDD311" s="9"/>
      <c r="XDE311" s="9"/>
      <c r="XDF311" s="9"/>
      <c r="XDG311" s="9"/>
      <c r="XDH311" s="9"/>
      <c r="XDI311" s="9"/>
      <c r="XDJ311" s="9"/>
      <c r="XDK311" s="9"/>
      <c r="XDL311" s="9"/>
      <c r="XDM311" s="9"/>
      <c r="XDN311" s="9"/>
      <c r="XDO311" s="9"/>
      <c r="XDP311" s="9"/>
      <c r="XDQ311" s="9"/>
      <c r="XDR311" s="9"/>
      <c r="XDS311" s="9"/>
      <c r="XDT311" s="9"/>
      <c r="XDU311" s="9"/>
      <c r="XDV311" s="9"/>
      <c r="XDW311" s="9"/>
      <c r="XDX311" s="9"/>
      <c r="XDY311" s="9"/>
      <c r="XDZ311" s="9"/>
      <c r="XEA311" s="9"/>
      <c r="XEB311" s="9"/>
      <c r="XEC311" s="9"/>
      <c r="XED311" s="9"/>
      <c r="XEE311" s="9"/>
      <c r="XEF311" s="9"/>
      <c r="XEG311" s="9"/>
      <c r="XEH311" s="9"/>
      <c r="XEI311" s="9"/>
      <c r="XEJ311" s="9"/>
      <c r="XEK311" s="9"/>
      <c r="XEL311" s="9"/>
      <c r="XEM311" s="9"/>
      <c r="XEN311" s="9"/>
      <c r="XEO311" s="9"/>
      <c r="XEP311" s="9"/>
      <c r="XEQ311" s="9"/>
      <c r="XER311" s="9"/>
      <c r="XES311" s="9"/>
      <c r="XET311" s="9"/>
      <c r="XEU311" s="9"/>
      <c r="XEV311" s="9"/>
      <c r="XEW311" s="9"/>
      <c r="XEX311" s="9"/>
      <c r="XEY311" s="9"/>
      <c r="XEZ311" s="9"/>
      <c r="XFA311" s="9"/>
      <c r="XFB311" s="9"/>
      <c r="XFC311" s="9"/>
      <c r="XFD311" s="9"/>
    </row>
    <row r="312" spans="1:8 16325:16384" s="3" customFormat="1" ht="19.95" customHeight="1">
      <c r="A312" s="6" t="str">
        <f t="shared" si="10"/>
        <v>040011</v>
      </c>
      <c r="B312" s="6" t="s">
        <v>9</v>
      </c>
      <c r="C312" s="6" t="s">
        <v>21</v>
      </c>
      <c r="D312" s="6" t="str">
        <f>"512417714"</f>
        <v>512417714</v>
      </c>
      <c r="E312" s="7">
        <v>76.5</v>
      </c>
      <c r="F312" s="7">
        <v>77</v>
      </c>
      <c r="G312" s="7"/>
      <c r="H312" s="7">
        <v>76.7</v>
      </c>
      <c r="XCW312" s="9"/>
      <c r="XCX312" s="9"/>
      <c r="XCY312" s="9"/>
      <c r="XCZ312" s="9"/>
      <c r="XDA312" s="9"/>
      <c r="XDB312" s="9"/>
      <c r="XDC312" s="9"/>
      <c r="XDD312" s="9"/>
      <c r="XDE312" s="9"/>
      <c r="XDF312" s="9"/>
      <c r="XDG312" s="9"/>
      <c r="XDH312" s="9"/>
      <c r="XDI312" s="9"/>
      <c r="XDJ312" s="9"/>
      <c r="XDK312" s="9"/>
      <c r="XDL312" s="9"/>
      <c r="XDM312" s="9"/>
      <c r="XDN312" s="9"/>
      <c r="XDO312" s="9"/>
      <c r="XDP312" s="9"/>
      <c r="XDQ312" s="9"/>
      <c r="XDR312" s="9"/>
      <c r="XDS312" s="9"/>
      <c r="XDT312" s="9"/>
      <c r="XDU312" s="9"/>
      <c r="XDV312" s="9"/>
      <c r="XDW312" s="9"/>
      <c r="XDX312" s="9"/>
      <c r="XDY312" s="9"/>
      <c r="XDZ312" s="9"/>
      <c r="XEA312" s="9"/>
      <c r="XEB312" s="9"/>
      <c r="XEC312" s="9"/>
      <c r="XED312" s="9"/>
      <c r="XEE312" s="9"/>
      <c r="XEF312" s="9"/>
      <c r="XEG312" s="9"/>
      <c r="XEH312" s="9"/>
      <c r="XEI312" s="9"/>
      <c r="XEJ312" s="9"/>
      <c r="XEK312" s="9"/>
      <c r="XEL312" s="9"/>
      <c r="XEM312" s="9"/>
      <c r="XEN312" s="9"/>
      <c r="XEO312" s="9"/>
      <c r="XEP312" s="9"/>
      <c r="XEQ312" s="9"/>
      <c r="XER312" s="9"/>
      <c r="XES312" s="9"/>
      <c r="XET312" s="9"/>
      <c r="XEU312" s="9"/>
      <c r="XEV312" s="9"/>
      <c r="XEW312" s="9"/>
      <c r="XEX312" s="9"/>
      <c r="XEY312" s="9"/>
      <c r="XEZ312" s="9"/>
      <c r="XFA312" s="9"/>
      <c r="XFB312" s="9"/>
      <c r="XFC312" s="9"/>
      <c r="XFD312" s="9"/>
    </row>
    <row r="313" spans="1:8 16325:16384" s="3" customFormat="1" ht="19.95" customHeight="1">
      <c r="A313" s="6" t="str">
        <f t="shared" si="10"/>
        <v>040011</v>
      </c>
      <c r="B313" s="6" t="s">
        <v>9</v>
      </c>
      <c r="C313" s="6" t="s">
        <v>21</v>
      </c>
      <c r="D313" s="6" t="str">
        <f>"512417712"</f>
        <v>512417712</v>
      </c>
      <c r="E313" s="7">
        <v>71.5</v>
      </c>
      <c r="F313" s="7">
        <v>62.5</v>
      </c>
      <c r="G313" s="7"/>
      <c r="H313" s="7">
        <v>67.900000000000006</v>
      </c>
      <c r="XCW313" s="9"/>
      <c r="XCX313" s="9"/>
      <c r="XCY313" s="9"/>
      <c r="XCZ313" s="9"/>
      <c r="XDA313" s="9"/>
      <c r="XDB313" s="9"/>
      <c r="XDC313" s="9"/>
      <c r="XDD313" s="9"/>
      <c r="XDE313" s="9"/>
      <c r="XDF313" s="9"/>
      <c r="XDG313" s="9"/>
      <c r="XDH313" s="9"/>
      <c r="XDI313" s="9"/>
      <c r="XDJ313" s="9"/>
      <c r="XDK313" s="9"/>
      <c r="XDL313" s="9"/>
      <c r="XDM313" s="9"/>
      <c r="XDN313" s="9"/>
      <c r="XDO313" s="9"/>
      <c r="XDP313" s="9"/>
      <c r="XDQ313" s="9"/>
      <c r="XDR313" s="9"/>
      <c r="XDS313" s="9"/>
      <c r="XDT313" s="9"/>
      <c r="XDU313" s="9"/>
      <c r="XDV313" s="9"/>
      <c r="XDW313" s="9"/>
      <c r="XDX313" s="9"/>
      <c r="XDY313" s="9"/>
      <c r="XDZ313" s="9"/>
      <c r="XEA313" s="9"/>
      <c r="XEB313" s="9"/>
      <c r="XEC313" s="9"/>
      <c r="XED313" s="9"/>
      <c r="XEE313" s="9"/>
      <c r="XEF313" s="9"/>
      <c r="XEG313" s="9"/>
      <c r="XEH313" s="9"/>
      <c r="XEI313" s="9"/>
      <c r="XEJ313" s="9"/>
      <c r="XEK313" s="9"/>
      <c r="XEL313" s="9"/>
      <c r="XEM313" s="9"/>
      <c r="XEN313" s="9"/>
      <c r="XEO313" s="9"/>
      <c r="XEP313" s="9"/>
      <c r="XEQ313" s="9"/>
      <c r="XER313" s="9"/>
      <c r="XES313" s="9"/>
      <c r="XET313" s="9"/>
      <c r="XEU313" s="9"/>
      <c r="XEV313" s="9"/>
      <c r="XEW313" s="9"/>
      <c r="XEX313" s="9"/>
      <c r="XEY313" s="9"/>
      <c r="XEZ313" s="9"/>
      <c r="XFA313" s="9"/>
      <c r="XFB313" s="9"/>
      <c r="XFC313" s="9"/>
      <c r="XFD313" s="9"/>
    </row>
    <row r="314" spans="1:8 16325:16384" s="3" customFormat="1" ht="19.95" customHeight="1">
      <c r="A314" s="6" t="str">
        <f t="shared" si="10"/>
        <v>040011</v>
      </c>
      <c r="B314" s="6" t="s">
        <v>9</v>
      </c>
      <c r="C314" s="6" t="s">
        <v>21</v>
      </c>
      <c r="D314" s="6" t="str">
        <f>"512417711"</f>
        <v>512417711</v>
      </c>
      <c r="E314" s="7">
        <v>83.5</v>
      </c>
      <c r="F314" s="7">
        <v>66.5</v>
      </c>
      <c r="G314" s="7"/>
      <c r="H314" s="7">
        <v>76.7</v>
      </c>
      <c r="XCW314" s="9"/>
      <c r="XCX314" s="9"/>
      <c r="XCY314" s="9"/>
      <c r="XCZ314" s="9"/>
      <c r="XDA314" s="9"/>
      <c r="XDB314" s="9"/>
      <c r="XDC314" s="9"/>
      <c r="XDD314" s="9"/>
      <c r="XDE314" s="9"/>
      <c r="XDF314" s="9"/>
      <c r="XDG314" s="9"/>
      <c r="XDH314" s="9"/>
      <c r="XDI314" s="9"/>
      <c r="XDJ314" s="9"/>
      <c r="XDK314" s="9"/>
      <c r="XDL314" s="9"/>
      <c r="XDM314" s="9"/>
      <c r="XDN314" s="9"/>
      <c r="XDO314" s="9"/>
      <c r="XDP314" s="9"/>
      <c r="XDQ314" s="9"/>
      <c r="XDR314" s="9"/>
      <c r="XDS314" s="9"/>
      <c r="XDT314" s="9"/>
      <c r="XDU314" s="9"/>
      <c r="XDV314" s="9"/>
      <c r="XDW314" s="9"/>
      <c r="XDX314" s="9"/>
      <c r="XDY314" s="9"/>
      <c r="XDZ314" s="9"/>
      <c r="XEA314" s="9"/>
      <c r="XEB314" s="9"/>
      <c r="XEC314" s="9"/>
      <c r="XED314" s="9"/>
      <c r="XEE314" s="9"/>
      <c r="XEF314" s="9"/>
      <c r="XEG314" s="9"/>
      <c r="XEH314" s="9"/>
      <c r="XEI314" s="9"/>
      <c r="XEJ314" s="9"/>
      <c r="XEK314" s="9"/>
      <c r="XEL314" s="9"/>
      <c r="XEM314" s="9"/>
      <c r="XEN314" s="9"/>
      <c r="XEO314" s="9"/>
      <c r="XEP314" s="9"/>
      <c r="XEQ314" s="9"/>
      <c r="XER314" s="9"/>
      <c r="XES314" s="9"/>
      <c r="XET314" s="9"/>
      <c r="XEU314" s="9"/>
      <c r="XEV314" s="9"/>
      <c r="XEW314" s="9"/>
      <c r="XEX314" s="9"/>
      <c r="XEY314" s="9"/>
      <c r="XEZ314" s="9"/>
      <c r="XFA314" s="9"/>
      <c r="XFB314" s="9"/>
      <c r="XFC314" s="9"/>
      <c r="XFD314" s="9"/>
    </row>
    <row r="315" spans="1:8 16325:16384" s="3" customFormat="1" ht="19.95" customHeight="1">
      <c r="A315" s="6" t="str">
        <f t="shared" si="10"/>
        <v>040011</v>
      </c>
      <c r="B315" s="6" t="s">
        <v>9</v>
      </c>
      <c r="C315" s="6" t="s">
        <v>21</v>
      </c>
      <c r="D315" s="6" t="str">
        <f>"512417725"</f>
        <v>512417725</v>
      </c>
      <c r="E315" s="7">
        <v>69</v>
      </c>
      <c r="F315" s="7">
        <v>73.5</v>
      </c>
      <c r="G315" s="7"/>
      <c r="H315" s="7">
        <v>70.8</v>
      </c>
      <c r="XCW315" s="9"/>
      <c r="XCX315" s="9"/>
      <c r="XCY315" s="9"/>
      <c r="XCZ315" s="9"/>
      <c r="XDA315" s="9"/>
      <c r="XDB315" s="9"/>
      <c r="XDC315" s="9"/>
      <c r="XDD315" s="9"/>
      <c r="XDE315" s="9"/>
      <c r="XDF315" s="9"/>
      <c r="XDG315" s="9"/>
      <c r="XDH315" s="9"/>
      <c r="XDI315" s="9"/>
      <c r="XDJ315" s="9"/>
      <c r="XDK315" s="9"/>
      <c r="XDL315" s="9"/>
      <c r="XDM315" s="9"/>
      <c r="XDN315" s="9"/>
      <c r="XDO315" s="9"/>
      <c r="XDP315" s="9"/>
      <c r="XDQ315" s="9"/>
      <c r="XDR315" s="9"/>
      <c r="XDS315" s="9"/>
      <c r="XDT315" s="9"/>
      <c r="XDU315" s="9"/>
      <c r="XDV315" s="9"/>
      <c r="XDW315" s="9"/>
      <c r="XDX315" s="9"/>
      <c r="XDY315" s="9"/>
      <c r="XDZ315" s="9"/>
      <c r="XEA315" s="9"/>
      <c r="XEB315" s="9"/>
      <c r="XEC315" s="9"/>
      <c r="XED315" s="9"/>
      <c r="XEE315" s="9"/>
      <c r="XEF315" s="9"/>
      <c r="XEG315" s="9"/>
      <c r="XEH315" s="9"/>
      <c r="XEI315" s="9"/>
      <c r="XEJ315" s="9"/>
      <c r="XEK315" s="9"/>
      <c r="XEL315" s="9"/>
      <c r="XEM315" s="9"/>
      <c r="XEN315" s="9"/>
      <c r="XEO315" s="9"/>
      <c r="XEP315" s="9"/>
      <c r="XEQ315" s="9"/>
      <c r="XER315" s="9"/>
      <c r="XES315" s="9"/>
      <c r="XET315" s="9"/>
      <c r="XEU315" s="9"/>
      <c r="XEV315" s="9"/>
      <c r="XEW315" s="9"/>
      <c r="XEX315" s="9"/>
      <c r="XEY315" s="9"/>
      <c r="XEZ315" s="9"/>
      <c r="XFA315" s="9"/>
      <c r="XFB315" s="9"/>
      <c r="XFC315" s="9"/>
      <c r="XFD315" s="9"/>
    </row>
    <row r="316" spans="1:8 16325:16384" s="3" customFormat="1" ht="19.95" customHeight="1">
      <c r="A316" s="6" t="str">
        <f t="shared" si="10"/>
        <v>040011</v>
      </c>
      <c r="B316" s="6" t="s">
        <v>9</v>
      </c>
      <c r="C316" s="6" t="s">
        <v>21</v>
      </c>
      <c r="D316" s="6" t="str">
        <f>"512417806"</f>
        <v>512417806</v>
      </c>
      <c r="E316" s="7">
        <v>0</v>
      </c>
      <c r="F316" s="7">
        <v>0</v>
      </c>
      <c r="G316" s="7"/>
      <c r="H316" s="7">
        <v>0</v>
      </c>
      <c r="XCW316" s="9"/>
      <c r="XCX316" s="9"/>
      <c r="XCY316" s="9"/>
      <c r="XCZ316" s="9"/>
      <c r="XDA316" s="9"/>
      <c r="XDB316" s="9"/>
      <c r="XDC316" s="9"/>
      <c r="XDD316" s="9"/>
      <c r="XDE316" s="9"/>
      <c r="XDF316" s="9"/>
      <c r="XDG316" s="9"/>
      <c r="XDH316" s="9"/>
      <c r="XDI316" s="9"/>
      <c r="XDJ316" s="9"/>
      <c r="XDK316" s="9"/>
      <c r="XDL316" s="9"/>
      <c r="XDM316" s="9"/>
      <c r="XDN316" s="9"/>
      <c r="XDO316" s="9"/>
      <c r="XDP316" s="9"/>
      <c r="XDQ316" s="9"/>
      <c r="XDR316" s="9"/>
      <c r="XDS316" s="9"/>
      <c r="XDT316" s="9"/>
      <c r="XDU316" s="9"/>
      <c r="XDV316" s="9"/>
      <c r="XDW316" s="9"/>
      <c r="XDX316" s="9"/>
      <c r="XDY316" s="9"/>
      <c r="XDZ316" s="9"/>
      <c r="XEA316" s="9"/>
      <c r="XEB316" s="9"/>
      <c r="XEC316" s="9"/>
      <c r="XED316" s="9"/>
      <c r="XEE316" s="9"/>
      <c r="XEF316" s="9"/>
      <c r="XEG316" s="9"/>
      <c r="XEH316" s="9"/>
      <c r="XEI316" s="9"/>
      <c r="XEJ316" s="9"/>
      <c r="XEK316" s="9"/>
      <c r="XEL316" s="9"/>
      <c r="XEM316" s="9"/>
      <c r="XEN316" s="9"/>
      <c r="XEO316" s="9"/>
      <c r="XEP316" s="9"/>
      <c r="XEQ316" s="9"/>
      <c r="XER316" s="9"/>
      <c r="XES316" s="9"/>
      <c r="XET316" s="9"/>
      <c r="XEU316" s="9"/>
      <c r="XEV316" s="9"/>
      <c r="XEW316" s="9"/>
      <c r="XEX316" s="9"/>
      <c r="XEY316" s="9"/>
      <c r="XEZ316" s="9"/>
      <c r="XFA316" s="9"/>
      <c r="XFB316" s="9"/>
      <c r="XFC316" s="9"/>
      <c r="XFD316" s="9"/>
    </row>
    <row r="317" spans="1:8 16325:16384" s="3" customFormat="1" ht="19.95" customHeight="1">
      <c r="A317" s="6" t="str">
        <f t="shared" si="10"/>
        <v>040011</v>
      </c>
      <c r="B317" s="6" t="s">
        <v>9</v>
      </c>
      <c r="C317" s="6" t="s">
        <v>21</v>
      </c>
      <c r="D317" s="6" t="str">
        <f>"512417707"</f>
        <v>512417707</v>
      </c>
      <c r="E317" s="7">
        <v>0</v>
      </c>
      <c r="F317" s="7">
        <v>0</v>
      </c>
      <c r="G317" s="7"/>
      <c r="H317" s="7">
        <v>0</v>
      </c>
      <c r="XCW317" s="9"/>
      <c r="XCX317" s="9"/>
      <c r="XCY317" s="9"/>
      <c r="XCZ317" s="9"/>
      <c r="XDA317" s="9"/>
      <c r="XDB317" s="9"/>
      <c r="XDC317" s="9"/>
      <c r="XDD317" s="9"/>
      <c r="XDE317" s="9"/>
      <c r="XDF317" s="9"/>
      <c r="XDG317" s="9"/>
      <c r="XDH317" s="9"/>
      <c r="XDI317" s="9"/>
      <c r="XDJ317" s="9"/>
      <c r="XDK317" s="9"/>
      <c r="XDL317" s="9"/>
      <c r="XDM317" s="9"/>
      <c r="XDN317" s="9"/>
      <c r="XDO317" s="9"/>
      <c r="XDP317" s="9"/>
      <c r="XDQ317" s="9"/>
      <c r="XDR317" s="9"/>
      <c r="XDS317" s="9"/>
      <c r="XDT317" s="9"/>
      <c r="XDU317" s="9"/>
      <c r="XDV317" s="9"/>
      <c r="XDW317" s="9"/>
      <c r="XDX317" s="9"/>
      <c r="XDY317" s="9"/>
      <c r="XDZ317" s="9"/>
      <c r="XEA317" s="9"/>
      <c r="XEB317" s="9"/>
      <c r="XEC317" s="9"/>
      <c r="XED317" s="9"/>
      <c r="XEE317" s="9"/>
      <c r="XEF317" s="9"/>
      <c r="XEG317" s="9"/>
      <c r="XEH317" s="9"/>
      <c r="XEI317" s="9"/>
      <c r="XEJ317" s="9"/>
      <c r="XEK317" s="9"/>
      <c r="XEL317" s="9"/>
      <c r="XEM317" s="9"/>
      <c r="XEN317" s="9"/>
      <c r="XEO317" s="9"/>
      <c r="XEP317" s="9"/>
      <c r="XEQ317" s="9"/>
      <c r="XER317" s="9"/>
      <c r="XES317" s="9"/>
      <c r="XET317" s="9"/>
      <c r="XEU317" s="9"/>
      <c r="XEV317" s="9"/>
      <c r="XEW317" s="9"/>
      <c r="XEX317" s="9"/>
      <c r="XEY317" s="9"/>
      <c r="XEZ317" s="9"/>
      <c r="XFA317" s="9"/>
      <c r="XFB317" s="9"/>
      <c r="XFC317" s="9"/>
      <c r="XFD317" s="9"/>
    </row>
    <row r="318" spans="1:8 16325:16384" s="3" customFormat="1" ht="19.95" customHeight="1">
      <c r="A318" s="6" t="str">
        <f t="shared" si="10"/>
        <v>040011</v>
      </c>
      <c r="B318" s="6" t="s">
        <v>9</v>
      </c>
      <c r="C318" s="6" t="s">
        <v>21</v>
      </c>
      <c r="D318" s="6" t="str">
        <f>"512417720"</f>
        <v>512417720</v>
      </c>
      <c r="E318" s="7">
        <v>76</v>
      </c>
      <c r="F318" s="7">
        <v>73</v>
      </c>
      <c r="G318" s="7"/>
      <c r="H318" s="7">
        <v>74.8</v>
      </c>
      <c r="XCW318" s="9"/>
      <c r="XCX318" s="9"/>
      <c r="XCY318" s="9"/>
      <c r="XCZ318" s="9"/>
      <c r="XDA318" s="9"/>
      <c r="XDB318" s="9"/>
      <c r="XDC318" s="9"/>
      <c r="XDD318" s="9"/>
      <c r="XDE318" s="9"/>
      <c r="XDF318" s="9"/>
      <c r="XDG318" s="9"/>
      <c r="XDH318" s="9"/>
      <c r="XDI318" s="9"/>
      <c r="XDJ318" s="9"/>
      <c r="XDK318" s="9"/>
      <c r="XDL318" s="9"/>
      <c r="XDM318" s="9"/>
      <c r="XDN318" s="9"/>
      <c r="XDO318" s="9"/>
      <c r="XDP318" s="9"/>
      <c r="XDQ318" s="9"/>
      <c r="XDR318" s="9"/>
      <c r="XDS318" s="9"/>
      <c r="XDT318" s="9"/>
      <c r="XDU318" s="9"/>
      <c r="XDV318" s="9"/>
      <c r="XDW318" s="9"/>
      <c r="XDX318" s="9"/>
      <c r="XDY318" s="9"/>
      <c r="XDZ318" s="9"/>
      <c r="XEA318" s="9"/>
      <c r="XEB318" s="9"/>
      <c r="XEC318" s="9"/>
      <c r="XED318" s="9"/>
      <c r="XEE318" s="9"/>
      <c r="XEF318" s="9"/>
      <c r="XEG318" s="9"/>
      <c r="XEH318" s="9"/>
      <c r="XEI318" s="9"/>
      <c r="XEJ318" s="9"/>
      <c r="XEK318" s="9"/>
      <c r="XEL318" s="9"/>
      <c r="XEM318" s="9"/>
      <c r="XEN318" s="9"/>
      <c r="XEO318" s="9"/>
      <c r="XEP318" s="9"/>
      <c r="XEQ318" s="9"/>
      <c r="XER318" s="9"/>
      <c r="XES318" s="9"/>
      <c r="XET318" s="9"/>
      <c r="XEU318" s="9"/>
      <c r="XEV318" s="9"/>
      <c r="XEW318" s="9"/>
      <c r="XEX318" s="9"/>
      <c r="XEY318" s="9"/>
      <c r="XEZ318" s="9"/>
      <c r="XFA318" s="9"/>
      <c r="XFB318" s="9"/>
      <c r="XFC318" s="9"/>
      <c r="XFD318" s="9"/>
    </row>
    <row r="319" spans="1:8 16325:16384" s="3" customFormat="1" ht="19.95" customHeight="1">
      <c r="A319" s="6" t="str">
        <f t="shared" si="10"/>
        <v>040011</v>
      </c>
      <c r="B319" s="6" t="s">
        <v>9</v>
      </c>
      <c r="C319" s="6" t="s">
        <v>21</v>
      </c>
      <c r="D319" s="6" t="str">
        <f>"512417810"</f>
        <v>512417810</v>
      </c>
      <c r="E319" s="7">
        <v>80</v>
      </c>
      <c r="F319" s="7">
        <v>62.5</v>
      </c>
      <c r="G319" s="7"/>
      <c r="H319" s="7">
        <v>73</v>
      </c>
      <c r="XCW319" s="9"/>
      <c r="XCX319" s="9"/>
      <c r="XCY319" s="9"/>
      <c r="XCZ319" s="9"/>
      <c r="XDA319" s="9"/>
      <c r="XDB319" s="9"/>
      <c r="XDC319" s="9"/>
      <c r="XDD319" s="9"/>
      <c r="XDE319" s="9"/>
      <c r="XDF319" s="9"/>
      <c r="XDG319" s="9"/>
      <c r="XDH319" s="9"/>
      <c r="XDI319" s="9"/>
      <c r="XDJ319" s="9"/>
      <c r="XDK319" s="9"/>
      <c r="XDL319" s="9"/>
      <c r="XDM319" s="9"/>
      <c r="XDN319" s="9"/>
      <c r="XDO319" s="9"/>
      <c r="XDP319" s="9"/>
      <c r="XDQ319" s="9"/>
      <c r="XDR319" s="9"/>
      <c r="XDS319" s="9"/>
      <c r="XDT319" s="9"/>
      <c r="XDU319" s="9"/>
      <c r="XDV319" s="9"/>
      <c r="XDW319" s="9"/>
      <c r="XDX319" s="9"/>
      <c r="XDY319" s="9"/>
      <c r="XDZ319" s="9"/>
      <c r="XEA319" s="9"/>
      <c r="XEB319" s="9"/>
      <c r="XEC319" s="9"/>
      <c r="XED319" s="9"/>
      <c r="XEE319" s="9"/>
      <c r="XEF319" s="9"/>
      <c r="XEG319" s="9"/>
      <c r="XEH319" s="9"/>
      <c r="XEI319" s="9"/>
      <c r="XEJ319" s="9"/>
      <c r="XEK319" s="9"/>
      <c r="XEL319" s="9"/>
      <c r="XEM319" s="9"/>
      <c r="XEN319" s="9"/>
      <c r="XEO319" s="9"/>
      <c r="XEP319" s="9"/>
      <c r="XEQ319" s="9"/>
      <c r="XER319" s="9"/>
      <c r="XES319" s="9"/>
      <c r="XET319" s="9"/>
      <c r="XEU319" s="9"/>
      <c r="XEV319" s="9"/>
      <c r="XEW319" s="9"/>
      <c r="XEX319" s="9"/>
      <c r="XEY319" s="9"/>
      <c r="XEZ319" s="9"/>
      <c r="XFA319" s="9"/>
      <c r="XFB319" s="9"/>
      <c r="XFC319" s="9"/>
      <c r="XFD319" s="9"/>
    </row>
    <row r="320" spans="1:8 16325:16384" s="3" customFormat="1" ht="19.95" customHeight="1">
      <c r="A320" s="6" t="str">
        <f t="shared" si="10"/>
        <v>040011</v>
      </c>
      <c r="B320" s="6" t="s">
        <v>9</v>
      </c>
      <c r="C320" s="6" t="s">
        <v>21</v>
      </c>
      <c r="D320" s="6" t="str">
        <f>"512417722"</f>
        <v>512417722</v>
      </c>
      <c r="E320" s="7">
        <v>78</v>
      </c>
      <c r="F320" s="7">
        <v>80</v>
      </c>
      <c r="G320" s="7"/>
      <c r="H320" s="7">
        <v>78.8</v>
      </c>
      <c r="XCW320" s="9"/>
      <c r="XCX320" s="9"/>
      <c r="XCY320" s="9"/>
      <c r="XCZ320" s="9"/>
      <c r="XDA320" s="9"/>
      <c r="XDB320" s="9"/>
      <c r="XDC320" s="9"/>
      <c r="XDD320" s="9"/>
      <c r="XDE320" s="9"/>
      <c r="XDF320" s="9"/>
      <c r="XDG320" s="9"/>
      <c r="XDH320" s="9"/>
      <c r="XDI320" s="9"/>
      <c r="XDJ320" s="9"/>
      <c r="XDK320" s="9"/>
      <c r="XDL320" s="9"/>
      <c r="XDM320" s="9"/>
      <c r="XDN320" s="9"/>
      <c r="XDO320" s="9"/>
      <c r="XDP320" s="9"/>
      <c r="XDQ320" s="9"/>
      <c r="XDR320" s="9"/>
      <c r="XDS320" s="9"/>
      <c r="XDT320" s="9"/>
      <c r="XDU320" s="9"/>
      <c r="XDV320" s="9"/>
      <c r="XDW320" s="9"/>
      <c r="XDX320" s="9"/>
      <c r="XDY320" s="9"/>
      <c r="XDZ320" s="9"/>
      <c r="XEA320" s="9"/>
      <c r="XEB320" s="9"/>
      <c r="XEC320" s="9"/>
      <c r="XED320" s="9"/>
      <c r="XEE320" s="9"/>
      <c r="XEF320" s="9"/>
      <c r="XEG320" s="9"/>
      <c r="XEH320" s="9"/>
      <c r="XEI320" s="9"/>
      <c r="XEJ320" s="9"/>
      <c r="XEK320" s="9"/>
      <c r="XEL320" s="9"/>
      <c r="XEM320" s="9"/>
      <c r="XEN320" s="9"/>
      <c r="XEO320" s="9"/>
      <c r="XEP320" s="9"/>
      <c r="XEQ320" s="9"/>
      <c r="XER320" s="9"/>
      <c r="XES320" s="9"/>
      <c r="XET320" s="9"/>
      <c r="XEU320" s="9"/>
      <c r="XEV320" s="9"/>
      <c r="XEW320" s="9"/>
      <c r="XEX320" s="9"/>
      <c r="XEY320" s="9"/>
      <c r="XEZ320" s="9"/>
      <c r="XFA320" s="9"/>
      <c r="XFB320" s="9"/>
      <c r="XFC320" s="9"/>
      <c r="XFD320" s="9"/>
    </row>
    <row r="321" spans="1:8 16325:16384" s="3" customFormat="1" ht="19.95" customHeight="1">
      <c r="A321" s="6" t="str">
        <f t="shared" si="10"/>
        <v>040011</v>
      </c>
      <c r="B321" s="6" t="s">
        <v>9</v>
      </c>
      <c r="C321" s="6" t="s">
        <v>21</v>
      </c>
      <c r="D321" s="6" t="str">
        <f>"512417713"</f>
        <v>512417713</v>
      </c>
      <c r="E321" s="7">
        <v>86</v>
      </c>
      <c r="F321" s="7">
        <v>86.5</v>
      </c>
      <c r="G321" s="7"/>
      <c r="H321" s="7">
        <v>86.2</v>
      </c>
      <c r="XCW321" s="9"/>
      <c r="XCX321" s="9"/>
      <c r="XCY321" s="9"/>
      <c r="XCZ321" s="9"/>
      <c r="XDA321" s="9"/>
      <c r="XDB321" s="9"/>
      <c r="XDC321" s="9"/>
      <c r="XDD321" s="9"/>
      <c r="XDE321" s="9"/>
      <c r="XDF321" s="9"/>
      <c r="XDG321" s="9"/>
      <c r="XDH321" s="9"/>
      <c r="XDI321" s="9"/>
      <c r="XDJ321" s="9"/>
      <c r="XDK321" s="9"/>
      <c r="XDL321" s="9"/>
      <c r="XDM321" s="9"/>
      <c r="XDN321" s="9"/>
      <c r="XDO321" s="9"/>
      <c r="XDP321" s="9"/>
      <c r="XDQ321" s="9"/>
      <c r="XDR321" s="9"/>
      <c r="XDS321" s="9"/>
      <c r="XDT321" s="9"/>
      <c r="XDU321" s="9"/>
      <c r="XDV321" s="9"/>
      <c r="XDW321" s="9"/>
      <c r="XDX321" s="9"/>
      <c r="XDY321" s="9"/>
      <c r="XDZ321" s="9"/>
      <c r="XEA321" s="9"/>
      <c r="XEB321" s="9"/>
      <c r="XEC321" s="9"/>
      <c r="XED321" s="9"/>
      <c r="XEE321" s="9"/>
      <c r="XEF321" s="9"/>
      <c r="XEG321" s="9"/>
      <c r="XEH321" s="9"/>
      <c r="XEI321" s="9"/>
      <c r="XEJ321" s="9"/>
      <c r="XEK321" s="9"/>
      <c r="XEL321" s="9"/>
      <c r="XEM321" s="9"/>
      <c r="XEN321" s="9"/>
      <c r="XEO321" s="9"/>
      <c r="XEP321" s="9"/>
      <c r="XEQ321" s="9"/>
      <c r="XER321" s="9"/>
      <c r="XES321" s="9"/>
      <c r="XET321" s="9"/>
      <c r="XEU321" s="9"/>
      <c r="XEV321" s="9"/>
      <c r="XEW321" s="9"/>
      <c r="XEX321" s="9"/>
      <c r="XEY321" s="9"/>
      <c r="XEZ321" s="9"/>
      <c r="XFA321" s="9"/>
      <c r="XFB321" s="9"/>
      <c r="XFC321" s="9"/>
      <c r="XFD321" s="9"/>
    </row>
    <row r="322" spans="1:8 16325:16384" s="3" customFormat="1" ht="19.95" customHeight="1">
      <c r="A322" s="6" t="str">
        <f t="shared" si="10"/>
        <v>040011</v>
      </c>
      <c r="B322" s="6" t="s">
        <v>9</v>
      </c>
      <c r="C322" s="6" t="s">
        <v>21</v>
      </c>
      <c r="D322" s="6" t="str">
        <f>"512417716"</f>
        <v>512417716</v>
      </c>
      <c r="E322" s="7">
        <v>71</v>
      </c>
      <c r="F322" s="7">
        <v>65.5</v>
      </c>
      <c r="G322" s="7"/>
      <c r="H322" s="7">
        <v>68.8</v>
      </c>
      <c r="XCW322" s="9"/>
      <c r="XCX322" s="9"/>
      <c r="XCY322" s="9"/>
      <c r="XCZ322" s="9"/>
      <c r="XDA322" s="9"/>
      <c r="XDB322" s="9"/>
      <c r="XDC322" s="9"/>
      <c r="XDD322" s="9"/>
      <c r="XDE322" s="9"/>
      <c r="XDF322" s="9"/>
      <c r="XDG322" s="9"/>
      <c r="XDH322" s="9"/>
      <c r="XDI322" s="9"/>
      <c r="XDJ322" s="9"/>
      <c r="XDK322" s="9"/>
      <c r="XDL322" s="9"/>
      <c r="XDM322" s="9"/>
      <c r="XDN322" s="9"/>
      <c r="XDO322" s="9"/>
      <c r="XDP322" s="9"/>
      <c r="XDQ322" s="9"/>
      <c r="XDR322" s="9"/>
      <c r="XDS322" s="9"/>
      <c r="XDT322" s="9"/>
      <c r="XDU322" s="9"/>
      <c r="XDV322" s="9"/>
      <c r="XDW322" s="9"/>
      <c r="XDX322" s="9"/>
      <c r="XDY322" s="9"/>
      <c r="XDZ322" s="9"/>
      <c r="XEA322" s="9"/>
      <c r="XEB322" s="9"/>
      <c r="XEC322" s="9"/>
      <c r="XED322" s="9"/>
      <c r="XEE322" s="9"/>
      <c r="XEF322" s="9"/>
      <c r="XEG322" s="9"/>
      <c r="XEH322" s="9"/>
      <c r="XEI322" s="9"/>
      <c r="XEJ322" s="9"/>
      <c r="XEK322" s="9"/>
      <c r="XEL322" s="9"/>
      <c r="XEM322" s="9"/>
      <c r="XEN322" s="9"/>
      <c r="XEO322" s="9"/>
      <c r="XEP322" s="9"/>
      <c r="XEQ322" s="9"/>
      <c r="XER322" s="9"/>
      <c r="XES322" s="9"/>
      <c r="XET322" s="9"/>
      <c r="XEU322" s="9"/>
      <c r="XEV322" s="9"/>
      <c r="XEW322" s="9"/>
      <c r="XEX322" s="9"/>
      <c r="XEY322" s="9"/>
      <c r="XEZ322" s="9"/>
      <c r="XFA322" s="9"/>
      <c r="XFB322" s="9"/>
      <c r="XFC322" s="9"/>
      <c r="XFD322" s="9"/>
    </row>
    <row r="323" spans="1:8 16325:16384" s="3" customFormat="1" ht="19.95" customHeight="1">
      <c r="A323" s="6" t="str">
        <f t="shared" si="10"/>
        <v>040011</v>
      </c>
      <c r="B323" s="6" t="s">
        <v>9</v>
      </c>
      <c r="C323" s="6" t="s">
        <v>21</v>
      </c>
      <c r="D323" s="6" t="str">
        <f>"512417815"</f>
        <v>512417815</v>
      </c>
      <c r="E323" s="7">
        <v>71</v>
      </c>
      <c r="F323" s="7">
        <v>64</v>
      </c>
      <c r="G323" s="7"/>
      <c r="H323" s="7">
        <v>68.2</v>
      </c>
      <c r="XCW323" s="9"/>
      <c r="XCX323" s="9"/>
      <c r="XCY323" s="9"/>
      <c r="XCZ323" s="9"/>
      <c r="XDA323" s="9"/>
      <c r="XDB323" s="9"/>
      <c r="XDC323" s="9"/>
      <c r="XDD323" s="9"/>
      <c r="XDE323" s="9"/>
      <c r="XDF323" s="9"/>
      <c r="XDG323" s="9"/>
      <c r="XDH323" s="9"/>
      <c r="XDI323" s="9"/>
      <c r="XDJ323" s="9"/>
      <c r="XDK323" s="9"/>
      <c r="XDL323" s="9"/>
      <c r="XDM323" s="9"/>
      <c r="XDN323" s="9"/>
      <c r="XDO323" s="9"/>
      <c r="XDP323" s="9"/>
      <c r="XDQ323" s="9"/>
      <c r="XDR323" s="9"/>
      <c r="XDS323" s="9"/>
      <c r="XDT323" s="9"/>
      <c r="XDU323" s="9"/>
      <c r="XDV323" s="9"/>
      <c r="XDW323" s="9"/>
      <c r="XDX323" s="9"/>
      <c r="XDY323" s="9"/>
      <c r="XDZ323" s="9"/>
      <c r="XEA323" s="9"/>
      <c r="XEB323" s="9"/>
      <c r="XEC323" s="9"/>
      <c r="XED323" s="9"/>
      <c r="XEE323" s="9"/>
      <c r="XEF323" s="9"/>
      <c r="XEG323" s="9"/>
      <c r="XEH323" s="9"/>
      <c r="XEI323" s="9"/>
      <c r="XEJ323" s="9"/>
      <c r="XEK323" s="9"/>
      <c r="XEL323" s="9"/>
      <c r="XEM323" s="9"/>
      <c r="XEN323" s="9"/>
      <c r="XEO323" s="9"/>
      <c r="XEP323" s="9"/>
      <c r="XEQ323" s="9"/>
      <c r="XER323" s="9"/>
      <c r="XES323" s="9"/>
      <c r="XET323" s="9"/>
      <c r="XEU323" s="9"/>
      <c r="XEV323" s="9"/>
      <c r="XEW323" s="9"/>
      <c r="XEX323" s="9"/>
      <c r="XEY323" s="9"/>
      <c r="XEZ323" s="9"/>
      <c r="XFA323" s="9"/>
      <c r="XFB323" s="9"/>
      <c r="XFC323" s="9"/>
      <c r="XFD323" s="9"/>
    </row>
    <row r="324" spans="1:8 16325:16384" s="3" customFormat="1" ht="19.95" customHeight="1">
      <c r="A324" s="6" t="str">
        <f t="shared" si="10"/>
        <v>040011</v>
      </c>
      <c r="B324" s="6" t="s">
        <v>9</v>
      </c>
      <c r="C324" s="6" t="s">
        <v>21</v>
      </c>
      <c r="D324" s="6" t="str">
        <f>"512417817"</f>
        <v>512417817</v>
      </c>
      <c r="E324" s="7">
        <v>0</v>
      </c>
      <c r="F324" s="7">
        <v>0</v>
      </c>
      <c r="G324" s="7"/>
      <c r="H324" s="7">
        <v>0</v>
      </c>
      <c r="XCW324" s="9"/>
      <c r="XCX324" s="9"/>
      <c r="XCY324" s="9"/>
      <c r="XCZ324" s="9"/>
      <c r="XDA324" s="9"/>
      <c r="XDB324" s="9"/>
      <c r="XDC324" s="9"/>
      <c r="XDD324" s="9"/>
      <c r="XDE324" s="9"/>
      <c r="XDF324" s="9"/>
      <c r="XDG324" s="9"/>
      <c r="XDH324" s="9"/>
      <c r="XDI324" s="9"/>
      <c r="XDJ324" s="9"/>
      <c r="XDK324" s="9"/>
      <c r="XDL324" s="9"/>
      <c r="XDM324" s="9"/>
      <c r="XDN324" s="9"/>
      <c r="XDO324" s="9"/>
      <c r="XDP324" s="9"/>
      <c r="XDQ324" s="9"/>
      <c r="XDR324" s="9"/>
      <c r="XDS324" s="9"/>
      <c r="XDT324" s="9"/>
      <c r="XDU324" s="9"/>
      <c r="XDV324" s="9"/>
      <c r="XDW324" s="9"/>
      <c r="XDX324" s="9"/>
      <c r="XDY324" s="9"/>
      <c r="XDZ324" s="9"/>
      <c r="XEA324" s="9"/>
      <c r="XEB324" s="9"/>
      <c r="XEC324" s="9"/>
      <c r="XED324" s="9"/>
      <c r="XEE324" s="9"/>
      <c r="XEF324" s="9"/>
      <c r="XEG324" s="9"/>
      <c r="XEH324" s="9"/>
      <c r="XEI324" s="9"/>
      <c r="XEJ324" s="9"/>
      <c r="XEK324" s="9"/>
      <c r="XEL324" s="9"/>
      <c r="XEM324" s="9"/>
      <c r="XEN324" s="9"/>
      <c r="XEO324" s="9"/>
      <c r="XEP324" s="9"/>
      <c r="XEQ324" s="9"/>
      <c r="XER324" s="9"/>
      <c r="XES324" s="9"/>
      <c r="XET324" s="9"/>
      <c r="XEU324" s="9"/>
      <c r="XEV324" s="9"/>
      <c r="XEW324" s="9"/>
      <c r="XEX324" s="9"/>
      <c r="XEY324" s="9"/>
      <c r="XEZ324" s="9"/>
      <c r="XFA324" s="9"/>
      <c r="XFB324" s="9"/>
      <c r="XFC324" s="9"/>
      <c r="XFD324" s="9"/>
    </row>
    <row r="325" spans="1:8 16325:16384" s="3" customFormat="1" ht="19.95" customHeight="1">
      <c r="A325" s="6" t="str">
        <f t="shared" si="10"/>
        <v>040011</v>
      </c>
      <c r="B325" s="6" t="s">
        <v>9</v>
      </c>
      <c r="C325" s="6" t="s">
        <v>21</v>
      </c>
      <c r="D325" s="6" t="str">
        <f>"512417807"</f>
        <v>512417807</v>
      </c>
      <c r="E325" s="7">
        <v>73.5</v>
      </c>
      <c r="F325" s="7">
        <v>74.5</v>
      </c>
      <c r="G325" s="7"/>
      <c r="H325" s="7">
        <v>73.900000000000006</v>
      </c>
      <c r="XCW325" s="9"/>
      <c r="XCX325" s="9"/>
      <c r="XCY325" s="9"/>
      <c r="XCZ325" s="9"/>
      <c r="XDA325" s="9"/>
      <c r="XDB325" s="9"/>
      <c r="XDC325" s="9"/>
      <c r="XDD325" s="9"/>
      <c r="XDE325" s="9"/>
      <c r="XDF325" s="9"/>
      <c r="XDG325" s="9"/>
      <c r="XDH325" s="9"/>
      <c r="XDI325" s="9"/>
      <c r="XDJ325" s="9"/>
      <c r="XDK325" s="9"/>
      <c r="XDL325" s="9"/>
      <c r="XDM325" s="9"/>
      <c r="XDN325" s="9"/>
      <c r="XDO325" s="9"/>
      <c r="XDP325" s="9"/>
      <c r="XDQ325" s="9"/>
      <c r="XDR325" s="9"/>
      <c r="XDS325" s="9"/>
      <c r="XDT325" s="9"/>
      <c r="XDU325" s="9"/>
      <c r="XDV325" s="9"/>
      <c r="XDW325" s="9"/>
      <c r="XDX325" s="9"/>
      <c r="XDY325" s="9"/>
      <c r="XDZ325" s="9"/>
      <c r="XEA325" s="9"/>
      <c r="XEB325" s="9"/>
      <c r="XEC325" s="9"/>
      <c r="XED325" s="9"/>
      <c r="XEE325" s="9"/>
      <c r="XEF325" s="9"/>
      <c r="XEG325" s="9"/>
      <c r="XEH325" s="9"/>
      <c r="XEI325" s="9"/>
      <c r="XEJ325" s="9"/>
      <c r="XEK325" s="9"/>
      <c r="XEL325" s="9"/>
      <c r="XEM325" s="9"/>
      <c r="XEN325" s="9"/>
      <c r="XEO325" s="9"/>
      <c r="XEP325" s="9"/>
      <c r="XEQ325" s="9"/>
      <c r="XER325" s="9"/>
      <c r="XES325" s="9"/>
      <c r="XET325" s="9"/>
      <c r="XEU325" s="9"/>
      <c r="XEV325" s="9"/>
      <c r="XEW325" s="9"/>
      <c r="XEX325" s="9"/>
      <c r="XEY325" s="9"/>
      <c r="XEZ325" s="9"/>
      <c r="XFA325" s="9"/>
      <c r="XFB325" s="9"/>
      <c r="XFC325" s="9"/>
      <c r="XFD325" s="9"/>
    </row>
    <row r="326" spans="1:8 16325:16384" s="3" customFormat="1" ht="19.95" customHeight="1">
      <c r="A326" s="6" t="str">
        <f t="shared" si="10"/>
        <v>040011</v>
      </c>
      <c r="B326" s="6" t="s">
        <v>9</v>
      </c>
      <c r="C326" s="6" t="s">
        <v>21</v>
      </c>
      <c r="D326" s="6" t="str">
        <f>"512417724"</f>
        <v>512417724</v>
      </c>
      <c r="E326" s="7">
        <v>79.5</v>
      </c>
      <c r="F326" s="7">
        <v>79</v>
      </c>
      <c r="G326" s="7"/>
      <c r="H326" s="7">
        <v>79.3</v>
      </c>
      <c r="XCW326" s="9"/>
      <c r="XCX326" s="9"/>
      <c r="XCY326" s="9"/>
      <c r="XCZ326" s="9"/>
      <c r="XDA326" s="9"/>
      <c r="XDB326" s="9"/>
      <c r="XDC326" s="9"/>
      <c r="XDD326" s="9"/>
      <c r="XDE326" s="9"/>
      <c r="XDF326" s="9"/>
      <c r="XDG326" s="9"/>
      <c r="XDH326" s="9"/>
      <c r="XDI326" s="9"/>
      <c r="XDJ326" s="9"/>
      <c r="XDK326" s="9"/>
      <c r="XDL326" s="9"/>
      <c r="XDM326" s="9"/>
      <c r="XDN326" s="9"/>
      <c r="XDO326" s="9"/>
      <c r="XDP326" s="9"/>
      <c r="XDQ326" s="9"/>
      <c r="XDR326" s="9"/>
      <c r="XDS326" s="9"/>
      <c r="XDT326" s="9"/>
      <c r="XDU326" s="9"/>
      <c r="XDV326" s="9"/>
      <c r="XDW326" s="9"/>
      <c r="XDX326" s="9"/>
      <c r="XDY326" s="9"/>
      <c r="XDZ326" s="9"/>
      <c r="XEA326" s="9"/>
      <c r="XEB326" s="9"/>
      <c r="XEC326" s="9"/>
      <c r="XED326" s="9"/>
      <c r="XEE326" s="9"/>
      <c r="XEF326" s="9"/>
      <c r="XEG326" s="9"/>
      <c r="XEH326" s="9"/>
      <c r="XEI326" s="9"/>
      <c r="XEJ326" s="9"/>
      <c r="XEK326" s="9"/>
      <c r="XEL326" s="9"/>
      <c r="XEM326" s="9"/>
      <c r="XEN326" s="9"/>
      <c r="XEO326" s="9"/>
      <c r="XEP326" s="9"/>
      <c r="XEQ326" s="9"/>
      <c r="XER326" s="9"/>
      <c r="XES326" s="9"/>
      <c r="XET326" s="9"/>
      <c r="XEU326" s="9"/>
      <c r="XEV326" s="9"/>
      <c r="XEW326" s="9"/>
      <c r="XEX326" s="9"/>
      <c r="XEY326" s="9"/>
      <c r="XEZ326" s="9"/>
      <c r="XFA326" s="9"/>
      <c r="XFB326" s="9"/>
      <c r="XFC326" s="9"/>
      <c r="XFD326" s="9"/>
    </row>
    <row r="327" spans="1:8 16325:16384" s="3" customFormat="1" ht="19.95" customHeight="1">
      <c r="A327" s="6" t="str">
        <f t="shared" si="10"/>
        <v>040011</v>
      </c>
      <c r="B327" s="6" t="s">
        <v>9</v>
      </c>
      <c r="C327" s="6" t="s">
        <v>21</v>
      </c>
      <c r="D327" s="6" t="str">
        <f>"512417802"</f>
        <v>512417802</v>
      </c>
      <c r="E327" s="7">
        <v>84</v>
      </c>
      <c r="F327" s="7">
        <v>86.5</v>
      </c>
      <c r="G327" s="7"/>
      <c r="H327" s="7">
        <v>85</v>
      </c>
      <c r="XCW327" s="9"/>
      <c r="XCX327" s="9"/>
      <c r="XCY327" s="9"/>
      <c r="XCZ327" s="9"/>
      <c r="XDA327" s="9"/>
      <c r="XDB327" s="9"/>
      <c r="XDC327" s="9"/>
      <c r="XDD327" s="9"/>
      <c r="XDE327" s="9"/>
      <c r="XDF327" s="9"/>
      <c r="XDG327" s="9"/>
      <c r="XDH327" s="9"/>
      <c r="XDI327" s="9"/>
      <c r="XDJ327" s="9"/>
      <c r="XDK327" s="9"/>
      <c r="XDL327" s="9"/>
      <c r="XDM327" s="9"/>
      <c r="XDN327" s="9"/>
      <c r="XDO327" s="9"/>
      <c r="XDP327" s="9"/>
      <c r="XDQ327" s="9"/>
      <c r="XDR327" s="9"/>
      <c r="XDS327" s="9"/>
      <c r="XDT327" s="9"/>
      <c r="XDU327" s="9"/>
      <c r="XDV327" s="9"/>
      <c r="XDW327" s="9"/>
      <c r="XDX327" s="9"/>
      <c r="XDY327" s="9"/>
      <c r="XDZ327" s="9"/>
      <c r="XEA327" s="9"/>
      <c r="XEB327" s="9"/>
      <c r="XEC327" s="9"/>
      <c r="XED327" s="9"/>
      <c r="XEE327" s="9"/>
      <c r="XEF327" s="9"/>
      <c r="XEG327" s="9"/>
      <c r="XEH327" s="9"/>
      <c r="XEI327" s="9"/>
      <c r="XEJ327" s="9"/>
      <c r="XEK327" s="9"/>
      <c r="XEL327" s="9"/>
      <c r="XEM327" s="9"/>
      <c r="XEN327" s="9"/>
      <c r="XEO327" s="9"/>
      <c r="XEP327" s="9"/>
      <c r="XEQ327" s="9"/>
      <c r="XER327" s="9"/>
      <c r="XES327" s="9"/>
      <c r="XET327" s="9"/>
      <c r="XEU327" s="9"/>
      <c r="XEV327" s="9"/>
      <c r="XEW327" s="9"/>
      <c r="XEX327" s="9"/>
      <c r="XEY327" s="9"/>
      <c r="XEZ327" s="9"/>
      <c r="XFA327" s="9"/>
      <c r="XFB327" s="9"/>
      <c r="XFC327" s="9"/>
      <c r="XFD327" s="9"/>
    </row>
    <row r="328" spans="1:8 16325:16384" s="3" customFormat="1" ht="19.95" customHeight="1">
      <c r="A328" s="6" t="str">
        <f t="shared" si="10"/>
        <v>040011</v>
      </c>
      <c r="B328" s="6" t="s">
        <v>9</v>
      </c>
      <c r="C328" s="6" t="s">
        <v>21</v>
      </c>
      <c r="D328" s="6" t="str">
        <f>"512417804"</f>
        <v>512417804</v>
      </c>
      <c r="E328" s="7">
        <v>82.5</v>
      </c>
      <c r="F328" s="7">
        <v>75.5</v>
      </c>
      <c r="G328" s="7"/>
      <c r="H328" s="7">
        <v>79.7</v>
      </c>
      <c r="XCW328" s="9"/>
      <c r="XCX328" s="9"/>
      <c r="XCY328" s="9"/>
      <c r="XCZ328" s="9"/>
      <c r="XDA328" s="9"/>
      <c r="XDB328" s="9"/>
      <c r="XDC328" s="9"/>
      <c r="XDD328" s="9"/>
      <c r="XDE328" s="9"/>
      <c r="XDF328" s="9"/>
      <c r="XDG328" s="9"/>
      <c r="XDH328" s="9"/>
      <c r="XDI328" s="9"/>
      <c r="XDJ328" s="9"/>
      <c r="XDK328" s="9"/>
      <c r="XDL328" s="9"/>
      <c r="XDM328" s="9"/>
      <c r="XDN328" s="9"/>
      <c r="XDO328" s="9"/>
      <c r="XDP328" s="9"/>
      <c r="XDQ328" s="9"/>
      <c r="XDR328" s="9"/>
      <c r="XDS328" s="9"/>
      <c r="XDT328" s="9"/>
      <c r="XDU328" s="9"/>
      <c r="XDV328" s="9"/>
      <c r="XDW328" s="9"/>
      <c r="XDX328" s="9"/>
      <c r="XDY328" s="9"/>
      <c r="XDZ328" s="9"/>
      <c r="XEA328" s="9"/>
      <c r="XEB328" s="9"/>
      <c r="XEC328" s="9"/>
      <c r="XED328" s="9"/>
      <c r="XEE328" s="9"/>
      <c r="XEF328" s="9"/>
      <c r="XEG328" s="9"/>
      <c r="XEH328" s="9"/>
      <c r="XEI328" s="9"/>
      <c r="XEJ328" s="9"/>
      <c r="XEK328" s="9"/>
      <c r="XEL328" s="9"/>
      <c r="XEM328" s="9"/>
      <c r="XEN328" s="9"/>
      <c r="XEO328" s="9"/>
      <c r="XEP328" s="9"/>
      <c r="XEQ328" s="9"/>
      <c r="XER328" s="9"/>
      <c r="XES328" s="9"/>
      <c r="XET328" s="9"/>
      <c r="XEU328" s="9"/>
      <c r="XEV328" s="9"/>
      <c r="XEW328" s="9"/>
      <c r="XEX328" s="9"/>
      <c r="XEY328" s="9"/>
      <c r="XEZ328" s="9"/>
      <c r="XFA328" s="9"/>
      <c r="XFB328" s="9"/>
      <c r="XFC328" s="9"/>
      <c r="XFD328" s="9"/>
    </row>
    <row r="329" spans="1:8 16325:16384" s="3" customFormat="1" ht="19.95" customHeight="1">
      <c r="A329" s="6" t="str">
        <f t="shared" si="10"/>
        <v>040011</v>
      </c>
      <c r="B329" s="6" t="s">
        <v>9</v>
      </c>
      <c r="C329" s="6" t="s">
        <v>21</v>
      </c>
      <c r="D329" s="6" t="str">
        <f>"512417726"</f>
        <v>512417726</v>
      </c>
      <c r="E329" s="7">
        <v>80.5</v>
      </c>
      <c r="F329" s="7">
        <v>66.5</v>
      </c>
      <c r="G329" s="7">
        <v>2</v>
      </c>
      <c r="H329" s="7">
        <v>76.900000000000006</v>
      </c>
      <c r="XCW329" s="9"/>
      <c r="XCX329" s="9"/>
      <c r="XCY329" s="9"/>
      <c r="XCZ329" s="9"/>
      <c r="XDA329" s="9"/>
      <c r="XDB329" s="9"/>
      <c r="XDC329" s="9"/>
      <c r="XDD329" s="9"/>
      <c r="XDE329" s="9"/>
      <c r="XDF329" s="9"/>
      <c r="XDG329" s="9"/>
      <c r="XDH329" s="9"/>
      <c r="XDI329" s="9"/>
      <c r="XDJ329" s="9"/>
      <c r="XDK329" s="9"/>
      <c r="XDL329" s="9"/>
      <c r="XDM329" s="9"/>
      <c r="XDN329" s="9"/>
      <c r="XDO329" s="9"/>
      <c r="XDP329" s="9"/>
      <c r="XDQ329" s="9"/>
      <c r="XDR329" s="9"/>
      <c r="XDS329" s="9"/>
      <c r="XDT329" s="9"/>
      <c r="XDU329" s="9"/>
      <c r="XDV329" s="9"/>
      <c r="XDW329" s="9"/>
      <c r="XDX329" s="9"/>
      <c r="XDY329" s="9"/>
      <c r="XDZ329" s="9"/>
      <c r="XEA329" s="9"/>
      <c r="XEB329" s="9"/>
      <c r="XEC329" s="9"/>
      <c r="XED329" s="9"/>
      <c r="XEE329" s="9"/>
      <c r="XEF329" s="9"/>
      <c r="XEG329" s="9"/>
      <c r="XEH329" s="9"/>
      <c r="XEI329" s="9"/>
      <c r="XEJ329" s="9"/>
      <c r="XEK329" s="9"/>
      <c r="XEL329" s="9"/>
      <c r="XEM329" s="9"/>
      <c r="XEN329" s="9"/>
      <c r="XEO329" s="9"/>
      <c r="XEP329" s="9"/>
      <c r="XEQ329" s="9"/>
      <c r="XER329" s="9"/>
      <c r="XES329" s="9"/>
      <c r="XET329" s="9"/>
      <c r="XEU329" s="9"/>
      <c r="XEV329" s="9"/>
      <c r="XEW329" s="9"/>
      <c r="XEX329" s="9"/>
      <c r="XEY329" s="9"/>
      <c r="XEZ329" s="9"/>
      <c r="XFA329" s="9"/>
      <c r="XFB329" s="9"/>
      <c r="XFC329" s="9"/>
      <c r="XFD329" s="9"/>
    </row>
    <row r="330" spans="1:8 16325:16384" s="3" customFormat="1" ht="19.95" customHeight="1">
      <c r="A330" s="6" t="str">
        <f t="shared" ref="A330:A366" si="11">"040012"</f>
        <v>040012</v>
      </c>
      <c r="B330" s="6" t="s">
        <v>22</v>
      </c>
      <c r="C330" s="6" t="s">
        <v>21</v>
      </c>
      <c r="D330" s="6" t="str">
        <f>"512523317"</f>
        <v>512523317</v>
      </c>
      <c r="E330" s="7">
        <v>99</v>
      </c>
      <c r="F330" s="7">
        <v>68.5</v>
      </c>
      <c r="G330" s="7"/>
      <c r="H330" s="7">
        <v>86.8</v>
      </c>
      <c r="XCW330" s="9"/>
      <c r="XCX330" s="9"/>
      <c r="XCY330" s="9"/>
      <c r="XCZ330" s="9"/>
      <c r="XDA330" s="9"/>
      <c r="XDB330" s="9"/>
      <c r="XDC330" s="9"/>
      <c r="XDD330" s="9"/>
      <c r="XDE330" s="9"/>
      <c r="XDF330" s="9"/>
      <c r="XDG330" s="9"/>
      <c r="XDH330" s="9"/>
      <c r="XDI330" s="9"/>
      <c r="XDJ330" s="9"/>
      <c r="XDK330" s="9"/>
      <c r="XDL330" s="9"/>
      <c r="XDM330" s="9"/>
      <c r="XDN330" s="9"/>
      <c r="XDO330" s="9"/>
      <c r="XDP330" s="9"/>
      <c r="XDQ330" s="9"/>
      <c r="XDR330" s="9"/>
      <c r="XDS330" s="9"/>
      <c r="XDT330" s="9"/>
      <c r="XDU330" s="9"/>
      <c r="XDV330" s="9"/>
      <c r="XDW330" s="9"/>
      <c r="XDX330" s="9"/>
      <c r="XDY330" s="9"/>
      <c r="XDZ330" s="9"/>
      <c r="XEA330" s="9"/>
      <c r="XEB330" s="9"/>
      <c r="XEC330" s="9"/>
      <c r="XED330" s="9"/>
      <c r="XEE330" s="9"/>
      <c r="XEF330" s="9"/>
      <c r="XEG330" s="9"/>
      <c r="XEH330" s="9"/>
      <c r="XEI330" s="9"/>
      <c r="XEJ330" s="9"/>
      <c r="XEK330" s="9"/>
      <c r="XEL330" s="9"/>
      <c r="XEM330" s="9"/>
      <c r="XEN330" s="9"/>
      <c r="XEO330" s="9"/>
      <c r="XEP330" s="9"/>
      <c r="XEQ330" s="9"/>
      <c r="XER330" s="9"/>
      <c r="XES330" s="9"/>
      <c r="XET330" s="9"/>
      <c r="XEU330" s="9"/>
      <c r="XEV330" s="9"/>
      <c r="XEW330" s="9"/>
      <c r="XEX330" s="9"/>
      <c r="XEY330" s="9"/>
      <c r="XEZ330" s="9"/>
      <c r="XFA330" s="9"/>
      <c r="XFB330" s="9"/>
      <c r="XFC330" s="9"/>
      <c r="XFD330" s="9"/>
    </row>
    <row r="331" spans="1:8 16325:16384" s="3" customFormat="1" ht="19.95" customHeight="1">
      <c r="A331" s="6" t="str">
        <f t="shared" si="11"/>
        <v>040012</v>
      </c>
      <c r="B331" s="6" t="s">
        <v>22</v>
      </c>
      <c r="C331" s="6" t="s">
        <v>21</v>
      </c>
      <c r="D331" s="6" t="str">
        <f>"512523328"</f>
        <v>512523328</v>
      </c>
      <c r="E331" s="7">
        <v>59</v>
      </c>
      <c r="F331" s="7">
        <v>67</v>
      </c>
      <c r="G331" s="7"/>
      <c r="H331" s="7">
        <v>62.2</v>
      </c>
      <c r="XCW331" s="9"/>
      <c r="XCX331" s="9"/>
      <c r="XCY331" s="9"/>
      <c r="XCZ331" s="9"/>
      <c r="XDA331" s="9"/>
      <c r="XDB331" s="9"/>
      <c r="XDC331" s="9"/>
      <c r="XDD331" s="9"/>
      <c r="XDE331" s="9"/>
      <c r="XDF331" s="9"/>
      <c r="XDG331" s="9"/>
      <c r="XDH331" s="9"/>
      <c r="XDI331" s="9"/>
      <c r="XDJ331" s="9"/>
      <c r="XDK331" s="9"/>
      <c r="XDL331" s="9"/>
      <c r="XDM331" s="9"/>
      <c r="XDN331" s="9"/>
      <c r="XDO331" s="9"/>
      <c r="XDP331" s="9"/>
      <c r="XDQ331" s="9"/>
      <c r="XDR331" s="9"/>
      <c r="XDS331" s="9"/>
      <c r="XDT331" s="9"/>
      <c r="XDU331" s="9"/>
      <c r="XDV331" s="9"/>
      <c r="XDW331" s="9"/>
      <c r="XDX331" s="9"/>
      <c r="XDY331" s="9"/>
      <c r="XDZ331" s="9"/>
      <c r="XEA331" s="9"/>
      <c r="XEB331" s="9"/>
      <c r="XEC331" s="9"/>
      <c r="XED331" s="9"/>
      <c r="XEE331" s="9"/>
      <c r="XEF331" s="9"/>
      <c r="XEG331" s="9"/>
      <c r="XEH331" s="9"/>
      <c r="XEI331" s="9"/>
      <c r="XEJ331" s="9"/>
      <c r="XEK331" s="9"/>
      <c r="XEL331" s="9"/>
      <c r="XEM331" s="9"/>
      <c r="XEN331" s="9"/>
      <c r="XEO331" s="9"/>
      <c r="XEP331" s="9"/>
      <c r="XEQ331" s="9"/>
      <c r="XER331" s="9"/>
      <c r="XES331" s="9"/>
      <c r="XET331" s="9"/>
      <c r="XEU331" s="9"/>
      <c r="XEV331" s="9"/>
      <c r="XEW331" s="9"/>
      <c r="XEX331" s="9"/>
      <c r="XEY331" s="9"/>
      <c r="XEZ331" s="9"/>
      <c r="XFA331" s="9"/>
      <c r="XFB331" s="9"/>
      <c r="XFC331" s="9"/>
      <c r="XFD331" s="9"/>
    </row>
    <row r="332" spans="1:8 16325:16384" s="3" customFormat="1" ht="19.95" customHeight="1">
      <c r="A332" s="6" t="str">
        <f t="shared" si="11"/>
        <v>040012</v>
      </c>
      <c r="B332" s="6" t="s">
        <v>22</v>
      </c>
      <c r="C332" s="6" t="s">
        <v>21</v>
      </c>
      <c r="D332" s="6" t="str">
        <f>"512523313"</f>
        <v>512523313</v>
      </c>
      <c r="E332" s="7">
        <v>59</v>
      </c>
      <c r="F332" s="7">
        <v>69.5</v>
      </c>
      <c r="G332" s="7"/>
      <c r="H332" s="7">
        <v>63.2</v>
      </c>
      <c r="XCW332" s="9"/>
      <c r="XCX332" s="9"/>
      <c r="XCY332" s="9"/>
      <c r="XCZ332" s="9"/>
      <c r="XDA332" s="9"/>
      <c r="XDB332" s="9"/>
      <c r="XDC332" s="9"/>
      <c r="XDD332" s="9"/>
      <c r="XDE332" s="9"/>
      <c r="XDF332" s="9"/>
      <c r="XDG332" s="9"/>
      <c r="XDH332" s="9"/>
      <c r="XDI332" s="9"/>
      <c r="XDJ332" s="9"/>
      <c r="XDK332" s="9"/>
      <c r="XDL332" s="9"/>
      <c r="XDM332" s="9"/>
      <c r="XDN332" s="9"/>
      <c r="XDO332" s="9"/>
      <c r="XDP332" s="9"/>
      <c r="XDQ332" s="9"/>
      <c r="XDR332" s="9"/>
      <c r="XDS332" s="9"/>
      <c r="XDT332" s="9"/>
      <c r="XDU332" s="9"/>
      <c r="XDV332" s="9"/>
      <c r="XDW332" s="9"/>
      <c r="XDX332" s="9"/>
      <c r="XDY332" s="9"/>
      <c r="XDZ332" s="9"/>
      <c r="XEA332" s="9"/>
      <c r="XEB332" s="9"/>
      <c r="XEC332" s="9"/>
      <c r="XED332" s="9"/>
      <c r="XEE332" s="9"/>
      <c r="XEF332" s="9"/>
      <c r="XEG332" s="9"/>
      <c r="XEH332" s="9"/>
      <c r="XEI332" s="9"/>
      <c r="XEJ332" s="9"/>
      <c r="XEK332" s="9"/>
      <c r="XEL332" s="9"/>
      <c r="XEM332" s="9"/>
      <c r="XEN332" s="9"/>
      <c r="XEO332" s="9"/>
      <c r="XEP332" s="9"/>
      <c r="XEQ332" s="9"/>
      <c r="XER332" s="9"/>
      <c r="XES332" s="9"/>
      <c r="XET332" s="9"/>
      <c r="XEU332" s="9"/>
      <c r="XEV332" s="9"/>
      <c r="XEW332" s="9"/>
      <c r="XEX332" s="9"/>
      <c r="XEY332" s="9"/>
      <c r="XEZ332" s="9"/>
      <c r="XFA332" s="9"/>
      <c r="XFB332" s="9"/>
      <c r="XFC332" s="9"/>
      <c r="XFD332" s="9"/>
    </row>
    <row r="333" spans="1:8 16325:16384" s="3" customFormat="1" ht="19.95" customHeight="1">
      <c r="A333" s="6" t="str">
        <f t="shared" si="11"/>
        <v>040012</v>
      </c>
      <c r="B333" s="6" t="s">
        <v>22</v>
      </c>
      <c r="C333" s="6" t="s">
        <v>21</v>
      </c>
      <c r="D333" s="6" t="str">
        <f>"512523314"</f>
        <v>512523314</v>
      </c>
      <c r="E333" s="7">
        <v>86.5</v>
      </c>
      <c r="F333" s="7">
        <v>72.5</v>
      </c>
      <c r="G333" s="7"/>
      <c r="H333" s="7">
        <v>80.900000000000006</v>
      </c>
      <c r="XCW333" s="9"/>
      <c r="XCX333" s="9"/>
      <c r="XCY333" s="9"/>
      <c r="XCZ333" s="9"/>
      <c r="XDA333" s="9"/>
      <c r="XDB333" s="9"/>
      <c r="XDC333" s="9"/>
      <c r="XDD333" s="9"/>
      <c r="XDE333" s="9"/>
      <c r="XDF333" s="9"/>
      <c r="XDG333" s="9"/>
      <c r="XDH333" s="9"/>
      <c r="XDI333" s="9"/>
      <c r="XDJ333" s="9"/>
      <c r="XDK333" s="9"/>
      <c r="XDL333" s="9"/>
      <c r="XDM333" s="9"/>
      <c r="XDN333" s="9"/>
      <c r="XDO333" s="9"/>
      <c r="XDP333" s="9"/>
      <c r="XDQ333" s="9"/>
      <c r="XDR333" s="9"/>
      <c r="XDS333" s="9"/>
      <c r="XDT333" s="9"/>
      <c r="XDU333" s="9"/>
      <c r="XDV333" s="9"/>
      <c r="XDW333" s="9"/>
      <c r="XDX333" s="9"/>
      <c r="XDY333" s="9"/>
      <c r="XDZ333" s="9"/>
      <c r="XEA333" s="9"/>
      <c r="XEB333" s="9"/>
      <c r="XEC333" s="9"/>
      <c r="XED333" s="9"/>
      <c r="XEE333" s="9"/>
      <c r="XEF333" s="9"/>
      <c r="XEG333" s="9"/>
      <c r="XEH333" s="9"/>
      <c r="XEI333" s="9"/>
      <c r="XEJ333" s="9"/>
      <c r="XEK333" s="9"/>
      <c r="XEL333" s="9"/>
      <c r="XEM333" s="9"/>
      <c r="XEN333" s="9"/>
      <c r="XEO333" s="9"/>
      <c r="XEP333" s="9"/>
      <c r="XEQ333" s="9"/>
      <c r="XER333" s="9"/>
      <c r="XES333" s="9"/>
      <c r="XET333" s="9"/>
      <c r="XEU333" s="9"/>
      <c r="XEV333" s="9"/>
      <c r="XEW333" s="9"/>
      <c r="XEX333" s="9"/>
      <c r="XEY333" s="9"/>
      <c r="XEZ333" s="9"/>
      <c r="XFA333" s="9"/>
      <c r="XFB333" s="9"/>
      <c r="XFC333" s="9"/>
      <c r="XFD333" s="9"/>
    </row>
    <row r="334" spans="1:8 16325:16384" s="3" customFormat="1" ht="19.95" customHeight="1">
      <c r="A334" s="6" t="str">
        <f t="shared" si="11"/>
        <v>040012</v>
      </c>
      <c r="B334" s="6" t="s">
        <v>22</v>
      </c>
      <c r="C334" s="6" t="s">
        <v>21</v>
      </c>
      <c r="D334" s="6" t="str">
        <f>"512523320"</f>
        <v>512523320</v>
      </c>
      <c r="E334" s="7">
        <v>84</v>
      </c>
      <c r="F334" s="7">
        <v>57.5</v>
      </c>
      <c r="G334" s="7"/>
      <c r="H334" s="7">
        <v>73.400000000000006</v>
      </c>
      <c r="XCW334" s="9"/>
      <c r="XCX334" s="9"/>
      <c r="XCY334" s="9"/>
      <c r="XCZ334" s="9"/>
      <c r="XDA334" s="9"/>
      <c r="XDB334" s="9"/>
      <c r="XDC334" s="9"/>
      <c r="XDD334" s="9"/>
      <c r="XDE334" s="9"/>
      <c r="XDF334" s="9"/>
      <c r="XDG334" s="9"/>
      <c r="XDH334" s="9"/>
      <c r="XDI334" s="9"/>
      <c r="XDJ334" s="9"/>
      <c r="XDK334" s="9"/>
      <c r="XDL334" s="9"/>
      <c r="XDM334" s="9"/>
      <c r="XDN334" s="9"/>
      <c r="XDO334" s="9"/>
      <c r="XDP334" s="9"/>
      <c r="XDQ334" s="9"/>
      <c r="XDR334" s="9"/>
      <c r="XDS334" s="9"/>
      <c r="XDT334" s="9"/>
      <c r="XDU334" s="9"/>
      <c r="XDV334" s="9"/>
      <c r="XDW334" s="9"/>
      <c r="XDX334" s="9"/>
      <c r="XDY334" s="9"/>
      <c r="XDZ334" s="9"/>
      <c r="XEA334" s="9"/>
      <c r="XEB334" s="9"/>
      <c r="XEC334" s="9"/>
      <c r="XED334" s="9"/>
      <c r="XEE334" s="9"/>
      <c r="XEF334" s="9"/>
      <c r="XEG334" s="9"/>
      <c r="XEH334" s="9"/>
      <c r="XEI334" s="9"/>
      <c r="XEJ334" s="9"/>
      <c r="XEK334" s="9"/>
      <c r="XEL334" s="9"/>
      <c r="XEM334" s="9"/>
      <c r="XEN334" s="9"/>
      <c r="XEO334" s="9"/>
      <c r="XEP334" s="9"/>
      <c r="XEQ334" s="9"/>
      <c r="XER334" s="9"/>
      <c r="XES334" s="9"/>
      <c r="XET334" s="9"/>
      <c r="XEU334" s="9"/>
      <c r="XEV334" s="9"/>
      <c r="XEW334" s="9"/>
      <c r="XEX334" s="9"/>
      <c r="XEY334" s="9"/>
      <c r="XEZ334" s="9"/>
      <c r="XFA334" s="9"/>
      <c r="XFB334" s="9"/>
      <c r="XFC334" s="9"/>
      <c r="XFD334" s="9"/>
    </row>
    <row r="335" spans="1:8 16325:16384" s="3" customFormat="1" ht="19.95" customHeight="1">
      <c r="A335" s="6" t="str">
        <f t="shared" si="11"/>
        <v>040012</v>
      </c>
      <c r="B335" s="6" t="s">
        <v>22</v>
      </c>
      <c r="C335" s="6" t="s">
        <v>21</v>
      </c>
      <c r="D335" s="6" t="str">
        <f>"512523323"</f>
        <v>512523323</v>
      </c>
      <c r="E335" s="7">
        <v>59</v>
      </c>
      <c r="F335" s="7">
        <v>64</v>
      </c>
      <c r="G335" s="7"/>
      <c r="H335" s="7">
        <v>61</v>
      </c>
      <c r="XCW335" s="9"/>
      <c r="XCX335" s="9"/>
      <c r="XCY335" s="9"/>
      <c r="XCZ335" s="9"/>
      <c r="XDA335" s="9"/>
      <c r="XDB335" s="9"/>
      <c r="XDC335" s="9"/>
      <c r="XDD335" s="9"/>
      <c r="XDE335" s="9"/>
      <c r="XDF335" s="9"/>
      <c r="XDG335" s="9"/>
      <c r="XDH335" s="9"/>
      <c r="XDI335" s="9"/>
      <c r="XDJ335" s="9"/>
      <c r="XDK335" s="9"/>
      <c r="XDL335" s="9"/>
      <c r="XDM335" s="9"/>
      <c r="XDN335" s="9"/>
      <c r="XDO335" s="9"/>
      <c r="XDP335" s="9"/>
      <c r="XDQ335" s="9"/>
      <c r="XDR335" s="9"/>
      <c r="XDS335" s="9"/>
      <c r="XDT335" s="9"/>
      <c r="XDU335" s="9"/>
      <c r="XDV335" s="9"/>
      <c r="XDW335" s="9"/>
      <c r="XDX335" s="9"/>
      <c r="XDY335" s="9"/>
      <c r="XDZ335" s="9"/>
      <c r="XEA335" s="9"/>
      <c r="XEB335" s="9"/>
      <c r="XEC335" s="9"/>
      <c r="XED335" s="9"/>
      <c r="XEE335" s="9"/>
      <c r="XEF335" s="9"/>
      <c r="XEG335" s="9"/>
      <c r="XEH335" s="9"/>
      <c r="XEI335" s="9"/>
      <c r="XEJ335" s="9"/>
      <c r="XEK335" s="9"/>
      <c r="XEL335" s="9"/>
      <c r="XEM335" s="9"/>
      <c r="XEN335" s="9"/>
      <c r="XEO335" s="9"/>
      <c r="XEP335" s="9"/>
      <c r="XEQ335" s="9"/>
      <c r="XER335" s="9"/>
      <c r="XES335" s="9"/>
      <c r="XET335" s="9"/>
      <c r="XEU335" s="9"/>
      <c r="XEV335" s="9"/>
      <c r="XEW335" s="9"/>
      <c r="XEX335" s="9"/>
      <c r="XEY335" s="9"/>
      <c r="XEZ335" s="9"/>
      <c r="XFA335" s="9"/>
      <c r="XFB335" s="9"/>
      <c r="XFC335" s="9"/>
      <c r="XFD335" s="9"/>
    </row>
    <row r="336" spans="1:8 16325:16384" s="3" customFormat="1" ht="19.95" customHeight="1">
      <c r="A336" s="6" t="str">
        <f t="shared" si="11"/>
        <v>040012</v>
      </c>
      <c r="B336" s="6" t="s">
        <v>22</v>
      </c>
      <c r="C336" s="6" t="s">
        <v>21</v>
      </c>
      <c r="D336" s="6" t="str">
        <f>"512523327"</f>
        <v>512523327</v>
      </c>
      <c r="E336" s="7">
        <v>80.5</v>
      </c>
      <c r="F336" s="7">
        <v>62.5</v>
      </c>
      <c r="G336" s="7"/>
      <c r="H336" s="7">
        <v>73.3</v>
      </c>
      <c r="XCW336" s="9"/>
      <c r="XCX336" s="9"/>
      <c r="XCY336" s="9"/>
      <c r="XCZ336" s="9"/>
      <c r="XDA336" s="9"/>
      <c r="XDB336" s="9"/>
      <c r="XDC336" s="9"/>
      <c r="XDD336" s="9"/>
      <c r="XDE336" s="9"/>
      <c r="XDF336" s="9"/>
      <c r="XDG336" s="9"/>
      <c r="XDH336" s="9"/>
      <c r="XDI336" s="9"/>
      <c r="XDJ336" s="9"/>
      <c r="XDK336" s="9"/>
      <c r="XDL336" s="9"/>
      <c r="XDM336" s="9"/>
      <c r="XDN336" s="9"/>
      <c r="XDO336" s="9"/>
      <c r="XDP336" s="9"/>
      <c r="XDQ336" s="9"/>
      <c r="XDR336" s="9"/>
      <c r="XDS336" s="9"/>
      <c r="XDT336" s="9"/>
      <c r="XDU336" s="9"/>
      <c r="XDV336" s="9"/>
      <c r="XDW336" s="9"/>
      <c r="XDX336" s="9"/>
      <c r="XDY336" s="9"/>
      <c r="XDZ336" s="9"/>
      <c r="XEA336" s="9"/>
      <c r="XEB336" s="9"/>
      <c r="XEC336" s="9"/>
      <c r="XED336" s="9"/>
      <c r="XEE336" s="9"/>
      <c r="XEF336" s="9"/>
      <c r="XEG336" s="9"/>
      <c r="XEH336" s="9"/>
      <c r="XEI336" s="9"/>
      <c r="XEJ336" s="9"/>
      <c r="XEK336" s="9"/>
      <c r="XEL336" s="9"/>
      <c r="XEM336" s="9"/>
      <c r="XEN336" s="9"/>
      <c r="XEO336" s="9"/>
      <c r="XEP336" s="9"/>
      <c r="XEQ336" s="9"/>
      <c r="XER336" s="9"/>
      <c r="XES336" s="9"/>
      <c r="XET336" s="9"/>
      <c r="XEU336" s="9"/>
      <c r="XEV336" s="9"/>
      <c r="XEW336" s="9"/>
      <c r="XEX336" s="9"/>
      <c r="XEY336" s="9"/>
      <c r="XEZ336" s="9"/>
      <c r="XFA336" s="9"/>
      <c r="XFB336" s="9"/>
      <c r="XFC336" s="9"/>
      <c r="XFD336" s="9"/>
    </row>
    <row r="337" spans="1:8 16325:16384" s="3" customFormat="1" ht="19.95" customHeight="1">
      <c r="A337" s="6" t="str">
        <f t="shared" si="11"/>
        <v>040012</v>
      </c>
      <c r="B337" s="6" t="s">
        <v>22</v>
      </c>
      <c r="C337" s="6" t="s">
        <v>21</v>
      </c>
      <c r="D337" s="6" t="str">
        <f>"512523310"</f>
        <v>512523310</v>
      </c>
      <c r="E337" s="7">
        <v>0</v>
      </c>
      <c r="F337" s="7">
        <v>0</v>
      </c>
      <c r="G337" s="7"/>
      <c r="H337" s="7">
        <v>0</v>
      </c>
      <c r="XCW337" s="9"/>
      <c r="XCX337" s="9"/>
      <c r="XCY337" s="9"/>
      <c r="XCZ337" s="9"/>
      <c r="XDA337" s="9"/>
      <c r="XDB337" s="9"/>
      <c r="XDC337" s="9"/>
      <c r="XDD337" s="9"/>
      <c r="XDE337" s="9"/>
      <c r="XDF337" s="9"/>
      <c r="XDG337" s="9"/>
      <c r="XDH337" s="9"/>
      <c r="XDI337" s="9"/>
      <c r="XDJ337" s="9"/>
      <c r="XDK337" s="9"/>
      <c r="XDL337" s="9"/>
      <c r="XDM337" s="9"/>
      <c r="XDN337" s="9"/>
      <c r="XDO337" s="9"/>
      <c r="XDP337" s="9"/>
      <c r="XDQ337" s="9"/>
      <c r="XDR337" s="9"/>
      <c r="XDS337" s="9"/>
      <c r="XDT337" s="9"/>
      <c r="XDU337" s="9"/>
      <c r="XDV337" s="9"/>
      <c r="XDW337" s="9"/>
      <c r="XDX337" s="9"/>
      <c r="XDY337" s="9"/>
      <c r="XDZ337" s="9"/>
      <c r="XEA337" s="9"/>
      <c r="XEB337" s="9"/>
      <c r="XEC337" s="9"/>
      <c r="XED337" s="9"/>
      <c r="XEE337" s="9"/>
      <c r="XEF337" s="9"/>
      <c r="XEG337" s="9"/>
      <c r="XEH337" s="9"/>
      <c r="XEI337" s="9"/>
      <c r="XEJ337" s="9"/>
      <c r="XEK337" s="9"/>
      <c r="XEL337" s="9"/>
      <c r="XEM337" s="9"/>
      <c r="XEN337" s="9"/>
      <c r="XEO337" s="9"/>
      <c r="XEP337" s="9"/>
      <c r="XEQ337" s="9"/>
      <c r="XER337" s="9"/>
      <c r="XES337" s="9"/>
      <c r="XET337" s="9"/>
      <c r="XEU337" s="9"/>
      <c r="XEV337" s="9"/>
      <c r="XEW337" s="9"/>
      <c r="XEX337" s="9"/>
      <c r="XEY337" s="9"/>
      <c r="XEZ337" s="9"/>
      <c r="XFA337" s="9"/>
      <c r="XFB337" s="9"/>
      <c r="XFC337" s="9"/>
      <c r="XFD337" s="9"/>
    </row>
    <row r="338" spans="1:8 16325:16384" s="3" customFormat="1" ht="19.95" customHeight="1">
      <c r="A338" s="6" t="str">
        <f t="shared" si="11"/>
        <v>040012</v>
      </c>
      <c r="B338" s="6" t="s">
        <v>22</v>
      </c>
      <c r="C338" s="6" t="s">
        <v>21</v>
      </c>
      <c r="D338" s="6" t="str">
        <f>"512523309"</f>
        <v>512523309</v>
      </c>
      <c r="E338" s="7">
        <v>91.5</v>
      </c>
      <c r="F338" s="7">
        <v>76</v>
      </c>
      <c r="G338" s="7"/>
      <c r="H338" s="7">
        <v>85.3</v>
      </c>
      <c r="XCW338" s="9"/>
      <c r="XCX338" s="9"/>
      <c r="XCY338" s="9"/>
      <c r="XCZ338" s="9"/>
      <c r="XDA338" s="9"/>
      <c r="XDB338" s="9"/>
      <c r="XDC338" s="9"/>
      <c r="XDD338" s="9"/>
      <c r="XDE338" s="9"/>
      <c r="XDF338" s="9"/>
      <c r="XDG338" s="9"/>
      <c r="XDH338" s="9"/>
      <c r="XDI338" s="9"/>
      <c r="XDJ338" s="9"/>
      <c r="XDK338" s="9"/>
      <c r="XDL338" s="9"/>
      <c r="XDM338" s="9"/>
      <c r="XDN338" s="9"/>
      <c r="XDO338" s="9"/>
      <c r="XDP338" s="9"/>
      <c r="XDQ338" s="9"/>
      <c r="XDR338" s="9"/>
      <c r="XDS338" s="9"/>
      <c r="XDT338" s="9"/>
      <c r="XDU338" s="9"/>
      <c r="XDV338" s="9"/>
      <c r="XDW338" s="9"/>
      <c r="XDX338" s="9"/>
      <c r="XDY338" s="9"/>
      <c r="XDZ338" s="9"/>
      <c r="XEA338" s="9"/>
      <c r="XEB338" s="9"/>
      <c r="XEC338" s="9"/>
      <c r="XED338" s="9"/>
      <c r="XEE338" s="9"/>
      <c r="XEF338" s="9"/>
      <c r="XEG338" s="9"/>
      <c r="XEH338" s="9"/>
      <c r="XEI338" s="9"/>
      <c r="XEJ338" s="9"/>
      <c r="XEK338" s="9"/>
      <c r="XEL338" s="9"/>
      <c r="XEM338" s="9"/>
      <c r="XEN338" s="9"/>
      <c r="XEO338" s="9"/>
      <c r="XEP338" s="9"/>
      <c r="XEQ338" s="9"/>
      <c r="XER338" s="9"/>
      <c r="XES338" s="9"/>
      <c r="XET338" s="9"/>
      <c r="XEU338" s="9"/>
      <c r="XEV338" s="9"/>
      <c r="XEW338" s="9"/>
      <c r="XEX338" s="9"/>
      <c r="XEY338" s="9"/>
      <c r="XEZ338" s="9"/>
      <c r="XFA338" s="9"/>
      <c r="XFB338" s="9"/>
      <c r="XFC338" s="9"/>
      <c r="XFD338" s="9"/>
    </row>
    <row r="339" spans="1:8 16325:16384" s="3" customFormat="1" ht="19.95" customHeight="1">
      <c r="A339" s="6" t="str">
        <f t="shared" si="11"/>
        <v>040012</v>
      </c>
      <c r="B339" s="6" t="s">
        <v>22</v>
      </c>
      <c r="C339" s="6" t="s">
        <v>21</v>
      </c>
      <c r="D339" s="6" t="str">
        <f>"512523405"</f>
        <v>512523405</v>
      </c>
      <c r="E339" s="7">
        <v>0</v>
      </c>
      <c r="F339" s="7">
        <v>0</v>
      </c>
      <c r="G339" s="7"/>
      <c r="H339" s="7">
        <v>0</v>
      </c>
      <c r="XCW339" s="9"/>
      <c r="XCX339" s="9"/>
      <c r="XCY339" s="9"/>
      <c r="XCZ339" s="9"/>
      <c r="XDA339" s="9"/>
      <c r="XDB339" s="9"/>
      <c r="XDC339" s="9"/>
      <c r="XDD339" s="9"/>
      <c r="XDE339" s="9"/>
      <c r="XDF339" s="9"/>
      <c r="XDG339" s="9"/>
      <c r="XDH339" s="9"/>
      <c r="XDI339" s="9"/>
      <c r="XDJ339" s="9"/>
      <c r="XDK339" s="9"/>
      <c r="XDL339" s="9"/>
      <c r="XDM339" s="9"/>
      <c r="XDN339" s="9"/>
      <c r="XDO339" s="9"/>
      <c r="XDP339" s="9"/>
      <c r="XDQ339" s="9"/>
      <c r="XDR339" s="9"/>
      <c r="XDS339" s="9"/>
      <c r="XDT339" s="9"/>
      <c r="XDU339" s="9"/>
      <c r="XDV339" s="9"/>
      <c r="XDW339" s="9"/>
      <c r="XDX339" s="9"/>
      <c r="XDY339" s="9"/>
      <c r="XDZ339" s="9"/>
      <c r="XEA339" s="9"/>
      <c r="XEB339" s="9"/>
      <c r="XEC339" s="9"/>
      <c r="XED339" s="9"/>
      <c r="XEE339" s="9"/>
      <c r="XEF339" s="9"/>
      <c r="XEG339" s="9"/>
      <c r="XEH339" s="9"/>
      <c r="XEI339" s="9"/>
      <c r="XEJ339" s="9"/>
      <c r="XEK339" s="9"/>
      <c r="XEL339" s="9"/>
      <c r="XEM339" s="9"/>
      <c r="XEN339" s="9"/>
      <c r="XEO339" s="9"/>
      <c r="XEP339" s="9"/>
      <c r="XEQ339" s="9"/>
      <c r="XER339" s="9"/>
      <c r="XES339" s="9"/>
      <c r="XET339" s="9"/>
      <c r="XEU339" s="9"/>
      <c r="XEV339" s="9"/>
      <c r="XEW339" s="9"/>
      <c r="XEX339" s="9"/>
      <c r="XEY339" s="9"/>
      <c r="XEZ339" s="9"/>
      <c r="XFA339" s="9"/>
      <c r="XFB339" s="9"/>
      <c r="XFC339" s="9"/>
      <c r="XFD339" s="9"/>
    </row>
    <row r="340" spans="1:8 16325:16384" s="3" customFormat="1" ht="19.95" customHeight="1">
      <c r="A340" s="6" t="str">
        <f t="shared" si="11"/>
        <v>040012</v>
      </c>
      <c r="B340" s="6" t="s">
        <v>22</v>
      </c>
      <c r="C340" s="6" t="s">
        <v>21</v>
      </c>
      <c r="D340" s="6" t="str">
        <f>"512523407"</f>
        <v>512523407</v>
      </c>
      <c r="E340" s="7">
        <v>83.5</v>
      </c>
      <c r="F340" s="7">
        <v>69.5</v>
      </c>
      <c r="G340" s="7"/>
      <c r="H340" s="7">
        <v>77.900000000000006</v>
      </c>
      <c r="XCW340" s="9"/>
      <c r="XCX340" s="9"/>
      <c r="XCY340" s="9"/>
      <c r="XCZ340" s="9"/>
      <c r="XDA340" s="9"/>
      <c r="XDB340" s="9"/>
      <c r="XDC340" s="9"/>
      <c r="XDD340" s="9"/>
      <c r="XDE340" s="9"/>
      <c r="XDF340" s="9"/>
      <c r="XDG340" s="9"/>
      <c r="XDH340" s="9"/>
      <c r="XDI340" s="9"/>
      <c r="XDJ340" s="9"/>
      <c r="XDK340" s="9"/>
      <c r="XDL340" s="9"/>
      <c r="XDM340" s="9"/>
      <c r="XDN340" s="9"/>
      <c r="XDO340" s="9"/>
      <c r="XDP340" s="9"/>
      <c r="XDQ340" s="9"/>
      <c r="XDR340" s="9"/>
      <c r="XDS340" s="9"/>
      <c r="XDT340" s="9"/>
      <c r="XDU340" s="9"/>
      <c r="XDV340" s="9"/>
      <c r="XDW340" s="9"/>
      <c r="XDX340" s="9"/>
      <c r="XDY340" s="9"/>
      <c r="XDZ340" s="9"/>
      <c r="XEA340" s="9"/>
      <c r="XEB340" s="9"/>
      <c r="XEC340" s="9"/>
      <c r="XED340" s="9"/>
      <c r="XEE340" s="9"/>
      <c r="XEF340" s="9"/>
      <c r="XEG340" s="9"/>
      <c r="XEH340" s="9"/>
      <c r="XEI340" s="9"/>
      <c r="XEJ340" s="9"/>
      <c r="XEK340" s="9"/>
      <c r="XEL340" s="9"/>
      <c r="XEM340" s="9"/>
      <c r="XEN340" s="9"/>
      <c r="XEO340" s="9"/>
      <c r="XEP340" s="9"/>
      <c r="XEQ340" s="9"/>
      <c r="XER340" s="9"/>
      <c r="XES340" s="9"/>
      <c r="XET340" s="9"/>
      <c r="XEU340" s="9"/>
      <c r="XEV340" s="9"/>
      <c r="XEW340" s="9"/>
      <c r="XEX340" s="9"/>
      <c r="XEY340" s="9"/>
      <c r="XEZ340" s="9"/>
      <c r="XFA340" s="9"/>
      <c r="XFB340" s="9"/>
      <c r="XFC340" s="9"/>
      <c r="XFD340" s="9"/>
    </row>
    <row r="341" spans="1:8 16325:16384" s="3" customFormat="1" ht="19.95" customHeight="1">
      <c r="A341" s="6" t="str">
        <f t="shared" si="11"/>
        <v>040012</v>
      </c>
      <c r="B341" s="6" t="s">
        <v>22</v>
      </c>
      <c r="C341" s="6" t="s">
        <v>21</v>
      </c>
      <c r="D341" s="6" t="str">
        <f>"512523315"</f>
        <v>512523315</v>
      </c>
      <c r="E341" s="7">
        <v>68.5</v>
      </c>
      <c r="F341" s="7">
        <v>76</v>
      </c>
      <c r="G341" s="7"/>
      <c r="H341" s="7">
        <v>71.5</v>
      </c>
      <c r="XCW341" s="9"/>
      <c r="XCX341" s="9"/>
      <c r="XCY341" s="9"/>
      <c r="XCZ341" s="9"/>
      <c r="XDA341" s="9"/>
      <c r="XDB341" s="9"/>
      <c r="XDC341" s="9"/>
      <c r="XDD341" s="9"/>
      <c r="XDE341" s="9"/>
      <c r="XDF341" s="9"/>
      <c r="XDG341" s="9"/>
      <c r="XDH341" s="9"/>
      <c r="XDI341" s="9"/>
      <c r="XDJ341" s="9"/>
      <c r="XDK341" s="9"/>
      <c r="XDL341" s="9"/>
      <c r="XDM341" s="9"/>
      <c r="XDN341" s="9"/>
      <c r="XDO341" s="9"/>
      <c r="XDP341" s="9"/>
      <c r="XDQ341" s="9"/>
      <c r="XDR341" s="9"/>
      <c r="XDS341" s="9"/>
      <c r="XDT341" s="9"/>
      <c r="XDU341" s="9"/>
      <c r="XDV341" s="9"/>
      <c r="XDW341" s="9"/>
      <c r="XDX341" s="9"/>
      <c r="XDY341" s="9"/>
      <c r="XDZ341" s="9"/>
      <c r="XEA341" s="9"/>
      <c r="XEB341" s="9"/>
      <c r="XEC341" s="9"/>
      <c r="XED341" s="9"/>
      <c r="XEE341" s="9"/>
      <c r="XEF341" s="9"/>
      <c r="XEG341" s="9"/>
      <c r="XEH341" s="9"/>
      <c r="XEI341" s="9"/>
      <c r="XEJ341" s="9"/>
      <c r="XEK341" s="9"/>
      <c r="XEL341" s="9"/>
      <c r="XEM341" s="9"/>
      <c r="XEN341" s="9"/>
      <c r="XEO341" s="9"/>
      <c r="XEP341" s="9"/>
      <c r="XEQ341" s="9"/>
      <c r="XER341" s="9"/>
      <c r="XES341" s="9"/>
      <c r="XET341" s="9"/>
      <c r="XEU341" s="9"/>
      <c r="XEV341" s="9"/>
      <c r="XEW341" s="9"/>
      <c r="XEX341" s="9"/>
      <c r="XEY341" s="9"/>
      <c r="XEZ341" s="9"/>
      <c r="XFA341" s="9"/>
      <c r="XFB341" s="9"/>
      <c r="XFC341" s="9"/>
      <c r="XFD341" s="9"/>
    </row>
    <row r="342" spans="1:8 16325:16384" s="3" customFormat="1" ht="19.95" customHeight="1">
      <c r="A342" s="6" t="str">
        <f t="shared" si="11"/>
        <v>040012</v>
      </c>
      <c r="B342" s="6" t="s">
        <v>22</v>
      </c>
      <c r="C342" s="6" t="s">
        <v>21</v>
      </c>
      <c r="D342" s="6" t="str">
        <f>"512523321"</f>
        <v>512523321</v>
      </c>
      <c r="E342" s="7">
        <v>80</v>
      </c>
      <c r="F342" s="7">
        <v>73</v>
      </c>
      <c r="G342" s="7"/>
      <c r="H342" s="7">
        <v>77.2</v>
      </c>
      <c r="XCW342" s="9"/>
      <c r="XCX342" s="9"/>
      <c r="XCY342" s="9"/>
      <c r="XCZ342" s="9"/>
      <c r="XDA342" s="9"/>
      <c r="XDB342" s="9"/>
      <c r="XDC342" s="9"/>
      <c r="XDD342" s="9"/>
      <c r="XDE342" s="9"/>
      <c r="XDF342" s="9"/>
      <c r="XDG342" s="9"/>
      <c r="XDH342" s="9"/>
      <c r="XDI342" s="9"/>
      <c r="XDJ342" s="9"/>
      <c r="XDK342" s="9"/>
      <c r="XDL342" s="9"/>
      <c r="XDM342" s="9"/>
      <c r="XDN342" s="9"/>
      <c r="XDO342" s="9"/>
      <c r="XDP342" s="9"/>
      <c r="XDQ342" s="9"/>
      <c r="XDR342" s="9"/>
      <c r="XDS342" s="9"/>
      <c r="XDT342" s="9"/>
      <c r="XDU342" s="9"/>
      <c r="XDV342" s="9"/>
      <c r="XDW342" s="9"/>
      <c r="XDX342" s="9"/>
      <c r="XDY342" s="9"/>
      <c r="XDZ342" s="9"/>
      <c r="XEA342" s="9"/>
      <c r="XEB342" s="9"/>
      <c r="XEC342" s="9"/>
      <c r="XED342" s="9"/>
      <c r="XEE342" s="9"/>
      <c r="XEF342" s="9"/>
      <c r="XEG342" s="9"/>
      <c r="XEH342" s="9"/>
      <c r="XEI342" s="9"/>
      <c r="XEJ342" s="9"/>
      <c r="XEK342" s="9"/>
      <c r="XEL342" s="9"/>
      <c r="XEM342" s="9"/>
      <c r="XEN342" s="9"/>
      <c r="XEO342" s="9"/>
      <c r="XEP342" s="9"/>
      <c r="XEQ342" s="9"/>
      <c r="XER342" s="9"/>
      <c r="XES342" s="9"/>
      <c r="XET342" s="9"/>
      <c r="XEU342" s="9"/>
      <c r="XEV342" s="9"/>
      <c r="XEW342" s="9"/>
      <c r="XEX342" s="9"/>
      <c r="XEY342" s="9"/>
      <c r="XEZ342" s="9"/>
      <c r="XFA342" s="9"/>
      <c r="XFB342" s="9"/>
      <c r="XFC342" s="9"/>
      <c r="XFD342" s="9"/>
    </row>
    <row r="343" spans="1:8 16325:16384" s="3" customFormat="1" ht="19.95" customHeight="1">
      <c r="A343" s="6" t="str">
        <f t="shared" si="11"/>
        <v>040012</v>
      </c>
      <c r="B343" s="6" t="s">
        <v>22</v>
      </c>
      <c r="C343" s="6" t="s">
        <v>21</v>
      </c>
      <c r="D343" s="6" t="str">
        <f>"512523409"</f>
        <v>512523409</v>
      </c>
      <c r="E343" s="7">
        <v>83</v>
      </c>
      <c r="F343" s="7">
        <v>57.5</v>
      </c>
      <c r="G343" s="7"/>
      <c r="H343" s="7">
        <v>72.8</v>
      </c>
      <c r="XCW343" s="9"/>
      <c r="XCX343" s="9"/>
      <c r="XCY343" s="9"/>
      <c r="XCZ343" s="9"/>
      <c r="XDA343" s="9"/>
      <c r="XDB343" s="9"/>
      <c r="XDC343" s="9"/>
      <c r="XDD343" s="9"/>
      <c r="XDE343" s="9"/>
      <c r="XDF343" s="9"/>
      <c r="XDG343" s="9"/>
      <c r="XDH343" s="9"/>
      <c r="XDI343" s="9"/>
      <c r="XDJ343" s="9"/>
      <c r="XDK343" s="9"/>
      <c r="XDL343" s="9"/>
      <c r="XDM343" s="9"/>
      <c r="XDN343" s="9"/>
      <c r="XDO343" s="9"/>
      <c r="XDP343" s="9"/>
      <c r="XDQ343" s="9"/>
      <c r="XDR343" s="9"/>
      <c r="XDS343" s="9"/>
      <c r="XDT343" s="9"/>
      <c r="XDU343" s="9"/>
      <c r="XDV343" s="9"/>
      <c r="XDW343" s="9"/>
      <c r="XDX343" s="9"/>
      <c r="XDY343" s="9"/>
      <c r="XDZ343" s="9"/>
      <c r="XEA343" s="9"/>
      <c r="XEB343" s="9"/>
      <c r="XEC343" s="9"/>
      <c r="XED343" s="9"/>
      <c r="XEE343" s="9"/>
      <c r="XEF343" s="9"/>
      <c r="XEG343" s="9"/>
      <c r="XEH343" s="9"/>
      <c r="XEI343" s="9"/>
      <c r="XEJ343" s="9"/>
      <c r="XEK343" s="9"/>
      <c r="XEL343" s="9"/>
      <c r="XEM343" s="9"/>
      <c r="XEN343" s="9"/>
      <c r="XEO343" s="9"/>
      <c r="XEP343" s="9"/>
      <c r="XEQ343" s="9"/>
      <c r="XER343" s="9"/>
      <c r="XES343" s="9"/>
      <c r="XET343" s="9"/>
      <c r="XEU343" s="9"/>
      <c r="XEV343" s="9"/>
      <c r="XEW343" s="9"/>
      <c r="XEX343" s="9"/>
      <c r="XEY343" s="9"/>
      <c r="XEZ343" s="9"/>
      <c r="XFA343" s="9"/>
      <c r="XFB343" s="9"/>
      <c r="XFC343" s="9"/>
      <c r="XFD343" s="9"/>
    </row>
    <row r="344" spans="1:8 16325:16384" s="3" customFormat="1" ht="19.95" customHeight="1">
      <c r="A344" s="6" t="str">
        <f t="shared" si="11"/>
        <v>040012</v>
      </c>
      <c r="B344" s="6" t="s">
        <v>22</v>
      </c>
      <c r="C344" s="6" t="s">
        <v>21</v>
      </c>
      <c r="D344" s="6" t="str">
        <f>"512523403"</f>
        <v>512523403</v>
      </c>
      <c r="E344" s="7">
        <v>95</v>
      </c>
      <c r="F344" s="7">
        <v>80</v>
      </c>
      <c r="G344" s="7"/>
      <c r="H344" s="7">
        <v>89</v>
      </c>
      <c r="XCW344" s="9"/>
      <c r="XCX344" s="9"/>
      <c r="XCY344" s="9"/>
      <c r="XCZ344" s="9"/>
      <c r="XDA344" s="9"/>
      <c r="XDB344" s="9"/>
      <c r="XDC344" s="9"/>
      <c r="XDD344" s="9"/>
      <c r="XDE344" s="9"/>
      <c r="XDF344" s="9"/>
      <c r="XDG344" s="9"/>
      <c r="XDH344" s="9"/>
      <c r="XDI344" s="9"/>
      <c r="XDJ344" s="9"/>
      <c r="XDK344" s="9"/>
      <c r="XDL344" s="9"/>
      <c r="XDM344" s="9"/>
      <c r="XDN344" s="9"/>
      <c r="XDO344" s="9"/>
      <c r="XDP344" s="9"/>
      <c r="XDQ344" s="9"/>
      <c r="XDR344" s="9"/>
      <c r="XDS344" s="9"/>
      <c r="XDT344" s="9"/>
      <c r="XDU344" s="9"/>
      <c r="XDV344" s="9"/>
      <c r="XDW344" s="9"/>
      <c r="XDX344" s="9"/>
      <c r="XDY344" s="9"/>
      <c r="XDZ344" s="9"/>
      <c r="XEA344" s="9"/>
      <c r="XEB344" s="9"/>
      <c r="XEC344" s="9"/>
      <c r="XED344" s="9"/>
      <c r="XEE344" s="9"/>
      <c r="XEF344" s="9"/>
      <c r="XEG344" s="9"/>
      <c r="XEH344" s="9"/>
      <c r="XEI344" s="9"/>
      <c r="XEJ344" s="9"/>
      <c r="XEK344" s="9"/>
      <c r="XEL344" s="9"/>
      <c r="XEM344" s="9"/>
      <c r="XEN344" s="9"/>
      <c r="XEO344" s="9"/>
      <c r="XEP344" s="9"/>
      <c r="XEQ344" s="9"/>
      <c r="XER344" s="9"/>
      <c r="XES344" s="9"/>
      <c r="XET344" s="9"/>
      <c r="XEU344" s="9"/>
      <c r="XEV344" s="9"/>
      <c r="XEW344" s="9"/>
      <c r="XEX344" s="9"/>
      <c r="XEY344" s="9"/>
      <c r="XEZ344" s="9"/>
      <c r="XFA344" s="9"/>
      <c r="XFB344" s="9"/>
      <c r="XFC344" s="9"/>
      <c r="XFD344" s="9"/>
    </row>
    <row r="345" spans="1:8 16325:16384" s="3" customFormat="1" ht="19.95" customHeight="1">
      <c r="A345" s="6" t="str">
        <f t="shared" si="11"/>
        <v>040012</v>
      </c>
      <c r="B345" s="6" t="s">
        <v>22</v>
      </c>
      <c r="C345" s="6" t="s">
        <v>21</v>
      </c>
      <c r="D345" s="6" t="str">
        <f>"512523326"</f>
        <v>512523326</v>
      </c>
      <c r="E345" s="7">
        <v>80.5</v>
      </c>
      <c r="F345" s="7">
        <v>72</v>
      </c>
      <c r="G345" s="7"/>
      <c r="H345" s="7">
        <v>77.099999999999994</v>
      </c>
      <c r="XCW345" s="9"/>
      <c r="XCX345" s="9"/>
      <c r="XCY345" s="9"/>
      <c r="XCZ345" s="9"/>
      <c r="XDA345" s="9"/>
      <c r="XDB345" s="9"/>
      <c r="XDC345" s="9"/>
      <c r="XDD345" s="9"/>
      <c r="XDE345" s="9"/>
      <c r="XDF345" s="9"/>
      <c r="XDG345" s="9"/>
      <c r="XDH345" s="9"/>
      <c r="XDI345" s="9"/>
      <c r="XDJ345" s="9"/>
      <c r="XDK345" s="9"/>
      <c r="XDL345" s="9"/>
      <c r="XDM345" s="9"/>
      <c r="XDN345" s="9"/>
      <c r="XDO345" s="9"/>
      <c r="XDP345" s="9"/>
      <c r="XDQ345" s="9"/>
      <c r="XDR345" s="9"/>
      <c r="XDS345" s="9"/>
      <c r="XDT345" s="9"/>
      <c r="XDU345" s="9"/>
      <c r="XDV345" s="9"/>
      <c r="XDW345" s="9"/>
      <c r="XDX345" s="9"/>
      <c r="XDY345" s="9"/>
      <c r="XDZ345" s="9"/>
      <c r="XEA345" s="9"/>
      <c r="XEB345" s="9"/>
      <c r="XEC345" s="9"/>
      <c r="XED345" s="9"/>
      <c r="XEE345" s="9"/>
      <c r="XEF345" s="9"/>
      <c r="XEG345" s="9"/>
      <c r="XEH345" s="9"/>
      <c r="XEI345" s="9"/>
      <c r="XEJ345" s="9"/>
      <c r="XEK345" s="9"/>
      <c r="XEL345" s="9"/>
      <c r="XEM345" s="9"/>
      <c r="XEN345" s="9"/>
      <c r="XEO345" s="9"/>
      <c r="XEP345" s="9"/>
      <c r="XEQ345" s="9"/>
      <c r="XER345" s="9"/>
      <c r="XES345" s="9"/>
      <c r="XET345" s="9"/>
      <c r="XEU345" s="9"/>
      <c r="XEV345" s="9"/>
      <c r="XEW345" s="9"/>
      <c r="XEX345" s="9"/>
      <c r="XEY345" s="9"/>
      <c r="XEZ345" s="9"/>
      <c r="XFA345" s="9"/>
      <c r="XFB345" s="9"/>
      <c r="XFC345" s="9"/>
      <c r="XFD345" s="9"/>
    </row>
    <row r="346" spans="1:8 16325:16384" s="3" customFormat="1" ht="19.95" customHeight="1">
      <c r="A346" s="6" t="str">
        <f t="shared" si="11"/>
        <v>040012</v>
      </c>
      <c r="B346" s="6" t="s">
        <v>22</v>
      </c>
      <c r="C346" s="6" t="s">
        <v>21</v>
      </c>
      <c r="D346" s="6" t="str">
        <f>"512523322"</f>
        <v>512523322</v>
      </c>
      <c r="E346" s="7">
        <v>0</v>
      </c>
      <c r="F346" s="7">
        <v>0</v>
      </c>
      <c r="G346" s="7"/>
      <c r="H346" s="7">
        <v>0</v>
      </c>
      <c r="XCW346" s="9"/>
      <c r="XCX346" s="9"/>
      <c r="XCY346" s="9"/>
      <c r="XCZ346" s="9"/>
      <c r="XDA346" s="9"/>
      <c r="XDB346" s="9"/>
      <c r="XDC346" s="9"/>
      <c r="XDD346" s="9"/>
      <c r="XDE346" s="9"/>
      <c r="XDF346" s="9"/>
      <c r="XDG346" s="9"/>
      <c r="XDH346" s="9"/>
      <c r="XDI346" s="9"/>
      <c r="XDJ346" s="9"/>
      <c r="XDK346" s="9"/>
      <c r="XDL346" s="9"/>
      <c r="XDM346" s="9"/>
      <c r="XDN346" s="9"/>
      <c r="XDO346" s="9"/>
      <c r="XDP346" s="9"/>
      <c r="XDQ346" s="9"/>
      <c r="XDR346" s="9"/>
      <c r="XDS346" s="9"/>
      <c r="XDT346" s="9"/>
      <c r="XDU346" s="9"/>
      <c r="XDV346" s="9"/>
      <c r="XDW346" s="9"/>
      <c r="XDX346" s="9"/>
      <c r="XDY346" s="9"/>
      <c r="XDZ346" s="9"/>
      <c r="XEA346" s="9"/>
      <c r="XEB346" s="9"/>
      <c r="XEC346" s="9"/>
      <c r="XED346" s="9"/>
      <c r="XEE346" s="9"/>
      <c r="XEF346" s="9"/>
      <c r="XEG346" s="9"/>
      <c r="XEH346" s="9"/>
      <c r="XEI346" s="9"/>
      <c r="XEJ346" s="9"/>
      <c r="XEK346" s="9"/>
      <c r="XEL346" s="9"/>
      <c r="XEM346" s="9"/>
      <c r="XEN346" s="9"/>
      <c r="XEO346" s="9"/>
      <c r="XEP346" s="9"/>
      <c r="XEQ346" s="9"/>
      <c r="XER346" s="9"/>
      <c r="XES346" s="9"/>
      <c r="XET346" s="9"/>
      <c r="XEU346" s="9"/>
      <c r="XEV346" s="9"/>
      <c r="XEW346" s="9"/>
      <c r="XEX346" s="9"/>
      <c r="XEY346" s="9"/>
      <c r="XEZ346" s="9"/>
      <c r="XFA346" s="9"/>
      <c r="XFB346" s="9"/>
      <c r="XFC346" s="9"/>
      <c r="XFD346" s="9"/>
    </row>
    <row r="347" spans="1:8 16325:16384" s="3" customFormat="1" ht="19.95" customHeight="1">
      <c r="A347" s="6" t="str">
        <f t="shared" si="11"/>
        <v>040012</v>
      </c>
      <c r="B347" s="6" t="s">
        <v>22</v>
      </c>
      <c r="C347" s="6" t="s">
        <v>21</v>
      </c>
      <c r="D347" s="6" t="str">
        <f>"512523402"</f>
        <v>512523402</v>
      </c>
      <c r="E347" s="7">
        <v>87</v>
      </c>
      <c r="F347" s="7">
        <v>67</v>
      </c>
      <c r="G347" s="7"/>
      <c r="H347" s="7">
        <v>79</v>
      </c>
      <c r="XCW347" s="9"/>
      <c r="XCX347" s="9"/>
      <c r="XCY347" s="9"/>
      <c r="XCZ347" s="9"/>
      <c r="XDA347" s="9"/>
      <c r="XDB347" s="9"/>
      <c r="XDC347" s="9"/>
      <c r="XDD347" s="9"/>
      <c r="XDE347" s="9"/>
      <c r="XDF347" s="9"/>
      <c r="XDG347" s="9"/>
      <c r="XDH347" s="9"/>
      <c r="XDI347" s="9"/>
      <c r="XDJ347" s="9"/>
      <c r="XDK347" s="9"/>
      <c r="XDL347" s="9"/>
      <c r="XDM347" s="9"/>
      <c r="XDN347" s="9"/>
      <c r="XDO347" s="9"/>
      <c r="XDP347" s="9"/>
      <c r="XDQ347" s="9"/>
      <c r="XDR347" s="9"/>
      <c r="XDS347" s="9"/>
      <c r="XDT347" s="9"/>
      <c r="XDU347" s="9"/>
      <c r="XDV347" s="9"/>
      <c r="XDW347" s="9"/>
      <c r="XDX347" s="9"/>
      <c r="XDY347" s="9"/>
      <c r="XDZ347" s="9"/>
      <c r="XEA347" s="9"/>
      <c r="XEB347" s="9"/>
      <c r="XEC347" s="9"/>
      <c r="XED347" s="9"/>
      <c r="XEE347" s="9"/>
      <c r="XEF347" s="9"/>
      <c r="XEG347" s="9"/>
      <c r="XEH347" s="9"/>
      <c r="XEI347" s="9"/>
      <c r="XEJ347" s="9"/>
      <c r="XEK347" s="9"/>
      <c r="XEL347" s="9"/>
      <c r="XEM347" s="9"/>
      <c r="XEN347" s="9"/>
      <c r="XEO347" s="9"/>
      <c r="XEP347" s="9"/>
      <c r="XEQ347" s="9"/>
      <c r="XER347" s="9"/>
      <c r="XES347" s="9"/>
      <c r="XET347" s="9"/>
      <c r="XEU347" s="9"/>
      <c r="XEV347" s="9"/>
      <c r="XEW347" s="9"/>
      <c r="XEX347" s="9"/>
      <c r="XEY347" s="9"/>
      <c r="XEZ347" s="9"/>
      <c r="XFA347" s="9"/>
      <c r="XFB347" s="9"/>
      <c r="XFC347" s="9"/>
      <c r="XFD347" s="9"/>
    </row>
    <row r="348" spans="1:8 16325:16384" s="3" customFormat="1" ht="19.95" customHeight="1">
      <c r="A348" s="6" t="str">
        <f t="shared" si="11"/>
        <v>040012</v>
      </c>
      <c r="B348" s="6" t="s">
        <v>22</v>
      </c>
      <c r="C348" s="6" t="s">
        <v>21</v>
      </c>
      <c r="D348" s="6" t="str">
        <f>"512523308"</f>
        <v>512523308</v>
      </c>
      <c r="E348" s="7">
        <v>0</v>
      </c>
      <c r="F348" s="7">
        <v>0</v>
      </c>
      <c r="G348" s="7"/>
      <c r="H348" s="7">
        <v>0</v>
      </c>
      <c r="XCW348" s="9"/>
      <c r="XCX348" s="9"/>
      <c r="XCY348" s="9"/>
      <c r="XCZ348" s="9"/>
      <c r="XDA348" s="9"/>
      <c r="XDB348" s="9"/>
      <c r="XDC348" s="9"/>
      <c r="XDD348" s="9"/>
      <c r="XDE348" s="9"/>
      <c r="XDF348" s="9"/>
      <c r="XDG348" s="9"/>
      <c r="XDH348" s="9"/>
      <c r="XDI348" s="9"/>
      <c r="XDJ348" s="9"/>
      <c r="XDK348" s="9"/>
      <c r="XDL348" s="9"/>
      <c r="XDM348" s="9"/>
      <c r="XDN348" s="9"/>
      <c r="XDO348" s="9"/>
      <c r="XDP348" s="9"/>
      <c r="XDQ348" s="9"/>
      <c r="XDR348" s="9"/>
      <c r="XDS348" s="9"/>
      <c r="XDT348" s="9"/>
      <c r="XDU348" s="9"/>
      <c r="XDV348" s="9"/>
      <c r="XDW348" s="9"/>
      <c r="XDX348" s="9"/>
      <c r="XDY348" s="9"/>
      <c r="XDZ348" s="9"/>
      <c r="XEA348" s="9"/>
      <c r="XEB348" s="9"/>
      <c r="XEC348" s="9"/>
      <c r="XED348" s="9"/>
      <c r="XEE348" s="9"/>
      <c r="XEF348" s="9"/>
      <c r="XEG348" s="9"/>
      <c r="XEH348" s="9"/>
      <c r="XEI348" s="9"/>
      <c r="XEJ348" s="9"/>
      <c r="XEK348" s="9"/>
      <c r="XEL348" s="9"/>
      <c r="XEM348" s="9"/>
      <c r="XEN348" s="9"/>
      <c r="XEO348" s="9"/>
      <c r="XEP348" s="9"/>
      <c r="XEQ348" s="9"/>
      <c r="XER348" s="9"/>
      <c r="XES348" s="9"/>
      <c r="XET348" s="9"/>
      <c r="XEU348" s="9"/>
      <c r="XEV348" s="9"/>
      <c r="XEW348" s="9"/>
      <c r="XEX348" s="9"/>
      <c r="XEY348" s="9"/>
      <c r="XEZ348" s="9"/>
      <c r="XFA348" s="9"/>
      <c r="XFB348" s="9"/>
      <c r="XFC348" s="9"/>
      <c r="XFD348" s="9"/>
    </row>
    <row r="349" spans="1:8 16325:16384" s="3" customFormat="1" ht="19.95" customHeight="1">
      <c r="A349" s="6" t="str">
        <f t="shared" si="11"/>
        <v>040012</v>
      </c>
      <c r="B349" s="6" t="s">
        <v>22</v>
      </c>
      <c r="C349" s="6" t="s">
        <v>21</v>
      </c>
      <c r="D349" s="6" t="str">
        <f>"512523324"</f>
        <v>512523324</v>
      </c>
      <c r="E349" s="7">
        <v>79</v>
      </c>
      <c r="F349" s="7">
        <v>63</v>
      </c>
      <c r="G349" s="7"/>
      <c r="H349" s="7">
        <v>72.599999999999994</v>
      </c>
      <c r="XCW349" s="9"/>
      <c r="XCX349" s="9"/>
      <c r="XCY349" s="9"/>
      <c r="XCZ349" s="9"/>
      <c r="XDA349" s="9"/>
      <c r="XDB349" s="9"/>
      <c r="XDC349" s="9"/>
      <c r="XDD349" s="9"/>
      <c r="XDE349" s="9"/>
      <c r="XDF349" s="9"/>
      <c r="XDG349" s="9"/>
      <c r="XDH349" s="9"/>
      <c r="XDI349" s="9"/>
      <c r="XDJ349" s="9"/>
      <c r="XDK349" s="9"/>
      <c r="XDL349" s="9"/>
      <c r="XDM349" s="9"/>
      <c r="XDN349" s="9"/>
      <c r="XDO349" s="9"/>
      <c r="XDP349" s="9"/>
      <c r="XDQ349" s="9"/>
      <c r="XDR349" s="9"/>
      <c r="XDS349" s="9"/>
      <c r="XDT349" s="9"/>
      <c r="XDU349" s="9"/>
      <c r="XDV349" s="9"/>
      <c r="XDW349" s="9"/>
      <c r="XDX349" s="9"/>
      <c r="XDY349" s="9"/>
      <c r="XDZ349" s="9"/>
      <c r="XEA349" s="9"/>
      <c r="XEB349" s="9"/>
      <c r="XEC349" s="9"/>
      <c r="XED349" s="9"/>
      <c r="XEE349" s="9"/>
      <c r="XEF349" s="9"/>
      <c r="XEG349" s="9"/>
      <c r="XEH349" s="9"/>
      <c r="XEI349" s="9"/>
      <c r="XEJ349" s="9"/>
      <c r="XEK349" s="9"/>
      <c r="XEL349" s="9"/>
      <c r="XEM349" s="9"/>
      <c r="XEN349" s="9"/>
      <c r="XEO349" s="9"/>
      <c r="XEP349" s="9"/>
      <c r="XEQ349" s="9"/>
      <c r="XER349" s="9"/>
      <c r="XES349" s="9"/>
      <c r="XET349" s="9"/>
      <c r="XEU349" s="9"/>
      <c r="XEV349" s="9"/>
      <c r="XEW349" s="9"/>
      <c r="XEX349" s="9"/>
      <c r="XEY349" s="9"/>
      <c r="XEZ349" s="9"/>
      <c r="XFA349" s="9"/>
      <c r="XFB349" s="9"/>
      <c r="XFC349" s="9"/>
      <c r="XFD349" s="9"/>
    </row>
    <row r="350" spans="1:8 16325:16384" s="3" customFormat="1" ht="19.95" customHeight="1">
      <c r="A350" s="6" t="str">
        <f t="shared" si="11"/>
        <v>040012</v>
      </c>
      <c r="B350" s="6" t="s">
        <v>22</v>
      </c>
      <c r="C350" s="6" t="s">
        <v>21</v>
      </c>
      <c r="D350" s="6" t="str">
        <f>"512523304"</f>
        <v>512523304</v>
      </c>
      <c r="E350" s="7">
        <v>87.5</v>
      </c>
      <c r="F350" s="7">
        <v>87.5</v>
      </c>
      <c r="G350" s="7"/>
      <c r="H350" s="7">
        <v>87.5</v>
      </c>
      <c r="XCW350" s="9"/>
      <c r="XCX350" s="9"/>
      <c r="XCY350" s="9"/>
      <c r="XCZ350" s="9"/>
      <c r="XDA350" s="9"/>
      <c r="XDB350" s="9"/>
      <c r="XDC350" s="9"/>
      <c r="XDD350" s="9"/>
      <c r="XDE350" s="9"/>
      <c r="XDF350" s="9"/>
      <c r="XDG350" s="9"/>
      <c r="XDH350" s="9"/>
      <c r="XDI350" s="9"/>
      <c r="XDJ350" s="9"/>
      <c r="XDK350" s="9"/>
      <c r="XDL350" s="9"/>
      <c r="XDM350" s="9"/>
      <c r="XDN350" s="9"/>
      <c r="XDO350" s="9"/>
      <c r="XDP350" s="9"/>
      <c r="XDQ350" s="9"/>
      <c r="XDR350" s="9"/>
      <c r="XDS350" s="9"/>
      <c r="XDT350" s="9"/>
      <c r="XDU350" s="9"/>
      <c r="XDV350" s="9"/>
      <c r="XDW350" s="9"/>
      <c r="XDX350" s="9"/>
      <c r="XDY350" s="9"/>
      <c r="XDZ350" s="9"/>
      <c r="XEA350" s="9"/>
      <c r="XEB350" s="9"/>
      <c r="XEC350" s="9"/>
      <c r="XED350" s="9"/>
      <c r="XEE350" s="9"/>
      <c r="XEF350" s="9"/>
      <c r="XEG350" s="9"/>
      <c r="XEH350" s="9"/>
      <c r="XEI350" s="9"/>
      <c r="XEJ350" s="9"/>
      <c r="XEK350" s="9"/>
      <c r="XEL350" s="9"/>
      <c r="XEM350" s="9"/>
      <c r="XEN350" s="9"/>
      <c r="XEO350" s="9"/>
      <c r="XEP350" s="9"/>
      <c r="XEQ350" s="9"/>
      <c r="XER350" s="9"/>
      <c r="XES350" s="9"/>
      <c r="XET350" s="9"/>
      <c r="XEU350" s="9"/>
      <c r="XEV350" s="9"/>
      <c r="XEW350" s="9"/>
      <c r="XEX350" s="9"/>
      <c r="XEY350" s="9"/>
      <c r="XEZ350" s="9"/>
      <c r="XFA350" s="9"/>
      <c r="XFB350" s="9"/>
      <c r="XFC350" s="9"/>
      <c r="XFD350" s="9"/>
    </row>
    <row r="351" spans="1:8 16325:16384" s="3" customFormat="1" ht="19.95" customHeight="1">
      <c r="A351" s="6" t="str">
        <f t="shared" si="11"/>
        <v>040012</v>
      </c>
      <c r="B351" s="6" t="s">
        <v>22</v>
      </c>
      <c r="C351" s="6" t="s">
        <v>21</v>
      </c>
      <c r="D351" s="6" t="str">
        <f>"512523330"</f>
        <v>512523330</v>
      </c>
      <c r="E351" s="7">
        <v>78</v>
      </c>
      <c r="F351" s="7">
        <v>72.5</v>
      </c>
      <c r="G351" s="7"/>
      <c r="H351" s="7">
        <v>75.8</v>
      </c>
      <c r="XCW351" s="9"/>
      <c r="XCX351" s="9"/>
      <c r="XCY351" s="9"/>
      <c r="XCZ351" s="9"/>
      <c r="XDA351" s="9"/>
      <c r="XDB351" s="9"/>
      <c r="XDC351" s="9"/>
      <c r="XDD351" s="9"/>
      <c r="XDE351" s="9"/>
      <c r="XDF351" s="9"/>
      <c r="XDG351" s="9"/>
      <c r="XDH351" s="9"/>
      <c r="XDI351" s="9"/>
      <c r="XDJ351" s="9"/>
      <c r="XDK351" s="9"/>
      <c r="XDL351" s="9"/>
      <c r="XDM351" s="9"/>
      <c r="XDN351" s="9"/>
      <c r="XDO351" s="9"/>
      <c r="XDP351" s="9"/>
      <c r="XDQ351" s="9"/>
      <c r="XDR351" s="9"/>
      <c r="XDS351" s="9"/>
      <c r="XDT351" s="9"/>
      <c r="XDU351" s="9"/>
      <c r="XDV351" s="9"/>
      <c r="XDW351" s="9"/>
      <c r="XDX351" s="9"/>
      <c r="XDY351" s="9"/>
      <c r="XDZ351" s="9"/>
      <c r="XEA351" s="9"/>
      <c r="XEB351" s="9"/>
      <c r="XEC351" s="9"/>
      <c r="XED351" s="9"/>
      <c r="XEE351" s="9"/>
      <c r="XEF351" s="9"/>
      <c r="XEG351" s="9"/>
      <c r="XEH351" s="9"/>
      <c r="XEI351" s="9"/>
      <c r="XEJ351" s="9"/>
      <c r="XEK351" s="9"/>
      <c r="XEL351" s="9"/>
      <c r="XEM351" s="9"/>
      <c r="XEN351" s="9"/>
      <c r="XEO351" s="9"/>
      <c r="XEP351" s="9"/>
      <c r="XEQ351" s="9"/>
      <c r="XER351" s="9"/>
      <c r="XES351" s="9"/>
      <c r="XET351" s="9"/>
      <c r="XEU351" s="9"/>
      <c r="XEV351" s="9"/>
      <c r="XEW351" s="9"/>
      <c r="XEX351" s="9"/>
      <c r="XEY351" s="9"/>
      <c r="XEZ351" s="9"/>
      <c r="XFA351" s="9"/>
      <c r="XFB351" s="9"/>
      <c r="XFC351" s="9"/>
      <c r="XFD351" s="9"/>
    </row>
    <row r="352" spans="1:8 16325:16384" s="3" customFormat="1" ht="19.95" customHeight="1">
      <c r="A352" s="6" t="str">
        <f t="shared" si="11"/>
        <v>040012</v>
      </c>
      <c r="B352" s="6" t="s">
        <v>22</v>
      </c>
      <c r="C352" s="6" t="s">
        <v>21</v>
      </c>
      <c r="D352" s="6" t="str">
        <f>"512523305"</f>
        <v>512523305</v>
      </c>
      <c r="E352" s="7">
        <v>60.5</v>
      </c>
      <c r="F352" s="7">
        <v>65.5</v>
      </c>
      <c r="G352" s="7"/>
      <c r="H352" s="7">
        <v>62.5</v>
      </c>
      <c r="XCW352" s="9"/>
      <c r="XCX352" s="9"/>
      <c r="XCY352" s="9"/>
      <c r="XCZ352" s="9"/>
      <c r="XDA352" s="9"/>
      <c r="XDB352" s="9"/>
      <c r="XDC352" s="9"/>
      <c r="XDD352" s="9"/>
      <c r="XDE352" s="9"/>
      <c r="XDF352" s="9"/>
      <c r="XDG352" s="9"/>
      <c r="XDH352" s="9"/>
      <c r="XDI352" s="9"/>
      <c r="XDJ352" s="9"/>
      <c r="XDK352" s="9"/>
      <c r="XDL352" s="9"/>
      <c r="XDM352" s="9"/>
      <c r="XDN352" s="9"/>
      <c r="XDO352" s="9"/>
      <c r="XDP352" s="9"/>
      <c r="XDQ352" s="9"/>
      <c r="XDR352" s="9"/>
      <c r="XDS352" s="9"/>
      <c r="XDT352" s="9"/>
      <c r="XDU352" s="9"/>
      <c r="XDV352" s="9"/>
      <c r="XDW352" s="9"/>
      <c r="XDX352" s="9"/>
      <c r="XDY352" s="9"/>
      <c r="XDZ352" s="9"/>
      <c r="XEA352" s="9"/>
      <c r="XEB352" s="9"/>
      <c r="XEC352" s="9"/>
      <c r="XED352" s="9"/>
      <c r="XEE352" s="9"/>
      <c r="XEF352" s="9"/>
      <c r="XEG352" s="9"/>
      <c r="XEH352" s="9"/>
      <c r="XEI352" s="9"/>
      <c r="XEJ352" s="9"/>
      <c r="XEK352" s="9"/>
      <c r="XEL352" s="9"/>
      <c r="XEM352" s="9"/>
      <c r="XEN352" s="9"/>
      <c r="XEO352" s="9"/>
      <c r="XEP352" s="9"/>
      <c r="XEQ352" s="9"/>
      <c r="XER352" s="9"/>
      <c r="XES352" s="9"/>
      <c r="XET352" s="9"/>
      <c r="XEU352" s="9"/>
      <c r="XEV352" s="9"/>
      <c r="XEW352" s="9"/>
      <c r="XEX352" s="9"/>
      <c r="XEY352" s="9"/>
      <c r="XEZ352" s="9"/>
      <c r="XFA352" s="9"/>
      <c r="XFB352" s="9"/>
      <c r="XFC352" s="9"/>
      <c r="XFD352" s="9"/>
    </row>
    <row r="353" spans="1:8 16325:16384" s="3" customFormat="1" ht="19.95" customHeight="1">
      <c r="A353" s="6" t="str">
        <f t="shared" si="11"/>
        <v>040012</v>
      </c>
      <c r="B353" s="6" t="s">
        <v>22</v>
      </c>
      <c r="C353" s="6" t="s">
        <v>21</v>
      </c>
      <c r="D353" s="6" t="str">
        <f>"512523318"</f>
        <v>512523318</v>
      </c>
      <c r="E353" s="7">
        <v>36.5</v>
      </c>
      <c r="F353" s="7">
        <v>52</v>
      </c>
      <c r="G353" s="7"/>
      <c r="H353" s="7">
        <v>42.7</v>
      </c>
      <c r="XCW353" s="9"/>
      <c r="XCX353" s="9"/>
      <c r="XCY353" s="9"/>
      <c r="XCZ353" s="9"/>
      <c r="XDA353" s="9"/>
      <c r="XDB353" s="9"/>
      <c r="XDC353" s="9"/>
      <c r="XDD353" s="9"/>
      <c r="XDE353" s="9"/>
      <c r="XDF353" s="9"/>
      <c r="XDG353" s="9"/>
      <c r="XDH353" s="9"/>
      <c r="XDI353" s="9"/>
      <c r="XDJ353" s="9"/>
      <c r="XDK353" s="9"/>
      <c r="XDL353" s="9"/>
      <c r="XDM353" s="9"/>
      <c r="XDN353" s="9"/>
      <c r="XDO353" s="9"/>
      <c r="XDP353" s="9"/>
      <c r="XDQ353" s="9"/>
      <c r="XDR353" s="9"/>
      <c r="XDS353" s="9"/>
      <c r="XDT353" s="9"/>
      <c r="XDU353" s="9"/>
      <c r="XDV353" s="9"/>
      <c r="XDW353" s="9"/>
      <c r="XDX353" s="9"/>
      <c r="XDY353" s="9"/>
      <c r="XDZ353" s="9"/>
      <c r="XEA353" s="9"/>
      <c r="XEB353" s="9"/>
      <c r="XEC353" s="9"/>
      <c r="XED353" s="9"/>
      <c r="XEE353" s="9"/>
      <c r="XEF353" s="9"/>
      <c r="XEG353" s="9"/>
      <c r="XEH353" s="9"/>
      <c r="XEI353" s="9"/>
      <c r="XEJ353" s="9"/>
      <c r="XEK353" s="9"/>
      <c r="XEL353" s="9"/>
      <c r="XEM353" s="9"/>
      <c r="XEN353" s="9"/>
      <c r="XEO353" s="9"/>
      <c r="XEP353" s="9"/>
      <c r="XEQ353" s="9"/>
      <c r="XER353" s="9"/>
      <c r="XES353" s="9"/>
      <c r="XET353" s="9"/>
      <c r="XEU353" s="9"/>
      <c r="XEV353" s="9"/>
      <c r="XEW353" s="9"/>
      <c r="XEX353" s="9"/>
      <c r="XEY353" s="9"/>
      <c r="XEZ353" s="9"/>
      <c r="XFA353" s="9"/>
      <c r="XFB353" s="9"/>
      <c r="XFC353" s="9"/>
      <c r="XFD353" s="9"/>
    </row>
    <row r="354" spans="1:8 16325:16384" s="3" customFormat="1" ht="19.95" customHeight="1">
      <c r="A354" s="6" t="str">
        <f t="shared" si="11"/>
        <v>040012</v>
      </c>
      <c r="B354" s="6" t="s">
        <v>22</v>
      </c>
      <c r="C354" s="6" t="s">
        <v>21</v>
      </c>
      <c r="D354" s="6" t="str">
        <f>"512523406"</f>
        <v>512523406</v>
      </c>
      <c r="E354" s="7">
        <v>86</v>
      </c>
      <c r="F354" s="7">
        <v>67</v>
      </c>
      <c r="G354" s="7"/>
      <c r="H354" s="7">
        <v>78.400000000000006</v>
      </c>
      <c r="XCW354" s="9"/>
      <c r="XCX354" s="9"/>
      <c r="XCY354" s="9"/>
      <c r="XCZ354" s="9"/>
      <c r="XDA354" s="9"/>
      <c r="XDB354" s="9"/>
      <c r="XDC354" s="9"/>
      <c r="XDD354" s="9"/>
      <c r="XDE354" s="9"/>
      <c r="XDF354" s="9"/>
      <c r="XDG354" s="9"/>
      <c r="XDH354" s="9"/>
      <c r="XDI354" s="9"/>
      <c r="XDJ354" s="9"/>
      <c r="XDK354" s="9"/>
      <c r="XDL354" s="9"/>
      <c r="XDM354" s="9"/>
      <c r="XDN354" s="9"/>
      <c r="XDO354" s="9"/>
      <c r="XDP354" s="9"/>
      <c r="XDQ354" s="9"/>
      <c r="XDR354" s="9"/>
      <c r="XDS354" s="9"/>
      <c r="XDT354" s="9"/>
      <c r="XDU354" s="9"/>
      <c r="XDV354" s="9"/>
      <c r="XDW354" s="9"/>
      <c r="XDX354" s="9"/>
      <c r="XDY354" s="9"/>
      <c r="XDZ354" s="9"/>
      <c r="XEA354" s="9"/>
      <c r="XEB354" s="9"/>
      <c r="XEC354" s="9"/>
      <c r="XED354" s="9"/>
      <c r="XEE354" s="9"/>
      <c r="XEF354" s="9"/>
      <c r="XEG354" s="9"/>
      <c r="XEH354" s="9"/>
      <c r="XEI354" s="9"/>
      <c r="XEJ354" s="9"/>
      <c r="XEK354" s="9"/>
      <c r="XEL354" s="9"/>
      <c r="XEM354" s="9"/>
      <c r="XEN354" s="9"/>
      <c r="XEO354" s="9"/>
      <c r="XEP354" s="9"/>
      <c r="XEQ354" s="9"/>
      <c r="XER354" s="9"/>
      <c r="XES354" s="9"/>
      <c r="XET354" s="9"/>
      <c r="XEU354" s="9"/>
      <c r="XEV354" s="9"/>
      <c r="XEW354" s="9"/>
      <c r="XEX354" s="9"/>
      <c r="XEY354" s="9"/>
      <c r="XEZ354" s="9"/>
      <c r="XFA354" s="9"/>
      <c r="XFB354" s="9"/>
      <c r="XFC354" s="9"/>
      <c r="XFD354" s="9"/>
    </row>
    <row r="355" spans="1:8 16325:16384" s="3" customFormat="1" ht="19.95" customHeight="1">
      <c r="A355" s="6" t="str">
        <f t="shared" si="11"/>
        <v>040012</v>
      </c>
      <c r="B355" s="6" t="s">
        <v>22</v>
      </c>
      <c r="C355" s="6" t="s">
        <v>21</v>
      </c>
      <c r="D355" s="6" t="str">
        <f>"512523312"</f>
        <v>512523312</v>
      </c>
      <c r="E355" s="7">
        <v>0</v>
      </c>
      <c r="F355" s="7">
        <v>0</v>
      </c>
      <c r="G355" s="7"/>
      <c r="H355" s="7">
        <v>0</v>
      </c>
      <c r="XCW355" s="9"/>
      <c r="XCX355" s="9"/>
      <c r="XCY355" s="9"/>
      <c r="XCZ355" s="9"/>
      <c r="XDA355" s="9"/>
      <c r="XDB355" s="9"/>
      <c r="XDC355" s="9"/>
      <c r="XDD355" s="9"/>
      <c r="XDE355" s="9"/>
      <c r="XDF355" s="9"/>
      <c r="XDG355" s="9"/>
      <c r="XDH355" s="9"/>
      <c r="XDI355" s="9"/>
      <c r="XDJ355" s="9"/>
      <c r="XDK355" s="9"/>
      <c r="XDL355" s="9"/>
      <c r="XDM355" s="9"/>
      <c r="XDN355" s="9"/>
      <c r="XDO355" s="9"/>
      <c r="XDP355" s="9"/>
      <c r="XDQ355" s="9"/>
      <c r="XDR355" s="9"/>
      <c r="XDS355" s="9"/>
      <c r="XDT355" s="9"/>
      <c r="XDU355" s="9"/>
      <c r="XDV355" s="9"/>
      <c r="XDW355" s="9"/>
      <c r="XDX355" s="9"/>
      <c r="XDY355" s="9"/>
      <c r="XDZ355" s="9"/>
      <c r="XEA355" s="9"/>
      <c r="XEB355" s="9"/>
      <c r="XEC355" s="9"/>
      <c r="XED355" s="9"/>
      <c r="XEE355" s="9"/>
      <c r="XEF355" s="9"/>
      <c r="XEG355" s="9"/>
      <c r="XEH355" s="9"/>
      <c r="XEI355" s="9"/>
      <c r="XEJ355" s="9"/>
      <c r="XEK355" s="9"/>
      <c r="XEL355" s="9"/>
      <c r="XEM355" s="9"/>
      <c r="XEN355" s="9"/>
      <c r="XEO355" s="9"/>
      <c r="XEP355" s="9"/>
      <c r="XEQ355" s="9"/>
      <c r="XER355" s="9"/>
      <c r="XES355" s="9"/>
      <c r="XET355" s="9"/>
      <c r="XEU355" s="9"/>
      <c r="XEV355" s="9"/>
      <c r="XEW355" s="9"/>
      <c r="XEX355" s="9"/>
      <c r="XEY355" s="9"/>
      <c r="XEZ355" s="9"/>
      <c r="XFA355" s="9"/>
      <c r="XFB355" s="9"/>
      <c r="XFC355" s="9"/>
      <c r="XFD355" s="9"/>
    </row>
    <row r="356" spans="1:8 16325:16384" s="3" customFormat="1" ht="19.95" customHeight="1">
      <c r="A356" s="6" t="str">
        <f t="shared" si="11"/>
        <v>040012</v>
      </c>
      <c r="B356" s="6" t="s">
        <v>22</v>
      </c>
      <c r="C356" s="6" t="s">
        <v>21</v>
      </c>
      <c r="D356" s="6" t="str">
        <f>"512523319"</f>
        <v>512523319</v>
      </c>
      <c r="E356" s="7">
        <v>51.5</v>
      </c>
      <c r="F356" s="7">
        <v>69.5</v>
      </c>
      <c r="G356" s="7"/>
      <c r="H356" s="7">
        <v>58.7</v>
      </c>
      <c r="XCW356" s="9"/>
      <c r="XCX356" s="9"/>
      <c r="XCY356" s="9"/>
      <c r="XCZ356" s="9"/>
      <c r="XDA356" s="9"/>
      <c r="XDB356" s="9"/>
      <c r="XDC356" s="9"/>
      <c r="XDD356" s="9"/>
      <c r="XDE356" s="9"/>
      <c r="XDF356" s="9"/>
      <c r="XDG356" s="9"/>
      <c r="XDH356" s="9"/>
      <c r="XDI356" s="9"/>
      <c r="XDJ356" s="9"/>
      <c r="XDK356" s="9"/>
      <c r="XDL356" s="9"/>
      <c r="XDM356" s="9"/>
      <c r="XDN356" s="9"/>
      <c r="XDO356" s="9"/>
      <c r="XDP356" s="9"/>
      <c r="XDQ356" s="9"/>
      <c r="XDR356" s="9"/>
      <c r="XDS356" s="9"/>
      <c r="XDT356" s="9"/>
      <c r="XDU356" s="9"/>
      <c r="XDV356" s="9"/>
      <c r="XDW356" s="9"/>
      <c r="XDX356" s="9"/>
      <c r="XDY356" s="9"/>
      <c r="XDZ356" s="9"/>
      <c r="XEA356" s="9"/>
      <c r="XEB356" s="9"/>
      <c r="XEC356" s="9"/>
      <c r="XED356" s="9"/>
      <c r="XEE356" s="9"/>
      <c r="XEF356" s="9"/>
      <c r="XEG356" s="9"/>
      <c r="XEH356" s="9"/>
      <c r="XEI356" s="9"/>
      <c r="XEJ356" s="9"/>
      <c r="XEK356" s="9"/>
      <c r="XEL356" s="9"/>
      <c r="XEM356" s="9"/>
      <c r="XEN356" s="9"/>
      <c r="XEO356" s="9"/>
      <c r="XEP356" s="9"/>
      <c r="XEQ356" s="9"/>
      <c r="XER356" s="9"/>
      <c r="XES356" s="9"/>
      <c r="XET356" s="9"/>
      <c r="XEU356" s="9"/>
      <c r="XEV356" s="9"/>
      <c r="XEW356" s="9"/>
      <c r="XEX356" s="9"/>
      <c r="XEY356" s="9"/>
      <c r="XEZ356" s="9"/>
      <c r="XFA356" s="9"/>
      <c r="XFB356" s="9"/>
      <c r="XFC356" s="9"/>
      <c r="XFD356" s="9"/>
    </row>
    <row r="357" spans="1:8 16325:16384" s="3" customFormat="1" ht="19.95" customHeight="1">
      <c r="A357" s="6" t="str">
        <f t="shared" si="11"/>
        <v>040012</v>
      </c>
      <c r="B357" s="6" t="s">
        <v>22</v>
      </c>
      <c r="C357" s="6" t="s">
        <v>21</v>
      </c>
      <c r="D357" s="6" t="str">
        <f>"512523307"</f>
        <v>512523307</v>
      </c>
      <c r="E357" s="7">
        <v>94</v>
      </c>
      <c r="F357" s="7">
        <v>88.5</v>
      </c>
      <c r="G357" s="7"/>
      <c r="H357" s="7">
        <v>91.8</v>
      </c>
      <c r="XCW357" s="9"/>
      <c r="XCX357" s="9"/>
      <c r="XCY357" s="9"/>
      <c r="XCZ357" s="9"/>
      <c r="XDA357" s="9"/>
      <c r="XDB357" s="9"/>
      <c r="XDC357" s="9"/>
      <c r="XDD357" s="9"/>
      <c r="XDE357" s="9"/>
      <c r="XDF357" s="9"/>
      <c r="XDG357" s="9"/>
      <c r="XDH357" s="9"/>
      <c r="XDI357" s="9"/>
      <c r="XDJ357" s="9"/>
      <c r="XDK357" s="9"/>
      <c r="XDL357" s="9"/>
      <c r="XDM357" s="9"/>
      <c r="XDN357" s="9"/>
      <c r="XDO357" s="9"/>
      <c r="XDP357" s="9"/>
      <c r="XDQ357" s="9"/>
      <c r="XDR357" s="9"/>
      <c r="XDS357" s="9"/>
      <c r="XDT357" s="9"/>
      <c r="XDU357" s="9"/>
      <c r="XDV357" s="9"/>
      <c r="XDW357" s="9"/>
      <c r="XDX357" s="9"/>
      <c r="XDY357" s="9"/>
      <c r="XDZ357" s="9"/>
      <c r="XEA357" s="9"/>
      <c r="XEB357" s="9"/>
      <c r="XEC357" s="9"/>
      <c r="XED357" s="9"/>
      <c r="XEE357" s="9"/>
      <c r="XEF357" s="9"/>
      <c r="XEG357" s="9"/>
      <c r="XEH357" s="9"/>
      <c r="XEI357" s="9"/>
      <c r="XEJ357" s="9"/>
      <c r="XEK357" s="9"/>
      <c r="XEL357" s="9"/>
      <c r="XEM357" s="9"/>
      <c r="XEN357" s="9"/>
      <c r="XEO357" s="9"/>
      <c r="XEP357" s="9"/>
      <c r="XEQ357" s="9"/>
      <c r="XER357" s="9"/>
      <c r="XES357" s="9"/>
      <c r="XET357" s="9"/>
      <c r="XEU357" s="9"/>
      <c r="XEV357" s="9"/>
      <c r="XEW357" s="9"/>
      <c r="XEX357" s="9"/>
      <c r="XEY357" s="9"/>
      <c r="XEZ357" s="9"/>
      <c r="XFA357" s="9"/>
      <c r="XFB357" s="9"/>
      <c r="XFC357" s="9"/>
      <c r="XFD357" s="9"/>
    </row>
    <row r="358" spans="1:8 16325:16384" s="3" customFormat="1" ht="19.95" customHeight="1">
      <c r="A358" s="6" t="str">
        <f t="shared" si="11"/>
        <v>040012</v>
      </c>
      <c r="B358" s="6" t="s">
        <v>22</v>
      </c>
      <c r="C358" s="6" t="s">
        <v>21</v>
      </c>
      <c r="D358" s="6" t="str">
        <f>"512523306"</f>
        <v>512523306</v>
      </c>
      <c r="E358" s="7">
        <v>0</v>
      </c>
      <c r="F358" s="7">
        <v>0</v>
      </c>
      <c r="G358" s="7"/>
      <c r="H358" s="7">
        <v>0</v>
      </c>
      <c r="XCW358" s="9"/>
      <c r="XCX358" s="9"/>
      <c r="XCY358" s="9"/>
      <c r="XCZ358" s="9"/>
      <c r="XDA358" s="9"/>
      <c r="XDB358" s="9"/>
      <c r="XDC358" s="9"/>
      <c r="XDD358" s="9"/>
      <c r="XDE358" s="9"/>
      <c r="XDF358" s="9"/>
      <c r="XDG358" s="9"/>
      <c r="XDH358" s="9"/>
      <c r="XDI358" s="9"/>
      <c r="XDJ358" s="9"/>
      <c r="XDK358" s="9"/>
      <c r="XDL358" s="9"/>
      <c r="XDM358" s="9"/>
      <c r="XDN358" s="9"/>
      <c r="XDO358" s="9"/>
      <c r="XDP358" s="9"/>
      <c r="XDQ358" s="9"/>
      <c r="XDR358" s="9"/>
      <c r="XDS358" s="9"/>
      <c r="XDT358" s="9"/>
      <c r="XDU358" s="9"/>
      <c r="XDV358" s="9"/>
      <c r="XDW358" s="9"/>
      <c r="XDX358" s="9"/>
      <c r="XDY358" s="9"/>
      <c r="XDZ358" s="9"/>
      <c r="XEA358" s="9"/>
      <c r="XEB358" s="9"/>
      <c r="XEC358" s="9"/>
      <c r="XED358" s="9"/>
      <c r="XEE358" s="9"/>
      <c r="XEF358" s="9"/>
      <c r="XEG358" s="9"/>
      <c r="XEH358" s="9"/>
      <c r="XEI358" s="9"/>
      <c r="XEJ358" s="9"/>
      <c r="XEK358" s="9"/>
      <c r="XEL358" s="9"/>
      <c r="XEM358" s="9"/>
      <c r="XEN358" s="9"/>
      <c r="XEO358" s="9"/>
      <c r="XEP358" s="9"/>
      <c r="XEQ358" s="9"/>
      <c r="XER358" s="9"/>
      <c r="XES358" s="9"/>
      <c r="XET358" s="9"/>
      <c r="XEU358" s="9"/>
      <c r="XEV358" s="9"/>
      <c r="XEW358" s="9"/>
      <c r="XEX358" s="9"/>
      <c r="XEY358" s="9"/>
      <c r="XEZ358" s="9"/>
      <c r="XFA358" s="9"/>
      <c r="XFB358" s="9"/>
      <c r="XFC358" s="9"/>
      <c r="XFD358" s="9"/>
    </row>
    <row r="359" spans="1:8 16325:16384" s="3" customFormat="1" ht="19.95" customHeight="1">
      <c r="A359" s="6" t="str">
        <f t="shared" si="11"/>
        <v>040012</v>
      </c>
      <c r="B359" s="6" t="s">
        <v>22</v>
      </c>
      <c r="C359" s="6" t="s">
        <v>21</v>
      </c>
      <c r="D359" s="6" t="str">
        <f>"512523404"</f>
        <v>512523404</v>
      </c>
      <c r="E359" s="7">
        <v>0</v>
      </c>
      <c r="F359" s="7">
        <v>0</v>
      </c>
      <c r="G359" s="7"/>
      <c r="H359" s="7">
        <v>0</v>
      </c>
      <c r="XCW359" s="9"/>
      <c r="XCX359" s="9"/>
      <c r="XCY359" s="9"/>
      <c r="XCZ359" s="9"/>
      <c r="XDA359" s="9"/>
      <c r="XDB359" s="9"/>
      <c r="XDC359" s="9"/>
      <c r="XDD359" s="9"/>
      <c r="XDE359" s="9"/>
      <c r="XDF359" s="9"/>
      <c r="XDG359" s="9"/>
      <c r="XDH359" s="9"/>
      <c r="XDI359" s="9"/>
      <c r="XDJ359" s="9"/>
      <c r="XDK359" s="9"/>
      <c r="XDL359" s="9"/>
      <c r="XDM359" s="9"/>
      <c r="XDN359" s="9"/>
      <c r="XDO359" s="9"/>
      <c r="XDP359" s="9"/>
      <c r="XDQ359" s="9"/>
      <c r="XDR359" s="9"/>
      <c r="XDS359" s="9"/>
      <c r="XDT359" s="9"/>
      <c r="XDU359" s="9"/>
      <c r="XDV359" s="9"/>
      <c r="XDW359" s="9"/>
      <c r="XDX359" s="9"/>
      <c r="XDY359" s="9"/>
      <c r="XDZ359" s="9"/>
      <c r="XEA359" s="9"/>
      <c r="XEB359" s="9"/>
      <c r="XEC359" s="9"/>
      <c r="XED359" s="9"/>
      <c r="XEE359" s="9"/>
      <c r="XEF359" s="9"/>
      <c r="XEG359" s="9"/>
      <c r="XEH359" s="9"/>
      <c r="XEI359" s="9"/>
      <c r="XEJ359" s="9"/>
      <c r="XEK359" s="9"/>
      <c r="XEL359" s="9"/>
      <c r="XEM359" s="9"/>
      <c r="XEN359" s="9"/>
      <c r="XEO359" s="9"/>
      <c r="XEP359" s="9"/>
      <c r="XEQ359" s="9"/>
      <c r="XER359" s="9"/>
      <c r="XES359" s="9"/>
      <c r="XET359" s="9"/>
      <c r="XEU359" s="9"/>
      <c r="XEV359" s="9"/>
      <c r="XEW359" s="9"/>
      <c r="XEX359" s="9"/>
      <c r="XEY359" s="9"/>
      <c r="XEZ359" s="9"/>
      <c r="XFA359" s="9"/>
      <c r="XFB359" s="9"/>
      <c r="XFC359" s="9"/>
      <c r="XFD359" s="9"/>
    </row>
    <row r="360" spans="1:8 16325:16384" s="3" customFormat="1" ht="19.95" customHeight="1">
      <c r="A360" s="6" t="str">
        <f t="shared" si="11"/>
        <v>040012</v>
      </c>
      <c r="B360" s="6" t="s">
        <v>22</v>
      </c>
      <c r="C360" s="6" t="s">
        <v>21</v>
      </c>
      <c r="D360" s="6" t="str">
        <f>"512523401"</f>
        <v>512523401</v>
      </c>
      <c r="E360" s="7">
        <v>89</v>
      </c>
      <c r="F360" s="7">
        <v>65</v>
      </c>
      <c r="G360" s="7"/>
      <c r="H360" s="7">
        <v>79.400000000000006</v>
      </c>
      <c r="XCW360" s="9"/>
      <c r="XCX360" s="9"/>
      <c r="XCY360" s="9"/>
      <c r="XCZ360" s="9"/>
      <c r="XDA360" s="9"/>
      <c r="XDB360" s="9"/>
      <c r="XDC360" s="9"/>
      <c r="XDD360" s="9"/>
      <c r="XDE360" s="9"/>
      <c r="XDF360" s="9"/>
      <c r="XDG360" s="9"/>
      <c r="XDH360" s="9"/>
      <c r="XDI360" s="9"/>
      <c r="XDJ360" s="9"/>
      <c r="XDK360" s="9"/>
      <c r="XDL360" s="9"/>
      <c r="XDM360" s="9"/>
      <c r="XDN360" s="9"/>
      <c r="XDO360" s="9"/>
      <c r="XDP360" s="9"/>
      <c r="XDQ360" s="9"/>
      <c r="XDR360" s="9"/>
      <c r="XDS360" s="9"/>
      <c r="XDT360" s="9"/>
      <c r="XDU360" s="9"/>
      <c r="XDV360" s="9"/>
      <c r="XDW360" s="9"/>
      <c r="XDX360" s="9"/>
      <c r="XDY360" s="9"/>
      <c r="XDZ360" s="9"/>
      <c r="XEA360" s="9"/>
      <c r="XEB360" s="9"/>
      <c r="XEC360" s="9"/>
      <c r="XED360" s="9"/>
      <c r="XEE360" s="9"/>
      <c r="XEF360" s="9"/>
      <c r="XEG360" s="9"/>
      <c r="XEH360" s="9"/>
      <c r="XEI360" s="9"/>
      <c r="XEJ360" s="9"/>
      <c r="XEK360" s="9"/>
      <c r="XEL360" s="9"/>
      <c r="XEM360" s="9"/>
      <c r="XEN360" s="9"/>
      <c r="XEO360" s="9"/>
      <c r="XEP360" s="9"/>
      <c r="XEQ360" s="9"/>
      <c r="XER360" s="9"/>
      <c r="XES360" s="9"/>
      <c r="XET360" s="9"/>
      <c r="XEU360" s="9"/>
      <c r="XEV360" s="9"/>
      <c r="XEW360" s="9"/>
      <c r="XEX360" s="9"/>
      <c r="XEY360" s="9"/>
      <c r="XEZ360" s="9"/>
      <c r="XFA360" s="9"/>
      <c r="XFB360" s="9"/>
      <c r="XFC360" s="9"/>
      <c r="XFD360" s="9"/>
    </row>
    <row r="361" spans="1:8 16325:16384" s="3" customFormat="1" ht="19.95" customHeight="1">
      <c r="A361" s="6" t="str">
        <f t="shared" si="11"/>
        <v>040012</v>
      </c>
      <c r="B361" s="6" t="s">
        <v>22</v>
      </c>
      <c r="C361" s="6" t="s">
        <v>21</v>
      </c>
      <c r="D361" s="6" t="str">
        <f>"512523329"</f>
        <v>512523329</v>
      </c>
      <c r="E361" s="7">
        <v>101.5</v>
      </c>
      <c r="F361" s="7">
        <v>91.5</v>
      </c>
      <c r="G361" s="7"/>
      <c r="H361" s="7">
        <v>97.5</v>
      </c>
      <c r="XCW361" s="9"/>
      <c r="XCX361" s="9"/>
      <c r="XCY361" s="9"/>
      <c r="XCZ361" s="9"/>
      <c r="XDA361" s="9"/>
      <c r="XDB361" s="9"/>
      <c r="XDC361" s="9"/>
      <c r="XDD361" s="9"/>
      <c r="XDE361" s="9"/>
      <c r="XDF361" s="9"/>
      <c r="XDG361" s="9"/>
      <c r="XDH361" s="9"/>
      <c r="XDI361" s="9"/>
      <c r="XDJ361" s="9"/>
      <c r="XDK361" s="9"/>
      <c r="XDL361" s="9"/>
      <c r="XDM361" s="9"/>
      <c r="XDN361" s="9"/>
      <c r="XDO361" s="9"/>
      <c r="XDP361" s="9"/>
      <c r="XDQ361" s="9"/>
      <c r="XDR361" s="9"/>
      <c r="XDS361" s="9"/>
      <c r="XDT361" s="9"/>
      <c r="XDU361" s="9"/>
      <c r="XDV361" s="9"/>
      <c r="XDW361" s="9"/>
      <c r="XDX361" s="9"/>
      <c r="XDY361" s="9"/>
      <c r="XDZ361" s="9"/>
      <c r="XEA361" s="9"/>
      <c r="XEB361" s="9"/>
      <c r="XEC361" s="9"/>
      <c r="XED361" s="9"/>
      <c r="XEE361" s="9"/>
      <c r="XEF361" s="9"/>
      <c r="XEG361" s="9"/>
      <c r="XEH361" s="9"/>
      <c r="XEI361" s="9"/>
      <c r="XEJ361" s="9"/>
      <c r="XEK361" s="9"/>
      <c r="XEL361" s="9"/>
      <c r="XEM361" s="9"/>
      <c r="XEN361" s="9"/>
      <c r="XEO361" s="9"/>
      <c r="XEP361" s="9"/>
      <c r="XEQ361" s="9"/>
      <c r="XER361" s="9"/>
      <c r="XES361" s="9"/>
      <c r="XET361" s="9"/>
      <c r="XEU361" s="9"/>
      <c r="XEV361" s="9"/>
      <c r="XEW361" s="9"/>
      <c r="XEX361" s="9"/>
      <c r="XEY361" s="9"/>
      <c r="XEZ361" s="9"/>
      <c r="XFA361" s="9"/>
      <c r="XFB361" s="9"/>
      <c r="XFC361" s="9"/>
      <c r="XFD361" s="9"/>
    </row>
    <row r="362" spans="1:8 16325:16384" s="3" customFormat="1" ht="19.95" customHeight="1">
      <c r="A362" s="6" t="str">
        <f t="shared" si="11"/>
        <v>040012</v>
      </c>
      <c r="B362" s="6" t="s">
        <v>22</v>
      </c>
      <c r="C362" s="6" t="s">
        <v>21</v>
      </c>
      <c r="D362" s="6" t="str">
        <f>"512523311"</f>
        <v>512523311</v>
      </c>
      <c r="E362" s="7">
        <v>36</v>
      </c>
      <c r="F362" s="7">
        <v>0</v>
      </c>
      <c r="G362" s="7"/>
      <c r="H362" s="7">
        <v>21.6</v>
      </c>
      <c r="XCW362" s="9"/>
      <c r="XCX362" s="9"/>
      <c r="XCY362" s="9"/>
      <c r="XCZ362" s="9"/>
      <c r="XDA362" s="9"/>
      <c r="XDB362" s="9"/>
      <c r="XDC362" s="9"/>
      <c r="XDD362" s="9"/>
      <c r="XDE362" s="9"/>
      <c r="XDF362" s="9"/>
      <c r="XDG362" s="9"/>
      <c r="XDH362" s="9"/>
      <c r="XDI362" s="9"/>
      <c r="XDJ362" s="9"/>
      <c r="XDK362" s="9"/>
      <c r="XDL362" s="9"/>
      <c r="XDM362" s="9"/>
      <c r="XDN362" s="9"/>
      <c r="XDO362" s="9"/>
      <c r="XDP362" s="9"/>
      <c r="XDQ362" s="9"/>
      <c r="XDR362" s="9"/>
      <c r="XDS362" s="9"/>
      <c r="XDT362" s="9"/>
      <c r="XDU362" s="9"/>
      <c r="XDV362" s="9"/>
      <c r="XDW362" s="9"/>
      <c r="XDX362" s="9"/>
      <c r="XDY362" s="9"/>
      <c r="XDZ362" s="9"/>
      <c r="XEA362" s="9"/>
      <c r="XEB362" s="9"/>
      <c r="XEC362" s="9"/>
      <c r="XED362" s="9"/>
      <c r="XEE362" s="9"/>
      <c r="XEF362" s="9"/>
      <c r="XEG362" s="9"/>
      <c r="XEH362" s="9"/>
      <c r="XEI362" s="9"/>
      <c r="XEJ362" s="9"/>
      <c r="XEK362" s="9"/>
      <c r="XEL362" s="9"/>
      <c r="XEM362" s="9"/>
      <c r="XEN362" s="9"/>
      <c r="XEO362" s="9"/>
      <c r="XEP362" s="9"/>
      <c r="XEQ362" s="9"/>
      <c r="XER362" s="9"/>
      <c r="XES362" s="9"/>
      <c r="XET362" s="9"/>
      <c r="XEU362" s="9"/>
      <c r="XEV362" s="9"/>
      <c r="XEW362" s="9"/>
      <c r="XEX362" s="9"/>
      <c r="XEY362" s="9"/>
      <c r="XEZ362" s="9"/>
      <c r="XFA362" s="9"/>
      <c r="XFB362" s="9"/>
      <c r="XFC362" s="9"/>
      <c r="XFD362" s="9"/>
    </row>
    <row r="363" spans="1:8 16325:16384" s="3" customFormat="1" ht="19.95" customHeight="1">
      <c r="A363" s="6" t="str">
        <f t="shared" si="11"/>
        <v>040012</v>
      </c>
      <c r="B363" s="6" t="s">
        <v>22</v>
      </c>
      <c r="C363" s="6" t="s">
        <v>21</v>
      </c>
      <c r="D363" s="6" t="str">
        <f>"512523325"</f>
        <v>512523325</v>
      </c>
      <c r="E363" s="7">
        <v>0</v>
      </c>
      <c r="F363" s="7">
        <v>0</v>
      </c>
      <c r="G363" s="7"/>
      <c r="H363" s="7">
        <v>0</v>
      </c>
      <c r="XCW363" s="9"/>
      <c r="XCX363" s="9"/>
      <c r="XCY363" s="9"/>
      <c r="XCZ363" s="9"/>
      <c r="XDA363" s="9"/>
      <c r="XDB363" s="9"/>
      <c r="XDC363" s="9"/>
      <c r="XDD363" s="9"/>
      <c r="XDE363" s="9"/>
      <c r="XDF363" s="9"/>
      <c r="XDG363" s="9"/>
      <c r="XDH363" s="9"/>
      <c r="XDI363" s="9"/>
      <c r="XDJ363" s="9"/>
      <c r="XDK363" s="9"/>
      <c r="XDL363" s="9"/>
      <c r="XDM363" s="9"/>
      <c r="XDN363" s="9"/>
      <c r="XDO363" s="9"/>
      <c r="XDP363" s="9"/>
      <c r="XDQ363" s="9"/>
      <c r="XDR363" s="9"/>
      <c r="XDS363" s="9"/>
      <c r="XDT363" s="9"/>
      <c r="XDU363" s="9"/>
      <c r="XDV363" s="9"/>
      <c r="XDW363" s="9"/>
      <c r="XDX363" s="9"/>
      <c r="XDY363" s="9"/>
      <c r="XDZ363" s="9"/>
      <c r="XEA363" s="9"/>
      <c r="XEB363" s="9"/>
      <c r="XEC363" s="9"/>
      <c r="XED363" s="9"/>
      <c r="XEE363" s="9"/>
      <c r="XEF363" s="9"/>
      <c r="XEG363" s="9"/>
      <c r="XEH363" s="9"/>
      <c r="XEI363" s="9"/>
      <c r="XEJ363" s="9"/>
      <c r="XEK363" s="9"/>
      <c r="XEL363" s="9"/>
      <c r="XEM363" s="9"/>
      <c r="XEN363" s="9"/>
      <c r="XEO363" s="9"/>
      <c r="XEP363" s="9"/>
      <c r="XEQ363" s="9"/>
      <c r="XER363" s="9"/>
      <c r="XES363" s="9"/>
      <c r="XET363" s="9"/>
      <c r="XEU363" s="9"/>
      <c r="XEV363" s="9"/>
      <c r="XEW363" s="9"/>
      <c r="XEX363" s="9"/>
      <c r="XEY363" s="9"/>
      <c r="XEZ363" s="9"/>
      <c r="XFA363" s="9"/>
      <c r="XFB363" s="9"/>
      <c r="XFC363" s="9"/>
      <c r="XFD363" s="9"/>
    </row>
    <row r="364" spans="1:8 16325:16384" s="3" customFormat="1" ht="19.95" customHeight="1">
      <c r="A364" s="6" t="str">
        <f t="shared" si="11"/>
        <v>040012</v>
      </c>
      <c r="B364" s="6" t="s">
        <v>22</v>
      </c>
      <c r="C364" s="6" t="s">
        <v>21</v>
      </c>
      <c r="D364" s="6" t="str">
        <f>"512523408"</f>
        <v>512523408</v>
      </c>
      <c r="E364" s="7">
        <v>0</v>
      </c>
      <c r="F364" s="7">
        <v>0</v>
      </c>
      <c r="G364" s="7"/>
      <c r="H364" s="7">
        <v>0</v>
      </c>
      <c r="XCW364" s="9"/>
      <c r="XCX364" s="9"/>
      <c r="XCY364" s="9"/>
      <c r="XCZ364" s="9"/>
      <c r="XDA364" s="9"/>
      <c r="XDB364" s="9"/>
      <c r="XDC364" s="9"/>
      <c r="XDD364" s="9"/>
      <c r="XDE364" s="9"/>
      <c r="XDF364" s="9"/>
      <c r="XDG364" s="9"/>
      <c r="XDH364" s="9"/>
      <c r="XDI364" s="9"/>
      <c r="XDJ364" s="9"/>
      <c r="XDK364" s="9"/>
      <c r="XDL364" s="9"/>
      <c r="XDM364" s="9"/>
      <c r="XDN364" s="9"/>
      <c r="XDO364" s="9"/>
      <c r="XDP364" s="9"/>
      <c r="XDQ364" s="9"/>
      <c r="XDR364" s="9"/>
      <c r="XDS364" s="9"/>
      <c r="XDT364" s="9"/>
      <c r="XDU364" s="9"/>
      <c r="XDV364" s="9"/>
      <c r="XDW364" s="9"/>
      <c r="XDX364" s="9"/>
      <c r="XDY364" s="9"/>
      <c r="XDZ364" s="9"/>
      <c r="XEA364" s="9"/>
      <c r="XEB364" s="9"/>
      <c r="XEC364" s="9"/>
      <c r="XED364" s="9"/>
      <c r="XEE364" s="9"/>
      <c r="XEF364" s="9"/>
      <c r="XEG364" s="9"/>
      <c r="XEH364" s="9"/>
      <c r="XEI364" s="9"/>
      <c r="XEJ364" s="9"/>
      <c r="XEK364" s="9"/>
      <c r="XEL364" s="9"/>
      <c r="XEM364" s="9"/>
      <c r="XEN364" s="9"/>
      <c r="XEO364" s="9"/>
      <c r="XEP364" s="9"/>
      <c r="XEQ364" s="9"/>
      <c r="XER364" s="9"/>
      <c r="XES364" s="9"/>
      <c r="XET364" s="9"/>
      <c r="XEU364" s="9"/>
      <c r="XEV364" s="9"/>
      <c r="XEW364" s="9"/>
      <c r="XEX364" s="9"/>
      <c r="XEY364" s="9"/>
      <c r="XEZ364" s="9"/>
      <c r="XFA364" s="9"/>
      <c r="XFB364" s="9"/>
      <c r="XFC364" s="9"/>
      <c r="XFD364" s="9"/>
    </row>
    <row r="365" spans="1:8 16325:16384" s="3" customFormat="1" ht="19.95" customHeight="1">
      <c r="A365" s="6" t="str">
        <f t="shared" si="11"/>
        <v>040012</v>
      </c>
      <c r="B365" s="6" t="s">
        <v>22</v>
      </c>
      <c r="C365" s="6" t="s">
        <v>21</v>
      </c>
      <c r="D365" s="6" t="str">
        <f>"512523316"</f>
        <v>512523316</v>
      </c>
      <c r="E365" s="7">
        <v>71</v>
      </c>
      <c r="F365" s="7">
        <v>71</v>
      </c>
      <c r="G365" s="7"/>
      <c r="H365" s="7">
        <v>71</v>
      </c>
      <c r="XCW365" s="9"/>
      <c r="XCX365" s="9"/>
      <c r="XCY365" s="9"/>
      <c r="XCZ365" s="9"/>
      <c r="XDA365" s="9"/>
      <c r="XDB365" s="9"/>
      <c r="XDC365" s="9"/>
      <c r="XDD365" s="9"/>
      <c r="XDE365" s="9"/>
      <c r="XDF365" s="9"/>
      <c r="XDG365" s="9"/>
      <c r="XDH365" s="9"/>
      <c r="XDI365" s="9"/>
      <c r="XDJ365" s="9"/>
      <c r="XDK365" s="9"/>
      <c r="XDL365" s="9"/>
      <c r="XDM365" s="9"/>
      <c r="XDN365" s="9"/>
      <c r="XDO365" s="9"/>
      <c r="XDP365" s="9"/>
      <c r="XDQ365" s="9"/>
      <c r="XDR365" s="9"/>
      <c r="XDS365" s="9"/>
      <c r="XDT365" s="9"/>
      <c r="XDU365" s="9"/>
      <c r="XDV365" s="9"/>
      <c r="XDW365" s="9"/>
      <c r="XDX365" s="9"/>
      <c r="XDY365" s="9"/>
      <c r="XDZ365" s="9"/>
      <c r="XEA365" s="9"/>
      <c r="XEB365" s="9"/>
      <c r="XEC365" s="9"/>
      <c r="XED365" s="9"/>
      <c r="XEE365" s="9"/>
      <c r="XEF365" s="9"/>
      <c r="XEG365" s="9"/>
      <c r="XEH365" s="9"/>
      <c r="XEI365" s="9"/>
      <c r="XEJ365" s="9"/>
      <c r="XEK365" s="9"/>
      <c r="XEL365" s="9"/>
      <c r="XEM365" s="9"/>
      <c r="XEN365" s="9"/>
      <c r="XEO365" s="9"/>
      <c r="XEP365" s="9"/>
      <c r="XEQ365" s="9"/>
      <c r="XER365" s="9"/>
      <c r="XES365" s="9"/>
      <c r="XET365" s="9"/>
      <c r="XEU365" s="9"/>
      <c r="XEV365" s="9"/>
      <c r="XEW365" s="9"/>
      <c r="XEX365" s="9"/>
      <c r="XEY365" s="9"/>
      <c r="XEZ365" s="9"/>
      <c r="XFA365" s="9"/>
      <c r="XFB365" s="9"/>
      <c r="XFC365" s="9"/>
      <c r="XFD365" s="9"/>
    </row>
    <row r="366" spans="1:8 16325:16384" s="3" customFormat="1" ht="19.95" customHeight="1">
      <c r="A366" s="6" t="str">
        <f t="shared" si="11"/>
        <v>040012</v>
      </c>
      <c r="B366" s="6" t="s">
        <v>22</v>
      </c>
      <c r="C366" s="6" t="s">
        <v>21</v>
      </c>
      <c r="D366" s="6" t="str">
        <f>"512523410"</f>
        <v>512523410</v>
      </c>
      <c r="E366" s="7">
        <v>73.5</v>
      </c>
      <c r="F366" s="7">
        <v>75</v>
      </c>
      <c r="G366" s="7"/>
      <c r="H366" s="7">
        <v>74.099999999999994</v>
      </c>
      <c r="XCW366" s="9"/>
      <c r="XCX366" s="9"/>
      <c r="XCY366" s="9"/>
      <c r="XCZ366" s="9"/>
      <c r="XDA366" s="9"/>
      <c r="XDB366" s="9"/>
      <c r="XDC366" s="9"/>
      <c r="XDD366" s="9"/>
      <c r="XDE366" s="9"/>
      <c r="XDF366" s="9"/>
      <c r="XDG366" s="9"/>
      <c r="XDH366" s="9"/>
      <c r="XDI366" s="9"/>
      <c r="XDJ366" s="9"/>
      <c r="XDK366" s="9"/>
      <c r="XDL366" s="9"/>
      <c r="XDM366" s="9"/>
      <c r="XDN366" s="9"/>
      <c r="XDO366" s="9"/>
      <c r="XDP366" s="9"/>
      <c r="XDQ366" s="9"/>
      <c r="XDR366" s="9"/>
      <c r="XDS366" s="9"/>
      <c r="XDT366" s="9"/>
      <c r="XDU366" s="9"/>
      <c r="XDV366" s="9"/>
      <c r="XDW366" s="9"/>
      <c r="XDX366" s="9"/>
      <c r="XDY366" s="9"/>
      <c r="XDZ366" s="9"/>
      <c r="XEA366" s="9"/>
      <c r="XEB366" s="9"/>
      <c r="XEC366" s="9"/>
      <c r="XED366" s="9"/>
      <c r="XEE366" s="9"/>
      <c r="XEF366" s="9"/>
      <c r="XEG366" s="9"/>
      <c r="XEH366" s="9"/>
      <c r="XEI366" s="9"/>
      <c r="XEJ366" s="9"/>
      <c r="XEK366" s="9"/>
      <c r="XEL366" s="9"/>
      <c r="XEM366" s="9"/>
      <c r="XEN366" s="9"/>
      <c r="XEO366" s="9"/>
      <c r="XEP366" s="9"/>
      <c r="XEQ366" s="9"/>
      <c r="XER366" s="9"/>
      <c r="XES366" s="9"/>
      <c r="XET366" s="9"/>
      <c r="XEU366" s="9"/>
      <c r="XEV366" s="9"/>
      <c r="XEW366" s="9"/>
      <c r="XEX366" s="9"/>
      <c r="XEY366" s="9"/>
      <c r="XEZ366" s="9"/>
      <c r="XFA366" s="9"/>
      <c r="XFB366" s="9"/>
      <c r="XFC366" s="9"/>
      <c r="XFD366" s="9"/>
    </row>
    <row r="367" spans="1:8 16325:16384" s="3" customFormat="1" ht="19.95" customHeight="1">
      <c r="A367" s="6" t="str">
        <f t="shared" ref="A367:A380" si="12">"040013"</f>
        <v>040013</v>
      </c>
      <c r="B367" s="6" t="s">
        <v>11</v>
      </c>
      <c r="C367" s="6" t="s">
        <v>21</v>
      </c>
      <c r="D367" s="6" t="str">
        <f>"512420125"</f>
        <v>512420125</v>
      </c>
      <c r="E367" s="7">
        <v>96.5</v>
      </c>
      <c r="F367" s="7">
        <v>66.5</v>
      </c>
      <c r="G367" s="7"/>
      <c r="H367" s="7">
        <v>84.5</v>
      </c>
      <c r="XCW367" s="9"/>
      <c r="XCX367" s="9"/>
      <c r="XCY367" s="9"/>
      <c r="XCZ367" s="9"/>
      <c r="XDA367" s="9"/>
      <c r="XDB367" s="9"/>
      <c r="XDC367" s="9"/>
      <c r="XDD367" s="9"/>
      <c r="XDE367" s="9"/>
      <c r="XDF367" s="9"/>
      <c r="XDG367" s="9"/>
      <c r="XDH367" s="9"/>
      <c r="XDI367" s="9"/>
      <c r="XDJ367" s="9"/>
      <c r="XDK367" s="9"/>
      <c r="XDL367" s="9"/>
      <c r="XDM367" s="9"/>
      <c r="XDN367" s="9"/>
      <c r="XDO367" s="9"/>
      <c r="XDP367" s="9"/>
      <c r="XDQ367" s="9"/>
      <c r="XDR367" s="9"/>
      <c r="XDS367" s="9"/>
      <c r="XDT367" s="9"/>
      <c r="XDU367" s="9"/>
      <c r="XDV367" s="9"/>
      <c r="XDW367" s="9"/>
      <c r="XDX367" s="9"/>
      <c r="XDY367" s="9"/>
      <c r="XDZ367" s="9"/>
      <c r="XEA367" s="9"/>
      <c r="XEB367" s="9"/>
      <c r="XEC367" s="9"/>
      <c r="XED367" s="9"/>
      <c r="XEE367" s="9"/>
      <c r="XEF367" s="9"/>
      <c r="XEG367" s="9"/>
      <c r="XEH367" s="9"/>
      <c r="XEI367" s="9"/>
      <c r="XEJ367" s="9"/>
      <c r="XEK367" s="9"/>
      <c r="XEL367" s="9"/>
      <c r="XEM367" s="9"/>
      <c r="XEN367" s="9"/>
      <c r="XEO367" s="9"/>
      <c r="XEP367" s="9"/>
      <c r="XEQ367" s="9"/>
      <c r="XER367" s="9"/>
      <c r="XES367" s="9"/>
      <c r="XET367" s="9"/>
      <c r="XEU367" s="9"/>
      <c r="XEV367" s="9"/>
      <c r="XEW367" s="9"/>
      <c r="XEX367" s="9"/>
      <c r="XEY367" s="9"/>
      <c r="XEZ367" s="9"/>
      <c r="XFA367" s="9"/>
      <c r="XFB367" s="9"/>
      <c r="XFC367" s="9"/>
      <c r="XFD367" s="9"/>
    </row>
    <row r="368" spans="1:8 16325:16384" s="3" customFormat="1" ht="19.95" customHeight="1">
      <c r="A368" s="6" t="str">
        <f t="shared" si="12"/>
        <v>040013</v>
      </c>
      <c r="B368" s="6" t="s">
        <v>11</v>
      </c>
      <c r="C368" s="6" t="s">
        <v>21</v>
      </c>
      <c r="D368" s="6" t="str">
        <f>"512420120"</f>
        <v>512420120</v>
      </c>
      <c r="E368" s="7">
        <v>80.5</v>
      </c>
      <c r="F368" s="7">
        <v>84</v>
      </c>
      <c r="G368" s="7"/>
      <c r="H368" s="7">
        <v>81.900000000000006</v>
      </c>
      <c r="XCW368" s="9"/>
      <c r="XCX368" s="9"/>
      <c r="XCY368" s="9"/>
      <c r="XCZ368" s="9"/>
      <c r="XDA368" s="9"/>
      <c r="XDB368" s="9"/>
      <c r="XDC368" s="9"/>
      <c r="XDD368" s="9"/>
      <c r="XDE368" s="9"/>
      <c r="XDF368" s="9"/>
      <c r="XDG368" s="9"/>
      <c r="XDH368" s="9"/>
      <c r="XDI368" s="9"/>
      <c r="XDJ368" s="9"/>
      <c r="XDK368" s="9"/>
      <c r="XDL368" s="9"/>
      <c r="XDM368" s="9"/>
      <c r="XDN368" s="9"/>
      <c r="XDO368" s="9"/>
      <c r="XDP368" s="9"/>
      <c r="XDQ368" s="9"/>
      <c r="XDR368" s="9"/>
      <c r="XDS368" s="9"/>
      <c r="XDT368" s="9"/>
      <c r="XDU368" s="9"/>
      <c r="XDV368" s="9"/>
      <c r="XDW368" s="9"/>
      <c r="XDX368" s="9"/>
      <c r="XDY368" s="9"/>
      <c r="XDZ368" s="9"/>
      <c r="XEA368" s="9"/>
      <c r="XEB368" s="9"/>
      <c r="XEC368" s="9"/>
      <c r="XED368" s="9"/>
      <c r="XEE368" s="9"/>
      <c r="XEF368" s="9"/>
      <c r="XEG368" s="9"/>
      <c r="XEH368" s="9"/>
      <c r="XEI368" s="9"/>
      <c r="XEJ368" s="9"/>
      <c r="XEK368" s="9"/>
      <c r="XEL368" s="9"/>
      <c r="XEM368" s="9"/>
      <c r="XEN368" s="9"/>
      <c r="XEO368" s="9"/>
      <c r="XEP368" s="9"/>
      <c r="XEQ368" s="9"/>
      <c r="XER368" s="9"/>
      <c r="XES368" s="9"/>
      <c r="XET368" s="9"/>
      <c r="XEU368" s="9"/>
      <c r="XEV368" s="9"/>
      <c r="XEW368" s="9"/>
      <c r="XEX368" s="9"/>
      <c r="XEY368" s="9"/>
      <c r="XEZ368" s="9"/>
      <c r="XFA368" s="9"/>
      <c r="XFB368" s="9"/>
      <c r="XFC368" s="9"/>
      <c r="XFD368" s="9"/>
    </row>
    <row r="369" spans="1:8 16325:16384" s="3" customFormat="1" ht="19.95" customHeight="1">
      <c r="A369" s="6" t="str">
        <f t="shared" si="12"/>
        <v>040013</v>
      </c>
      <c r="B369" s="6" t="s">
        <v>11</v>
      </c>
      <c r="C369" s="6" t="s">
        <v>21</v>
      </c>
      <c r="D369" s="6" t="str">
        <f>"512420126"</f>
        <v>512420126</v>
      </c>
      <c r="E369" s="7">
        <v>88</v>
      </c>
      <c r="F369" s="7">
        <v>72.5</v>
      </c>
      <c r="G369" s="7"/>
      <c r="H369" s="7">
        <v>81.8</v>
      </c>
      <c r="XCW369" s="9"/>
      <c r="XCX369" s="9"/>
      <c r="XCY369" s="9"/>
      <c r="XCZ369" s="9"/>
      <c r="XDA369" s="9"/>
      <c r="XDB369" s="9"/>
      <c r="XDC369" s="9"/>
      <c r="XDD369" s="9"/>
      <c r="XDE369" s="9"/>
      <c r="XDF369" s="9"/>
      <c r="XDG369" s="9"/>
      <c r="XDH369" s="9"/>
      <c r="XDI369" s="9"/>
      <c r="XDJ369" s="9"/>
      <c r="XDK369" s="9"/>
      <c r="XDL369" s="9"/>
      <c r="XDM369" s="9"/>
      <c r="XDN369" s="9"/>
      <c r="XDO369" s="9"/>
      <c r="XDP369" s="9"/>
      <c r="XDQ369" s="9"/>
      <c r="XDR369" s="9"/>
      <c r="XDS369" s="9"/>
      <c r="XDT369" s="9"/>
      <c r="XDU369" s="9"/>
      <c r="XDV369" s="9"/>
      <c r="XDW369" s="9"/>
      <c r="XDX369" s="9"/>
      <c r="XDY369" s="9"/>
      <c r="XDZ369" s="9"/>
      <c r="XEA369" s="9"/>
      <c r="XEB369" s="9"/>
      <c r="XEC369" s="9"/>
      <c r="XED369" s="9"/>
      <c r="XEE369" s="9"/>
      <c r="XEF369" s="9"/>
      <c r="XEG369" s="9"/>
      <c r="XEH369" s="9"/>
      <c r="XEI369" s="9"/>
      <c r="XEJ369" s="9"/>
      <c r="XEK369" s="9"/>
      <c r="XEL369" s="9"/>
      <c r="XEM369" s="9"/>
      <c r="XEN369" s="9"/>
      <c r="XEO369" s="9"/>
      <c r="XEP369" s="9"/>
      <c r="XEQ369" s="9"/>
      <c r="XER369" s="9"/>
      <c r="XES369" s="9"/>
      <c r="XET369" s="9"/>
      <c r="XEU369" s="9"/>
      <c r="XEV369" s="9"/>
      <c r="XEW369" s="9"/>
      <c r="XEX369" s="9"/>
      <c r="XEY369" s="9"/>
      <c r="XEZ369" s="9"/>
      <c r="XFA369" s="9"/>
      <c r="XFB369" s="9"/>
      <c r="XFC369" s="9"/>
      <c r="XFD369" s="9"/>
    </row>
    <row r="370" spans="1:8 16325:16384" s="3" customFormat="1" ht="19.95" customHeight="1">
      <c r="A370" s="6" t="str">
        <f t="shared" si="12"/>
        <v>040013</v>
      </c>
      <c r="B370" s="6" t="s">
        <v>11</v>
      </c>
      <c r="C370" s="6" t="s">
        <v>21</v>
      </c>
      <c r="D370" s="6" t="str">
        <f>"512420121"</f>
        <v>512420121</v>
      </c>
      <c r="E370" s="7">
        <v>0</v>
      </c>
      <c r="F370" s="7">
        <v>0</v>
      </c>
      <c r="G370" s="7"/>
      <c r="H370" s="7">
        <v>0</v>
      </c>
      <c r="XCW370" s="9"/>
      <c r="XCX370" s="9"/>
      <c r="XCY370" s="9"/>
      <c r="XCZ370" s="9"/>
      <c r="XDA370" s="9"/>
      <c r="XDB370" s="9"/>
      <c r="XDC370" s="9"/>
      <c r="XDD370" s="9"/>
      <c r="XDE370" s="9"/>
      <c r="XDF370" s="9"/>
      <c r="XDG370" s="9"/>
      <c r="XDH370" s="9"/>
      <c r="XDI370" s="9"/>
      <c r="XDJ370" s="9"/>
      <c r="XDK370" s="9"/>
      <c r="XDL370" s="9"/>
      <c r="XDM370" s="9"/>
      <c r="XDN370" s="9"/>
      <c r="XDO370" s="9"/>
      <c r="XDP370" s="9"/>
      <c r="XDQ370" s="9"/>
      <c r="XDR370" s="9"/>
      <c r="XDS370" s="9"/>
      <c r="XDT370" s="9"/>
      <c r="XDU370" s="9"/>
      <c r="XDV370" s="9"/>
      <c r="XDW370" s="9"/>
      <c r="XDX370" s="9"/>
      <c r="XDY370" s="9"/>
      <c r="XDZ370" s="9"/>
      <c r="XEA370" s="9"/>
      <c r="XEB370" s="9"/>
      <c r="XEC370" s="9"/>
      <c r="XED370" s="9"/>
      <c r="XEE370" s="9"/>
      <c r="XEF370" s="9"/>
      <c r="XEG370" s="9"/>
      <c r="XEH370" s="9"/>
      <c r="XEI370" s="9"/>
      <c r="XEJ370" s="9"/>
      <c r="XEK370" s="9"/>
      <c r="XEL370" s="9"/>
      <c r="XEM370" s="9"/>
      <c r="XEN370" s="9"/>
      <c r="XEO370" s="9"/>
      <c r="XEP370" s="9"/>
      <c r="XEQ370" s="9"/>
      <c r="XER370" s="9"/>
      <c r="XES370" s="9"/>
      <c r="XET370" s="9"/>
      <c r="XEU370" s="9"/>
      <c r="XEV370" s="9"/>
      <c r="XEW370" s="9"/>
      <c r="XEX370" s="9"/>
      <c r="XEY370" s="9"/>
      <c r="XEZ370" s="9"/>
      <c r="XFA370" s="9"/>
      <c r="XFB370" s="9"/>
      <c r="XFC370" s="9"/>
      <c r="XFD370" s="9"/>
    </row>
    <row r="371" spans="1:8 16325:16384" s="3" customFormat="1" ht="19.95" customHeight="1">
      <c r="A371" s="6" t="str">
        <f t="shared" si="12"/>
        <v>040013</v>
      </c>
      <c r="B371" s="6" t="s">
        <v>11</v>
      </c>
      <c r="C371" s="6" t="s">
        <v>21</v>
      </c>
      <c r="D371" s="6" t="str">
        <f>"512420116"</f>
        <v>512420116</v>
      </c>
      <c r="E371" s="7">
        <v>0</v>
      </c>
      <c r="F371" s="7">
        <v>0</v>
      </c>
      <c r="G371" s="7"/>
      <c r="H371" s="7">
        <v>0</v>
      </c>
      <c r="XCW371" s="9"/>
      <c r="XCX371" s="9"/>
      <c r="XCY371" s="9"/>
      <c r="XCZ371" s="9"/>
      <c r="XDA371" s="9"/>
      <c r="XDB371" s="9"/>
      <c r="XDC371" s="9"/>
      <c r="XDD371" s="9"/>
      <c r="XDE371" s="9"/>
      <c r="XDF371" s="9"/>
      <c r="XDG371" s="9"/>
      <c r="XDH371" s="9"/>
      <c r="XDI371" s="9"/>
      <c r="XDJ371" s="9"/>
      <c r="XDK371" s="9"/>
      <c r="XDL371" s="9"/>
      <c r="XDM371" s="9"/>
      <c r="XDN371" s="9"/>
      <c r="XDO371" s="9"/>
      <c r="XDP371" s="9"/>
      <c r="XDQ371" s="9"/>
      <c r="XDR371" s="9"/>
      <c r="XDS371" s="9"/>
      <c r="XDT371" s="9"/>
      <c r="XDU371" s="9"/>
      <c r="XDV371" s="9"/>
      <c r="XDW371" s="9"/>
      <c r="XDX371" s="9"/>
      <c r="XDY371" s="9"/>
      <c r="XDZ371" s="9"/>
      <c r="XEA371" s="9"/>
      <c r="XEB371" s="9"/>
      <c r="XEC371" s="9"/>
      <c r="XED371" s="9"/>
      <c r="XEE371" s="9"/>
      <c r="XEF371" s="9"/>
      <c r="XEG371" s="9"/>
      <c r="XEH371" s="9"/>
      <c r="XEI371" s="9"/>
      <c r="XEJ371" s="9"/>
      <c r="XEK371" s="9"/>
      <c r="XEL371" s="9"/>
      <c r="XEM371" s="9"/>
      <c r="XEN371" s="9"/>
      <c r="XEO371" s="9"/>
      <c r="XEP371" s="9"/>
      <c r="XEQ371" s="9"/>
      <c r="XER371" s="9"/>
      <c r="XES371" s="9"/>
      <c r="XET371" s="9"/>
      <c r="XEU371" s="9"/>
      <c r="XEV371" s="9"/>
      <c r="XEW371" s="9"/>
      <c r="XEX371" s="9"/>
      <c r="XEY371" s="9"/>
      <c r="XEZ371" s="9"/>
      <c r="XFA371" s="9"/>
      <c r="XFB371" s="9"/>
      <c r="XFC371" s="9"/>
      <c r="XFD371" s="9"/>
    </row>
    <row r="372" spans="1:8 16325:16384" s="3" customFormat="1" ht="19.95" customHeight="1">
      <c r="A372" s="6" t="str">
        <f t="shared" si="12"/>
        <v>040013</v>
      </c>
      <c r="B372" s="6" t="s">
        <v>11</v>
      </c>
      <c r="C372" s="6" t="s">
        <v>21</v>
      </c>
      <c r="D372" s="6" t="str">
        <f>"512420122"</f>
        <v>512420122</v>
      </c>
      <c r="E372" s="7">
        <v>70.5</v>
      </c>
      <c r="F372" s="7">
        <v>65</v>
      </c>
      <c r="G372" s="7"/>
      <c r="H372" s="7">
        <v>68.3</v>
      </c>
      <c r="XCW372" s="9"/>
      <c r="XCX372" s="9"/>
      <c r="XCY372" s="9"/>
      <c r="XCZ372" s="9"/>
      <c r="XDA372" s="9"/>
      <c r="XDB372" s="9"/>
      <c r="XDC372" s="9"/>
      <c r="XDD372" s="9"/>
      <c r="XDE372" s="9"/>
      <c r="XDF372" s="9"/>
      <c r="XDG372" s="9"/>
      <c r="XDH372" s="9"/>
      <c r="XDI372" s="9"/>
      <c r="XDJ372" s="9"/>
      <c r="XDK372" s="9"/>
      <c r="XDL372" s="9"/>
      <c r="XDM372" s="9"/>
      <c r="XDN372" s="9"/>
      <c r="XDO372" s="9"/>
      <c r="XDP372" s="9"/>
      <c r="XDQ372" s="9"/>
      <c r="XDR372" s="9"/>
      <c r="XDS372" s="9"/>
      <c r="XDT372" s="9"/>
      <c r="XDU372" s="9"/>
      <c r="XDV372" s="9"/>
      <c r="XDW372" s="9"/>
      <c r="XDX372" s="9"/>
      <c r="XDY372" s="9"/>
      <c r="XDZ372" s="9"/>
      <c r="XEA372" s="9"/>
      <c r="XEB372" s="9"/>
      <c r="XEC372" s="9"/>
      <c r="XED372" s="9"/>
      <c r="XEE372" s="9"/>
      <c r="XEF372" s="9"/>
      <c r="XEG372" s="9"/>
      <c r="XEH372" s="9"/>
      <c r="XEI372" s="9"/>
      <c r="XEJ372" s="9"/>
      <c r="XEK372" s="9"/>
      <c r="XEL372" s="9"/>
      <c r="XEM372" s="9"/>
      <c r="XEN372" s="9"/>
      <c r="XEO372" s="9"/>
      <c r="XEP372" s="9"/>
      <c r="XEQ372" s="9"/>
      <c r="XER372" s="9"/>
      <c r="XES372" s="9"/>
      <c r="XET372" s="9"/>
      <c r="XEU372" s="9"/>
      <c r="XEV372" s="9"/>
      <c r="XEW372" s="9"/>
      <c r="XEX372" s="9"/>
      <c r="XEY372" s="9"/>
      <c r="XEZ372" s="9"/>
      <c r="XFA372" s="9"/>
      <c r="XFB372" s="9"/>
      <c r="XFC372" s="9"/>
      <c r="XFD372" s="9"/>
    </row>
    <row r="373" spans="1:8 16325:16384" s="3" customFormat="1" ht="19.95" customHeight="1">
      <c r="A373" s="6" t="str">
        <f t="shared" si="12"/>
        <v>040013</v>
      </c>
      <c r="B373" s="6" t="s">
        <v>11</v>
      </c>
      <c r="C373" s="6" t="s">
        <v>21</v>
      </c>
      <c r="D373" s="6" t="str">
        <f>"512420115"</f>
        <v>512420115</v>
      </c>
      <c r="E373" s="7">
        <v>0</v>
      </c>
      <c r="F373" s="7">
        <v>0</v>
      </c>
      <c r="G373" s="7"/>
      <c r="H373" s="7">
        <v>0</v>
      </c>
      <c r="XCW373" s="9"/>
      <c r="XCX373" s="9"/>
      <c r="XCY373" s="9"/>
      <c r="XCZ373" s="9"/>
      <c r="XDA373" s="9"/>
      <c r="XDB373" s="9"/>
      <c r="XDC373" s="9"/>
      <c r="XDD373" s="9"/>
      <c r="XDE373" s="9"/>
      <c r="XDF373" s="9"/>
      <c r="XDG373" s="9"/>
      <c r="XDH373" s="9"/>
      <c r="XDI373" s="9"/>
      <c r="XDJ373" s="9"/>
      <c r="XDK373" s="9"/>
      <c r="XDL373" s="9"/>
      <c r="XDM373" s="9"/>
      <c r="XDN373" s="9"/>
      <c r="XDO373" s="9"/>
      <c r="XDP373" s="9"/>
      <c r="XDQ373" s="9"/>
      <c r="XDR373" s="9"/>
      <c r="XDS373" s="9"/>
      <c r="XDT373" s="9"/>
      <c r="XDU373" s="9"/>
      <c r="XDV373" s="9"/>
      <c r="XDW373" s="9"/>
      <c r="XDX373" s="9"/>
      <c r="XDY373" s="9"/>
      <c r="XDZ373" s="9"/>
      <c r="XEA373" s="9"/>
      <c r="XEB373" s="9"/>
      <c r="XEC373" s="9"/>
      <c r="XED373" s="9"/>
      <c r="XEE373" s="9"/>
      <c r="XEF373" s="9"/>
      <c r="XEG373" s="9"/>
      <c r="XEH373" s="9"/>
      <c r="XEI373" s="9"/>
      <c r="XEJ373" s="9"/>
      <c r="XEK373" s="9"/>
      <c r="XEL373" s="9"/>
      <c r="XEM373" s="9"/>
      <c r="XEN373" s="9"/>
      <c r="XEO373" s="9"/>
      <c r="XEP373" s="9"/>
      <c r="XEQ373" s="9"/>
      <c r="XER373" s="9"/>
      <c r="XES373" s="9"/>
      <c r="XET373" s="9"/>
      <c r="XEU373" s="9"/>
      <c r="XEV373" s="9"/>
      <c r="XEW373" s="9"/>
      <c r="XEX373" s="9"/>
      <c r="XEY373" s="9"/>
      <c r="XEZ373" s="9"/>
      <c r="XFA373" s="9"/>
      <c r="XFB373" s="9"/>
      <c r="XFC373" s="9"/>
      <c r="XFD373" s="9"/>
    </row>
    <row r="374" spans="1:8 16325:16384" s="3" customFormat="1" ht="19.95" customHeight="1">
      <c r="A374" s="6" t="str">
        <f t="shared" si="12"/>
        <v>040013</v>
      </c>
      <c r="B374" s="6" t="s">
        <v>11</v>
      </c>
      <c r="C374" s="6" t="s">
        <v>21</v>
      </c>
      <c r="D374" s="6" t="str">
        <f>"512420114"</f>
        <v>512420114</v>
      </c>
      <c r="E374" s="7">
        <v>0</v>
      </c>
      <c r="F374" s="7">
        <v>0</v>
      </c>
      <c r="G374" s="7"/>
      <c r="H374" s="7">
        <v>0</v>
      </c>
      <c r="XCW374" s="9"/>
      <c r="XCX374" s="9"/>
      <c r="XCY374" s="9"/>
      <c r="XCZ374" s="9"/>
      <c r="XDA374" s="9"/>
      <c r="XDB374" s="9"/>
      <c r="XDC374" s="9"/>
      <c r="XDD374" s="9"/>
      <c r="XDE374" s="9"/>
      <c r="XDF374" s="9"/>
      <c r="XDG374" s="9"/>
      <c r="XDH374" s="9"/>
      <c r="XDI374" s="9"/>
      <c r="XDJ374" s="9"/>
      <c r="XDK374" s="9"/>
      <c r="XDL374" s="9"/>
      <c r="XDM374" s="9"/>
      <c r="XDN374" s="9"/>
      <c r="XDO374" s="9"/>
      <c r="XDP374" s="9"/>
      <c r="XDQ374" s="9"/>
      <c r="XDR374" s="9"/>
      <c r="XDS374" s="9"/>
      <c r="XDT374" s="9"/>
      <c r="XDU374" s="9"/>
      <c r="XDV374" s="9"/>
      <c r="XDW374" s="9"/>
      <c r="XDX374" s="9"/>
      <c r="XDY374" s="9"/>
      <c r="XDZ374" s="9"/>
      <c r="XEA374" s="9"/>
      <c r="XEB374" s="9"/>
      <c r="XEC374" s="9"/>
      <c r="XED374" s="9"/>
      <c r="XEE374" s="9"/>
      <c r="XEF374" s="9"/>
      <c r="XEG374" s="9"/>
      <c r="XEH374" s="9"/>
      <c r="XEI374" s="9"/>
      <c r="XEJ374" s="9"/>
      <c r="XEK374" s="9"/>
      <c r="XEL374" s="9"/>
      <c r="XEM374" s="9"/>
      <c r="XEN374" s="9"/>
      <c r="XEO374" s="9"/>
      <c r="XEP374" s="9"/>
      <c r="XEQ374" s="9"/>
      <c r="XER374" s="9"/>
      <c r="XES374" s="9"/>
      <c r="XET374" s="9"/>
      <c r="XEU374" s="9"/>
      <c r="XEV374" s="9"/>
      <c r="XEW374" s="9"/>
      <c r="XEX374" s="9"/>
      <c r="XEY374" s="9"/>
      <c r="XEZ374" s="9"/>
      <c r="XFA374" s="9"/>
      <c r="XFB374" s="9"/>
      <c r="XFC374" s="9"/>
      <c r="XFD374" s="9"/>
    </row>
    <row r="375" spans="1:8 16325:16384" s="3" customFormat="1" ht="19.95" customHeight="1">
      <c r="A375" s="6" t="str">
        <f t="shared" si="12"/>
        <v>040013</v>
      </c>
      <c r="B375" s="6" t="s">
        <v>11</v>
      </c>
      <c r="C375" s="6" t="s">
        <v>21</v>
      </c>
      <c r="D375" s="6" t="str">
        <f>"512420117"</f>
        <v>512420117</v>
      </c>
      <c r="E375" s="7">
        <v>0</v>
      </c>
      <c r="F375" s="7">
        <v>0</v>
      </c>
      <c r="G375" s="7"/>
      <c r="H375" s="7">
        <v>0</v>
      </c>
      <c r="XCW375" s="9"/>
      <c r="XCX375" s="9"/>
      <c r="XCY375" s="9"/>
      <c r="XCZ375" s="9"/>
      <c r="XDA375" s="9"/>
      <c r="XDB375" s="9"/>
      <c r="XDC375" s="9"/>
      <c r="XDD375" s="9"/>
      <c r="XDE375" s="9"/>
      <c r="XDF375" s="9"/>
      <c r="XDG375" s="9"/>
      <c r="XDH375" s="9"/>
      <c r="XDI375" s="9"/>
      <c r="XDJ375" s="9"/>
      <c r="XDK375" s="9"/>
      <c r="XDL375" s="9"/>
      <c r="XDM375" s="9"/>
      <c r="XDN375" s="9"/>
      <c r="XDO375" s="9"/>
      <c r="XDP375" s="9"/>
      <c r="XDQ375" s="9"/>
      <c r="XDR375" s="9"/>
      <c r="XDS375" s="9"/>
      <c r="XDT375" s="9"/>
      <c r="XDU375" s="9"/>
      <c r="XDV375" s="9"/>
      <c r="XDW375" s="9"/>
      <c r="XDX375" s="9"/>
      <c r="XDY375" s="9"/>
      <c r="XDZ375" s="9"/>
      <c r="XEA375" s="9"/>
      <c r="XEB375" s="9"/>
      <c r="XEC375" s="9"/>
      <c r="XED375" s="9"/>
      <c r="XEE375" s="9"/>
      <c r="XEF375" s="9"/>
      <c r="XEG375" s="9"/>
      <c r="XEH375" s="9"/>
      <c r="XEI375" s="9"/>
      <c r="XEJ375" s="9"/>
      <c r="XEK375" s="9"/>
      <c r="XEL375" s="9"/>
      <c r="XEM375" s="9"/>
      <c r="XEN375" s="9"/>
      <c r="XEO375" s="9"/>
      <c r="XEP375" s="9"/>
      <c r="XEQ375" s="9"/>
      <c r="XER375" s="9"/>
      <c r="XES375" s="9"/>
      <c r="XET375" s="9"/>
      <c r="XEU375" s="9"/>
      <c r="XEV375" s="9"/>
      <c r="XEW375" s="9"/>
      <c r="XEX375" s="9"/>
      <c r="XEY375" s="9"/>
      <c r="XEZ375" s="9"/>
      <c r="XFA375" s="9"/>
      <c r="XFB375" s="9"/>
      <c r="XFC375" s="9"/>
      <c r="XFD375" s="9"/>
    </row>
    <row r="376" spans="1:8 16325:16384" s="3" customFormat="1" ht="19.95" customHeight="1">
      <c r="A376" s="6" t="str">
        <f t="shared" si="12"/>
        <v>040013</v>
      </c>
      <c r="B376" s="6" t="s">
        <v>11</v>
      </c>
      <c r="C376" s="6" t="s">
        <v>21</v>
      </c>
      <c r="D376" s="6" t="str">
        <f>"512420118"</f>
        <v>512420118</v>
      </c>
      <c r="E376" s="7">
        <v>0</v>
      </c>
      <c r="F376" s="7">
        <v>0</v>
      </c>
      <c r="G376" s="7"/>
      <c r="H376" s="7">
        <v>0</v>
      </c>
      <c r="XCW376" s="9"/>
      <c r="XCX376" s="9"/>
      <c r="XCY376" s="9"/>
      <c r="XCZ376" s="9"/>
      <c r="XDA376" s="9"/>
      <c r="XDB376" s="9"/>
      <c r="XDC376" s="9"/>
      <c r="XDD376" s="9"/>
      <c r="XDE376" s="9"/>
      <c r="XDF376" s="9"/>
      <c r="XDG376" s="9"/>
      <c r="XDH376" s="9"/>
      <c r="XDI376" s="9"/>
      <c r="XDJ376" s="9"/>
      <c r="XDK376" s="9"/>
      <c r="XDL376" s="9"/>
      <c r="XDM376" s="9"/>
      <c r="XDN376" s="9"/>
      <c r="XDO376" s="9"/>
      <c r="XDP376" s="9"/>
      <c r="XDQ376" s="9"/>
      <c r="XDR376" s="9"/>
      <c r="XDS376" s="9"/>
      <c r="XDT376" s="9"/>
      <c r="XDU376" s="9"/>
      <c r="XDV376" s="9"/>
      <c r="XDW376" s="9"/>
      <c r="XDX376" s="9"/>
      <c r="XDY376" s="9"/>
      <c r="XDZ376" s="9"/>
      <c r="XEA376" s="9"/>
      <c r="XEB376" s="9"/>
      <c r="XEC376" s="9"/>
      <c r="XED376" s="9"/>
      <c r="XEE376" s="9"/>
      <c r="XEF376" s="9"/>
      <c r="XEG376" s="9"/>
      <c r="XEH376" s="9"/>
      <c r="XEI376" s="9"/>
      <c r="XEJ376" s="9"/>
      <c r="XEK376" s="9"/>
      <c r="XEL376" s="9"/>
      <c r="XEM376" s="9"/>
      <c r="XEN376" s="9"/>
      <c r="XEO376" s="9"/>
      <c r="XEP376" s="9"/>
      <c r="XEQ376" s="9"/>
      <c r="XER376" s="9"/>
      <c r="XES376" s="9"/>
      <c r="XET376" s="9"/>
      <c r="XEU376" s="9"/>
      <c r="XEV376" s="9"/>
      <c r="XEW376" s="9"/>
      <c r="XEX376" s="9"/>
      <c r="XEY376" s="9"/>
      <c r="XEZ376" s="9"/>
      <c r="XFA376" s="9"/>
      <c r="XFB376" s="9"/>
      <c r="XFC376" s="9"/>
      <c r="XFD376" s="9"/>
    </row>
    <row r="377" spans="1:8 16325:16384" s="3" customFormat="1" ht="19.95" customHeight="1">
      <c r="A377" s="6" t="str">
        <f t="shared" si="12"/>
        <v>040013</v>
      </c>
      <c r="B377" s="6" t="s">
        <v>11</v>
      </c>
      <c r="C377" s="6" t="s">
        <v>21</v>
      </c>
      <c r="D377" s="6" t="str">
        <f>"512420124"</f>
        <v>512420124</v>
      </c>
      <c r="E377" s="7">
        <v>0</v>
      </c>
      <c r="F377" s="7">
        <v>0</v>
      </c>
      <c r="G377" s="7"/>
      <c r="H377" s="7">
        <v>0</v>
      </c>
      <c r="XCW377" s="9"/>
      <c r="XCX377" s="9"/>
      <c r="XCY377" s="9"/>
      <c r="XCZ377" s="9"/>
      <c r="XDA377" s="9"/>
      <c r="XDB377" s="9"/>
      <c r="XDC377" s="9"/>
      <c r="XDD377" s="9"/>
      <c r="XDE377" s="9"/>
      <c r="XDF377" s="9"/>
      <c r="XDG377" s="9"/>
      <c r="XDH377" s="9"/>
      <c r="XDI377" s="9"/>
      <c r="XDJ377" s="9"/>
      <c r="XDK377" s="9"/>
      <c r="XDL377" s="9"/>
      <c r="XDM377" s="9"/>
      <c r="XDN377" s="9"/>
      <c r="XDO377" s="9"/>
      <c r="XDP377" s="9"/>
      <c r="XDQ377" s="9"/>
      <c r="XDR377" s="9"/>
      <c r="XDS377" s="9"/>
      <c r="XDT377" s="9"/>
      <c r="XDU377" s="9"/>
      <c r="XDV377" s="9"/>
      <c r="XDW377" s="9"/>
      <c r="XDX377" s="9"/>
      <c r="XDY377" s="9"/>
      <c r="XDZ377" s="9"/>
      <c r="XEA377" s="9"/>
      <c r="XEB377" s="9"/>
      <c r="XEC377" s="9"/>
      <c r="XED377" s="9"/>
      <c r="XEE377" s="9"/>
      <c r="XEF377" s="9"/>
      <c r="XEG377" s="9"/>
      <c r="XEH377" s="9"/>
      <c r="XEI377" s="9"/>
      <c r="XEJ377" s="9"/>
      <c r="XEK377" s="9"/>
      <c r="XEL377" s="9"/>
      <c r="XEM377" s="9"/>
      <c r="XEN377" s="9"/>
      <c r="XEO377" s="9"/>
      <c r="XEP377" s="9"/>
      <c r="XEQ377" s="9"/>
      <c r="XER377" s="9"/>
      <c r="XES377" s="9"/>
      <c r="XET377" s="9"/>
      <c r="XEU377" s="9"/>
      <c r="XEV377" s="9"/>
      <c r="XEW377" s="9"/>
      <c r="XEX377" s="9"/>
      <c r="XEY377" s="9"/>
      <c r="XEZ377" s="9"/>
      <c r="XFA377" s="9"/>
      <c r="XFB377" s="9"/>
      <c r="XFC377" s="9"/>
      <c r="XFD377" s="9"/>
    </row>
    <row r="378" spans="1:8 16325:16384" s="3" customFormat="1" ht="19.95" customHeight="1">
      <c r="A378" s="6" t="str">
        <f t="shared" si="12"/>
        <v>040013</v>
      </c>
      <c r="B378" s="6" t="s">
        <v>11</v>
      </c>
      <c r="C378" s="6" t="s">
        <v>21</v>
      </c>
      <c r="D378" s="6" t="str">
        <f>"512420119"</f>
        <v>512420119</v>
      </c>
      <c r="E378" s="7">
        <v>0</v>
      </c>
      <c r="F378" s="7">
        <v>0</v>
      </c>
      <c r="G378" s="7"/>
      <c r="H378" s="7">
        <v>0</v>
      </c>
      <c r="XCW378" s="9"/>
      <c r="XCX378" s="9"/>
      <c r="XCY378" s="9"/>
      <c r="XCZ378" s="9"/>
      <c r="XDA378" s="9"/>
      <c r="XDB378" s="9"/>
      <c r="XDC378" s="9"/>
      <c r="XDD378" s="9"/>
      <c r="XDE378" s="9"/>
      <c r="XDF378" s="9"/>
      <c r="XDG378" s="9"/>
      <c r="XDH378" s="9"/>
      <c r="XDI378" s="9"/>
      <c r="XDJ378" s="9"/>
      <c r="XDK378" s="9"/>
      <c r="XDL378" s="9"/>
      <c r="XDM378" s="9"/>
      <c r="XDN378" s="9"/>
      <c r="XDO378" s="9"/>
      <c r="XDP378" s="9"/>
      <c r="XDQ378" s="9"/>
      <c r="XDR378" s="9"/>
      <c r="XDS378" s="9"/>
      <c r="XDT378" s="9"/>
      <c r="XDU378" s="9"/>
      <c r="XDV378" s="9"/>
      <c r="XDW378" s="9"/>
      <c r="XDX378" s="9"/>
      <c r="XDY378" s="9"/>
      <c r="XDZ378" s="9"/>
      <c r="XEA378" s="9"/>
      <c r="XEB378" s="9"/>
      <c r="XEC378" s="9"/>
      <c r="XED378" s="9"/>
      <c r="XEE378" s="9"/>
      <c r="XEF378" s="9"/>
      <c r="XEG378" s="9"/>
      <c r="XEH378" s="9"/>
      <c r="XEI378" s="9"/>
      <c r="XEJ378" s="9"/>
      <c r="XEK378" s="9"/>
      <c r="XEL378" s="9"/>
      <c r="XEM378" s="9"/>
      <c r="XEN378" s="9"/>
      <c r="XEO378" s="9"/>
      <c r="XEP378" s="9"/>
      <c r="XEQ378" s="9"/>
      <c r="XER378" s="9"/>
      <c r="XES378" s="9"/>
      <c r="XET378" s="9"/>
      <c r="XEU378" s="9"/>
      <c r="XEV378" s="9"/>
      <c r="XEW378" s="9"/>
      <c r="XEX378" s="9"/>
      <c r="XEY378" s="9"/>
      <c r="XEZ378" s="9"/>
      <c r="XFA378" s="9"/>
      <c r="XFB378" s="9"/>
      <c r="XFC378" s="9"/>
      <c r="XFD378" s="9"/>
    </row>
    <row r="379" spans="1:8 16325:16384" s="3" customFormat="1" ht="19.95" customHeight="1">
      <c r="A379" s="6" t="str">
        <f t="shared" si="12"/>
        <v>040013</v>
      </c>
      <c r="B379" s="6" t="s">
        <v>11</v>
      </c>
      <c r="C379" s="6" t="s">
        <v>21</v>
      </c>
      <c r="D379" s="6" t="str">
        <f>"512420123"</f>
        <v>512420123</v>
      </c>
      <c r="E379" s="7">
        <v>60.5</v>
      </c>
      <c r="F379" s="7">
        <v>66</v>
      </c>
      <c r="G379" s="7"/>
      <c r="H379" s="7">
        <v>62.7</v>
      </c>
      <c r="XCW379" s="9"/>
      <c r="XCX379" s="9"/>
      <c r="XCY379" s="9"/>
      <c r="XCZ379" s="9"/>
      <c r="XDA379" s="9"/>
      <c r="XDB379" s="9"/>
      <c r="XDC379" s="9"/>
      <c r="XDD379" s="9"/>
      <c r="XDE379" s="9"/>
      <c r="XDF379" s="9"/>
      <c r="XDG379" s="9"/>
      <c r="XDH379" s="9"/>
      <c r="XDI379" s="9"/>
      <c r="XDJ379" s="9"/>
      <c r="XDK379" s="9"/>
      <c r="XDL379" s="9"/>
      <c r="XDM379" s="9"/>
      <c r="XDN379" s="9"/>
      <c r="XDO379" s="9"/>
      <c r="XDP379" s="9"/>
      <c r="XDQ379" s="9"/>
      <c r="XDR379" s="9"/>
      <c r="XDS379" s="9"/>
      <c r="XDT379" s="9"/>
      <c r="XDU379" s="9"/>
      <c r="XDV379" s="9"/>
      <c r="XDW379" s="9"/>
      <c r="XDX379" s="9"/>
      <c r="XDY379" s="9"/>
      <c r="XDZ379" s="9"/>
      <c r="XEA379" s="9"/>
      <c r="XEB379" s="9"/>
      <c r="XEC379" s="9"/>
      <c r="XED379" s="9"/>
      <c r="XEE379" s="9"/>
      <c r="XEF379" s="9"/>
      <c r="XEG379" s="9"/>
      <c r="XEH379" s="9"/>
      <c r="XEI379" s="9"/>
      <c r="XEJ379" s="9"/>
      <c r="XEK379" s="9"/>
      <c r="XEL379" s="9"/>
      <c r="XEM379" s="9"/>
      <c r="XEN379" s="9"/>
      <c r="XEO379" s="9"/>
      <c r="XEP379" s="9"/>
      <c r="XEQ379" s="9"/>
      <c r="XER379" s="9"/>
      <c r="XES379" s="9"/>
      <c r="XET379" s="9"/>
      <c r="XEU379" s="9"/>
      <c r="XEV379" s="9"/>
      <c r="XEW379" s="9"/>
      <c r="XEX379" s="9"/>
      <c r="XEY379" s="9"/>
      <c r="XEZ379" s="9"/>
      <c r="XFA379" s="9"/>
      <c r="XFB379" s="9"/>
      <c r="XFC379" s="9"/>
      <c r="XFD379" s="9"/>
    </row>
    <row r="380" spans="1:8 16325:16384" s="3" customFormat="1" ht="19.95" customHeight="1">
      <c r="A380" s="6" t="str">
        <f t="shared" si="12"/>
        <v>040013</v>
      </c>
      <c r="B380" s="6" t="s">
        <v>11</v>
      </c>
      <c r="C380" s="6" t="s">
        <v>21</v>
      </c>
      <c r="D380" s="6" t="str">
        <f>"512420113"</f>
        <v>512420113</v>
      </c>
      <c r="E380" s="7">
        <v>83</v>
      </c>
      <c r="F380" s="7">
        <v>72</v>
      </c>
      <c r="G380" s="7"/>
      <c r="H380" s="7">
        <v>78.599999999999994</v>
      </c>
      <c r="XCW380" s="9"/>
      <c r="XCX380" s="9"/>
      <c r="XCY380" s="9"/>
      <c r="XCZ380" s="9"/>
      <c r="XDA380" s="9"/>
      <c r="XDB380" s="9"/>
      <c r="XDC380" s="9"/>
      <c r="XDD380" s="9"/>
      <c r="XDE380" s="9"/>
      <c r="XDF380" s="9"/>
      <c r="XDG380" s="9"/>
      <c r="XDH380" s="9"/>
      <c r="XDI380" s="9"/>
      <c r="XDJ380" s="9"/>
      <c r="XDK380" s="9"/>
      <c r="XDL380" s="9"/>
      <c r="XDM380" s="9"/>
      <c r="XDN380" s="9"/>
      <c r="XDO380" s="9"/>
      <c r="XDP380" s="9"/>
      <c r="XDQ380" s="9"/>
      <c r="XDR380" s="9"/>
      <c r="XDS380" s="9"/>
      <c r="XDT380" s="9"/>
      <c r="XDU380" s="9"/>
      <c r="XDV380" s="9"/>
      <c r="XDW380" s="9"/>
      <c r="XDX380" s="9"/>
      <c r="XDY380" s="9"/>
      <c r="XDZ380" s="9"/>
      <c r="XEA380" s="9"/>
      <c r="XEB380" s="9"/>
      <c r="XEC380" s="9"/>
      <c r="XED380" s="9"/>
      <c r="XEE380" s="9"/>
      <c r="XEF380" s="9"/>
      <c r="XEG380" s="9"/>
      <c r="XEH380" s="9"/>
      <c r="XEI380" s="9"/>
      <c r="XEJ380" s="9"/>
      <c r="XEK380" s="9"/>
      <c r="XEL380" s="9"/>
      <c r="XEM380" s="9"/>
      <c r="XEN380" s="9"/>
      <c r="XEO380" s="9"/>
      <c r="XEP380" s="9"/>
      <c r="XEQ380" s="9"/>
      <c r="XER380" s="9"/>
      <c r="XES380" s="9"/>
      <c r="XET380" s="9"/>
      <c r="XEU380" s="9"/>
      <c r="XEV380" s="9"/>
      <c r="XEW380" s="9"/>
      <c r="XEX380" s="9"/>
      <c r="XEY380" s="9"/>
      <c r="XEZ380" s="9"/>
      <c r="XFA380" s="9"/>
      <c r="XFB380" s="9"/>
      <c r="XFC380" s="9"/>
      <c r="XFD380" s="9"/>
    </row>
    <row r="381" spans="1:8 16325:16384" s="3" customFormat="1" ht="19.95" customHeight="1">
      <c r="A381" s="6" t="str">
        <f t="shared" ref="A381:A410" si="13">"040014"</f>
        <v>040014</v>
      </c>
      <c r="B381" s="6" t="s">
        <v>15</v>
      </c>
      <c r="C381" s="6" t="s">
        <v>21</v>
      </c>
      <c r="D381" s="6" t="str">
        <f>"512630615"</f>
        <v>512630615</v>
      </c>
      <c r="E381" s="7">
        <v>63.5</v>
      </c>
      <c r="F381" s="7">
        <v>71.5</v>
      </c>
      <c r="G381" s="7"/>
      <c r="H381" s="7">
        <v>66.7</v>
      </c>
      <c r="XCW381" s="9"/>
      <c r="XCX381" s="9"/>
      <c r="XCY381" s="9"/>
      <c r="XCZ381" s="9"/>
      <c r="XDA381" s="9"/>
      <c r="XDB381" s="9"/>
      <c r="XDC381" s="9"/>
      <c r="XDD381" s="9"/>
      <c r="XDE381" s="9"/>
      <c r="XDF381" s="9"/>
      <c r="XDG381" s="9"/>
      <c r="XDH381" s="9"/>
      <c r="XDI381" s="9"/>
      <c r="XDJ381" s="9"/>
      <c r="XDK381" s="9"/>
      <c r="XDL381" s="9"/>
      <c r="XDM381" s="9"/>
      <c r="XDN381" s="9"/>
      <c r="XDO381" s="9"/>
      <c r="XDP381" s="9"/>
      <c r="XDQ381" s="9"/>
      <c r="XDR381" s="9"/>
      <c r="XDS381" s="9"/>
      <c r="XDT381" s="9"/>
      <c r="XDU381" s="9"/>
      <c r="XDV381" s="9"/>
      <c r="XDW381" s="9"/>
      <c r="XDX381" s="9"/>
      <c r="XDY381" s="9"/>
      <c r="XDZ381" s="9"/>
      <c r="XEA381" s="9"/>
      <c r="XEB381" s="9"/>
      <c r="XEC381" s="9"/>
      <c r="XED381" s="9"/>
      <c r="XEE381" s="9"/>
      <c r="XEF381" s="9"/>
      <c r="XEG381" s="9"/>
      <c r="XEH381" s="9"/>
      <c r="XEI381" s="9"/>
      <c r="XEJ381" s="9"/>
      <c r="XEK381" s="9"/>
      <c r="XEL381" s="9"/>
      <c r="XEM381" s="9"/>
      <c r="XEN381" s="9"/>
      <c r="XEO381" s="9"/>
      <c r="XEP381" s="9"/>
      <c r="XEQ381" s="9"/>
      <c r="XER381" s="9"/>
      <c r="XES381" s="9"/>
      <c r="XET381" s="9"/>
      <c r="XEU381" s="9"/>
      <c r="XEV381" s="9"/>
      <c r="XEW381" s="9"/>
      <c r="XEX381" s="9"/>
      <c r="XEY381" s="9"/>
      <c r="XEZ381" s="9"/>
      <c r="XFA381" s="9"/>
      <c r="XFB381" s="9"/>
      <c r="XFC381" s="9"/>
      <c r="XFD381" s="9"/>
    </row>
    <row r="382" spans="1:8 16325:16384" s="3" customFormat="1" ht="19.95" customHeight="1">
      <c r="A382" s="6" t="str">
        <f t="shared" si="13"/>
        <v>040014</v>
      </c>
      <c r="B382" s="6" t="s">
        <v>15</v>
      </c>
      <c r="C382" s="6" t="s">
        <v>21</v>
      </c>
      <c r="D382" s="6" t="str">
        <f>"512630605"</f>
        <v>512630605</v>
      </c>
      <c r="E382" s="7">
        <v>92</v>
      </c>
      <c r="F382" s="7">
        <v>71.5</v>
      </c>
      <c r="G382" s="7"/>
      <c r="H382" s="7">
        <v>83.8</v>
      </c>
      <c r="XCW382" s="9"/>
      <c r="XCX382" s="9"/>
      <c r="XCY382" s="9"/>
      <c r="XCZ382" s="9"/>
      <c r="XDA382" s="9"/>
      <c r="XDB382" s="9"/>
      <c r="XDC382" s="9"/>
      <c r="XDD382" s="9"/>
      <c r="XDE382" s="9"/>
      <c r="XDF382" s="9"/>
      <c r="XDG382" s="9"/>
      <c r="XDH382" s="9"/>
      <c r="XDI382" s="9"/>
      <c r="XDJ382" s="9"/>
      <c r="XDK382" s="9"/>
      <c r="XDL382" s="9"/>
      <c r="XDM382" s="9"/>
      <c r="XDN382" s="9"/>
      <c r="XDO382" s="9"/>
      <c r="XDP382" s="9"/>
      <c r="XDQ382" s="9"/>
      <c r="XDR382" s="9"/>
      <c r="XDS382" s="9"/>
      <c r="XDT382" s="9"/>
      <c r="XDU382" s="9"/>
      <c r="XDV382" s="9"/>
      <c r="XDW382" s="9"/>
      <c r="XDX382" s="9"/>
      <c r="XDY382" s="9"/>
      <c r="XDZ382" s="9"/>
      <c r="XEA382" s="9"/>
      <c r="XEB382" s="9"/>
      <c r="XEC382" s="9"/>
      <c r="XED382" s="9"/>
      <c r="XEE382" s="9"/>
      <c r="XEF382" s="9"/>
      <c r="XEG382" s="9"/>
      <c r="XEH382" s="9"/>
      <c r="XEI382" s="9"/>
      <c r="XEJ382" s="9"/>
      <c r="XEK382" s="9"/>
      <c r="XEL382" s="9"/>
      <c r="XEM382" s="9"/>
      <c r="XEN382" s="9"/>
      <c r="XEO382" s="9"/>
      <c r="XEP382" s="9"/>
      <c r="XEQ382" s="9"/>
      <c r="XER382" s="9"/>
      <c r="XES382" s="9"/>
      <c r="XET382" s="9"/>
      <c r="XEU382" s="9"/>
      <c r="XEV382" s="9"/>
      <c r="XEW382" s="9"/>
      <c r="XEX382" s="9"/>
      <c r="XEY382" s="9"/>
      <c r="XEZ382" s="9"/>
      <c r="XFA382" s="9"/>
      <c r="XFB382" s="9"/>
      <c r="XFC382" s="9"/>
      <c r="XFD382" s="9"/>
    </row>
    <row r="383" spans="1:8 16325:16384" s="3" customFormat="1" ht="19.95" customHeight="1">
      <c r="A383" s="6" t="str">
        <f t="shared" si="13"/>
        <v>040014</v>
      </c>
      <c r="B383" s="6" t="s">
        <v>15</v>
      </c>
      <c r="C383" s="6" t="s">
        <v>21</v>
      </c>
      <c r="D383" s="6" t="str">
        <f>"512630604"</f>
        <v>512630604</v>
      </c>
      <c r="E383" s="7">
        <v>57.5</v>
      </c>
      <c r="F383" s="7">
        <v>56</v>
      </c>
      <c r="G383" s="7"/>
      <c r="H383" s="7">
        <v>56.9</v>
      </c>
      <c r="XCW383" s="9"/>
      <c r="XCX383" s="9"/>
      <c r="XCY383" s="9"/>
      <c r="XCZ383" s="9"/>
      <c r="XDA383" s="9"/>
      <c r="XDB383" s="9"/>
      <c r="XDC383" s="9"/>
      <c r="XDD383" s="9"/>
      <c r="XDE383" s="9"/>
      <c r="XDF383" s="9"/>
      <c r="XDG383" s="9"/>
      <c r="XDH383" s="9"/>
      <c r="XDI383" s="9"/>
      <c r="XDJ383" s="9"/>
      <c r="XDK383" s="9"/>
      <c r="XDL383" s="9"/>
      <c r="XDM383" s="9"/>
      <c r="XDN383" s="9"/>
      <c r="XDO383" s="9"/>
      <c r="XDP383" s="9"/>
      <c r="XDQ383" s="9"/>
      <c r="XDR383" s="9"/>
      <c r="XDS383" s="9"/>
      <c r="XDT383" s="9"/>
      <c r="XDU383" s="9"/>
      <c r="XDV383" s="9"/>
      <c r="XDW383" s="9"/>
      <c r="XDX383" s="9"/>
      <c r="XDY383" s="9"/>
      <c r="XDZ383" s="9"/>
      <c r="XEA383" s="9"/>
      <c r="XEB383" s="9"/>
      <c r="XEC383" s="9"/>
      <c r="XED383" s="9"/>
      <c r="XEE383" s="9"/>
      <c r="XEF383" s="9"/>
      <c r="XEG383" s="9"/>
      <c r="XEH383" s="9"/>
      <c r="XEI383" s="9"/>
      <c r="XEJ383" s="9"/>
      <c r="XEK383" s="9"/>
      <c r="XEL383" s="9"/>
      <c r="XEM383" s="9"/>
      <c r="XEN383" s="9"/>
      <c r="XEO383" s="9"/>
      <c r="XEP383" s="9"/>
      <c r="XEQ383" s="9"/>
      <c r="XER383" s="9"/>
      <c r="XES383" s="9"/>
      <c r="XET383" s="9"/>
      <c r="XEU383" s="9"/>
      <c r="XEV383" s="9"/>
      <c r="XEW383" s="9"/>
      <c r="XEX383" s="9"/>
      <c r="XEY383" s="9"/>
      <c r="XEZ383" s="9"/>
      <c r="XFA383" s="9"/>
      <c r="XFB383" s="9"/>
      <c r="XFC383" s="9"/>
      <c r="XFD383" s="9"/>
    </row>
    <row r="384" spans="1:8 16325:16384" s="3" customFormat="1" ht="19.95" customHeight="1">
      <c r="A384" s="6" t="str">
        <f t="shared" si="13"/>
        <v>040014</v>
      </c>
      <c r="B384" s="6" t="s">
        <v>15</v>
      </c>
      <c r="C384" s="6" t="s">
        <v>21</v>
      </c>
      <c r="D384" s="6" t="str">
        <f>"512630606"</f>
        <v>512630606</v>
      </c>
      <c r="E384" s="7">
        <v>52</v>
      </c>
      <c r="F384" s="7">
        <v>59.5</v>
      </c>
      <c r="G384" s="7"/>
      <c r="H384" s="7">
        <v>55</v>
      </c>
      <c r="XCW384" s="9"/>
      <c r="XCX384" s="9"/>
      <c r="XCY384" s="9"/>
      <c r="XCZ384" s="9"/>
      <c r="XDA384" s="9"/>
      <c r="XDB384" s="9"/>
      <c r="XDC384" s="9"/>
      <c r="XDD384" s="9"/>
      <c r="XDE384" s="9"/>
      <c r="XDF384" s="9"/>
      <c r="XDG384" s="9"/>
      <c r="XDH384" s="9"/>
      <c r="XDI384" s="9"/>
      <c r="XDJ384" s="9"/>
      <c r="XDK384" s="9"/>
      <c r="XDL384" s="9"/>
      <c r="XDM384" s="9"/>
      <c r="XDN384" s="9"/>
      <c r="XDO384" s="9"/>
      <c r="XDP384" s="9"/>
      <c r="XDQ384" s="9"/>
      <c r="XDR384" s="9"/>
      <c r="XDS384" s="9"/>
      <c r="XDT384" s="9"/>
      <c r="XDU384" s="9"/>
      <c r="XDV384" s="9"/>
      <c r="XDW384" s="9"/>
      <c r="XDX384" s="9"/>
      <c r="XDY384" s="9"/>
      <c r="XDZ384" s="9"/>
      <c r="XEA384" s="9"/>
      <c r="XEB384" s="9"/>
      <c r="XEC384" s="9"/>
      <c r="XED384" s="9"/>
      <c r="XEE384" s="9"/>
      <c r="XEF384" s="9"/>
      <c r="XEG384" s="9"/>
      <c r="XEH384" s="9"/>
      <c r="XEI384" s="9"/>
      <c r="XEJ384" s="9"/>
      <c r="XEK384" s="9"/>
      <c r="XEL384" s="9"/>
      <c r="XEM384" s="9"/>
      <c r="XEN384" s="9"/>
      <c r="XEO384" s="9"/>
      <c r="XEP384" s="9"/>
      <c r="XEQ384" s="9"/>
      <c r="XER384" s="9"/>
      <c r="XES384" s="9"/>
      <c r="XET384" s="9"/>
      <c r="XEU384" s="9"/>
      <c r="XEV384" s="9"/>
      <c r="XEW384" s="9"/>
      <c r="XEX384" s="9"/>
      <c r="XEY384" s="9"/>
      <c r="XEZ384" s="9"/>
      <c r="XFA384" s="9"/>
      <c r="XFB384" s="9"/>
      <c r="XFC384" s="9"/>
      <c r="XFD384" s="9"/>
    </row>
    <row r="385" spans="1:8 16325:16384" s="3" customFormat="1" ht="19.95" customHeight="1">
      <c r="A385" s="6" t="str">
        <f t="shared" si="13"/>
        <v>040014</v>
      </c>
      <c r="B385" s="6" t="s">
        <v>15</v>
      </c>
      <c r="C385" s="6" t="s">
        <v>21</v>
      </c>
      <c r="D385" s="6" t="str">
        <f>"512630521"</f>
        <v>512630521</v>
      </c>
      <c r="E385" s="7">
        <v>68.5</v>
      </c>
      <c r="F385" s="7">
        <v>59</v>
      </c>
      <c r="G385" s="7"/>
      <c r="H385" s="7">
        <v>64.7</v>
      </c>
      <c r="XCW385" s="9"/>
      <c r="XCX385" s="9"/>
      <c r="XCY385" s="9"/>
      <c r="XCZ385" s="9"/>
      <c r="XDA385" s="9"/>
      <c r="XDB385" s="9"/>
      <c r="XDC385" s="9"/>
      <c r="XDD385" s="9"/>
      <c r="XDE385" s="9"/>
      <c r="XDF385" s="9"/>
      <c r="XDG385" s="9"/>
      <c r="XDH385" s="9"/>
      <c r="XDI385" s="9"/>
      <c r="XDJ385" s="9"/>
      <c r="XDK385" s="9"/>
      <c r="XDL385" s="9"/>
      <c r="XDM385" s="9"/>
      <c r="XDN385" s="9"/>
      <c r="XDO385" s="9"/>
      <c r="XDP385" s="9"/>
      <c r="XDQ385" s="9"/>
      <c r="XDR385" s="9"/>
      <c r="XDS385" s="9"/>
      <c r="XDT385" s="9"/>
      <c r="XDU385" s="9"/>
      <c r="XDV385" s="9"/>
      <c r="XDW385" s="9"/>
      <c r="XDX385" s="9"/>
      <c r="XDY385" s="9"/>
      <c r="XDZ385" s="9"/>
      <c r="XEA385" s="9"/>
      <c r="XEB385" s="9"/>
      <c r="XEC385" s="9"/>
      <c r="XED385" s="9"/>
      <c r="XEE385" s="9"/>
      <c r="XEF385" s="9"/>
      <c r="XEG385" s="9"/>
      <c r="XEH385" s="9"/>
      <c r="XEI385" s="9"/>
      <c r="XEJ385" s="9"/>
      <c r="XEK385" s="9"/>
      <c r="XEL385" s="9"/>
      <c r="XEM385" s="9"/>
      <c r="XEN385" s="9"/>
      <c r="XEO385" s="9"/>
      <c r="XEP385" s="9"/>
      <c r="XEQ385" s="9"/>
      <c r="XER385" s="9"/>
      <c r="XES385" s="9"/>
      <c r="XET385" s="9"/>
      <c r="XEU385" s="9"/>
      <c r="XEV385" s="9"/>
      <c r="XEW385" s="9"/>
      <c r="XEX385" s="9"/>
      <c r="XEY385" s="9"/>
      <c r="XEZ385" s="9"/>
      <c r="XFA385" s="9"/>
      <c r="XFB385" s="9"/>
      <c r="XFC385" s="9"/>
      <c r="XFD385" s="9"/>
    </row>
    <row r="386" spans="1:8 16325:16384" s="3" customFormat="1" ht="19.95" customHeight="1">
      <c r="A386" s="6" t="str">
        <f t="shared" si="13"/>
        <v>040014</v>
      </c>
      <c r="B386" s="6" t="s">
        <v>15</v>
      </c>
      <c r="C386" s="6" t="s">
        <v>21</v>
      </c>
      <c r="D386" s="6" t="str">
        <f>"512630523"</f>
        <v>512630523</v>
      </c>
      <c r="E386" s="7">
        <v>97</v>
      </c>
      <c r="F386" s="7">
        <v>63</v>
      </c>
      <c r="G386" s="7"/>
      <c r="H386" s="7">
        <v>83.4</v>
      </c>
      <c r="XCW386" s="9"/>
      <c r="XCX386" s="9"/>
      <c r="XCY386" s="9"/>
      <c r="XCZ386" s="9"/>
      <c r="XDA386" s="9"/>
      <c r="XDB386" s="9"/>
      <c r="XDC386" s="9"/>
      <c r="XDD386" s="9"/>
      <c r="XDE386" s="9"/>
      <c r="XDF386" s="9"/>
      <c r="XDG386" s="9"/>
      <c r="XDH386" s="9"/>
      <c r="XDI386" s="9"/>
      <c r="XDJ386" s="9"/>
      <c r="XDK386" s="9"/>
      <c r="XDL386" s="9"/>
      <c r="XDM386" s="9"/>
      <c r="XDN386" s="9"/>
      <c r="XDO386" s="9"/>
      <c r="XDP386" s="9"/>
      <c r="XDQ386" s="9"/>
      <c r="XDR386" s="9"/>
      <c r="XDS386" s="9"/>
      <c r="XDT386" s="9"/>
      <c r="XDU386" s="9"/>
      <c r="XDV386" s="9"/>
      <c r="XDW386" s="9"/>
      <c r="XDX386" s="9"/>
      <c r="XDY386" s="9"/>
      <c r="XDZ386" s="9"/>
      <c r="XEA386" s="9"/>
      <c r="XEB386" s="9"/>
      <c r="XEC386" s="9"/>
      <c r="XED386" s="9"/>
      <c r="XEE386" s="9"/>
      <c r="XEF386" s="9"/>
      <c r="XEG386" s="9"/>
      <c r="XEH386" s="9"/>
      <c r="XEI386" s="9"/>
      <c r="XEJ386" s="9"/>
      <c r="XEK386" s="9"/>
      <c r="XEL386" s="9"/>
      <c r="XEM386" s="9"/>
      <c r="XEN386" s="9"/>
      <c r="XEO386" s="9"/>
      <c r="XEP386" s="9"/>
      <c r="XEQ386" s="9"/>
      <c r="XER386" s="9"/>
      <c r="XES386" s="9"/>
      <c r="XET386" s="9"/>
      <c r="XEU386" s="9"/>
      <c r="XEV386" s="9"/>
      <c r="XEW386" s="9"/>
      <c r="XEX386" s="9"/>
      <c r="XEY386" s="9"/>
      <c r="XEZ386" s="9"/>
      <c r="XFA386" s="9"/>
      <c r="XFB386" s="9"/>
      <c r="XFC386" s="9"/>
      <c r="XFD386" s="9"/>
    </row>
    <row r="387" spans="1:8 16325:16384" s="3" customFormat="1" ht="19.95" customHeight="1">
      <c r="A387" s="6" t="str">
        <f t="shared" si="13"/>
        <v>040014</v>
      </c>
      <c r="B387" s="6" t="s">
        <v>15</v>
      </c>
      <c r="C387" s="6" t="s">
        <v>21</v>
      </c>
      <c r="D387" s="6" t="str">
        <f>"512630520"</f>
        <v>512630520</v>
      </c>
      <c r="E387" s="7">
        <v>88</v>
      </c>
      <c r="F387" s="7">
        <v>70.5</v>
      </c>
      <c r="G387" s="7"/>
      <c r="H387" s="7">
        <v>81</v>
      </c>
      <c r="XCW387" s="9"/>
      <c r="XCX387" s="9"/>
      <c r="XCY387" s="9"/>
      <c r="XCZ387" s="9"/>
      <c r="XDA387" s="9"/>
      <c r="XDB387" s="9"/>
      <c r="XDC387" s="9"/>
      <c r="XDD387" s="9"/>
      <c r="XDE387" s="9"/>
      <c r="XDF387" s="9"/>
      <c r="XDG387" s="9"/>
      <c r="XDH387" s="9"/>
      <c r="XDI387" s="9"/>
      <c r="XDJ387" s="9"/>
      <c r="XDK387" s="9"/>
      <c r="XDL387" s="9"/>
      <c r="XDM387" s="9"/>
      <c r="XDN387" s="9"/>
      <c r="XDO387" s="9"/>
      <c r="XDP387" s="9"/>
      <c r="XDQ387" s="9"/>
      <c r="XDR387" s="9"/>
      <c r="XDS387" s="9"/>
      <c r="XDT387" s="9"/>
      <c r="XDU387" s="9"/>
      <c r="XDV387" s="9"/>
      <c r="XDW387" s="9"/>
      <c r="XDX387" s="9"/>
      <c r="XDY387" s="9"/>
      <c r="XDZ387" s="9"/>
      <c r="XEA387" s="9"/>
      <c r="XEB387" s="9"/>
      <c r="XEC387" s="9"/>
      <c r="XED387" s="9"/>
      <c r="XEE387" s="9"/>
      <c r="XEF387" s="9"/>
      <c r="XEG387" s="9"/>
      <c r="XEH387" s="9"/>
      <c r="XEI387" s="9"/>
      <c r="XEJ387" s="9"/>
      <c r="XEK387" s="9"/>
      <c r="XEL387" s="9"/>
      <c r="XEM387" s="9"/>
      <c r="XEN387" s="9"/>
      <c r="XEO387" s="9"/>
      <c r="XEP387" s="9"/>
      <c r="XEQ387" s="9"/>
      <c r="XER387" s="9"/>
      <c r="XES387" s="9"/>
      <c r="XET387" s="9"/>
      <c r="XEU387" s="9"/>
      <c r="XEV387" s="9"/>
      <c r="XEW387" s="9"/>
      <c r="XEX387" s="9"/>
      <c r="XEY387" s="9"/>
      <c r="XEZ387" s="9"/>
      <c r="XFA387" s="9"/>
      <c r="XFB387" s="9"/>
      <c r="XFC387" s="9"/>
      <c r="XFD387" s="9"/>
    </row>
    <row r="388" spans="1:8 16325:16384" s="3" customFormat="1" ht="19.95" customHeight="1">
      <c r="A388" s="6" t="str">
        <f t="shared" si="13"/>
        <v>040014</v>
      </c>
      <c r="B388" s="6" t="s">
        <v>15</v>
      </c>
      <c r="C388" s="6" t="s">
        <v>21</v>
      </c>
      <c r="D388" s="6" t="str">
        <f>"512630614"</f>
        <v>512630614</v>
      </c>
      <c r="E388" s="7">
        <v>88</v>
      </c>
      <c r="F388" s="7">
        <v>0</v>
      </c>
      <c r="G388" s="7"/>
      <c r="H388" s="7">
        <v>52.8</v>
      </c>
      <c r="XCW388" s="9"/>
      <c r="XCX388" s="9"/>
      <c r="XCY388" s="9"/>
      <c r="XCZ388" s="9"/>
      <c r="XDA388" s="9"/>
      <c r="XDB388" s="9"/>
      <c r="XDC388" s="9"/>
      <c r="XDD388" s="9"/>
      <c r="XDE388" s="9"/>
      <c r="XDF388" s="9"/>
      <c r="XDG388" s="9"/>
      <c r="XDH388" s="9"/>
      <c r="XDI388" s="9"/>
      <c r="XDJ388" s="9"/>
      <c r="XDK388" s="9"/>
      <c r="XDL388" s="9"/>
      <c r="XDM388" s="9"/>
      <c r="XDN388" s="9"/>
      <c r="XDO388" s="9"/>
      <c r="XDP388" s="9"/>
      <c r="XDQ388" s="9"/>
      <c r="XDR388" s="9"/>
      <c r="XDS388" s="9"/>
      <c r="XDT388" s="9"/>
      <c r="XDU388" s="9"/>
      <c r="XDV388" s="9"/>
      <c r="XDW388" s="9"/>
      <c r="XDX388" s="9"/>
      <c r="XDY388" s="9"/>
      <c r="XDZ388" s="9"/>
      <c r="XEA388" s="9"/>
      <c r="XEB388" s="9"/>
      <c r="XEC388" s="9"/>
      <c r="XED388" s="9"/>
      <c r="XEE388" s="9"/>
      <c r="XEF388" s="9"/>
      <c r="XEG388" s="9"/>
      <c r="XEH388" s="9"/>
      <c r="XEI388" s="9"/>
      <c r="XEJ388" s="9"/>
      <c r="XEK388" s="9"/>
      <c r="XEL388" s="9"/>
      <c r="XEM388" s="9"/>
      <c r="XEN388" s="9"/>
      <c r="XEO388" s="9"/>
      <c r="XEP388" s="9"/>
      <c r="XEQ388" s="9"/>
      <c r="XER388" s="9"/>
      <c r="XES388" s="9"/>
      <c r="XET388" s="9"/>
      <c r="XEU388" s="9"/>
      <c r="XEV388" s="9"/>
      <c r="XEW388" s="9"/>
      <c r="XEX388" s="9"/>
      <c r="XEY388" s="9"/>
      <c r="XEZ388" s="9"/>
      <c r="XFA388" s="9"/>
      <c r="XFB388" s="9"/>
      <c r="XFC388" s="9"/>
      <c r="XFD388" s="9"/>
    </row>
    <row r="389" spans="1:8 16325:16384" s="3" customFormat="1" ht="19.95" customHeight="1">
      <c r="A389" s="6" t="str">
        <f t="shared" si="13"/>
        <v>040014</v>
      </c>
      <c r="B389" s="6" t="s">
        <v>15</v>
      </c>
      <c r="C389" s="6" t="s">
        <v>21</v>
      </c>
      <c r="D389" s="6" t="str">
        <f>"512630524"</f>
        <v>512630524</v>
      </c>
      <c r="E389" s="7">
        <v>77.5</v>
      </c>
      <c r="F389" s="7">
        <v>77.5</v>
      </c>
      <c r="G389" s="7"/>
      <c r="H389" s="7">
        <v>77.5</v>
      </c>
      <c r="XCW389" s="9"/>
      <c r="XCX389" s="9"/>
      <c r="XCY389" s="9"/>
      <c r="XCZ389" s="9"/>
      <c r="XDA389" s="9"/>
      <c r="XDB389" s="9"/>
      <c r="XDC389" s="9"/>
      <c r="XDD389" s="9"/>
      <c r="XDE389" s="9"/>
      <c r="XDF389" s="9"/>
      <c r="XDG389" s="9"/>
      <c r="XDH389" s="9"/>
      <c r="XDI389" s="9"/>
      <c r="XDJ389" s="9"/>
      <c r="XDK389" s="9"/>
      <c r="XDL389" s="9"/>
      <c r="XDM389" s="9"/>
      <c r="XDN389" s="9"/>
      <c r="XDO389" s="9"/>
      <c r="XDP389" s="9"/>
      <c r="XDQ389" s="9"/>
      <c r="XDR389" s="9"/>
      <c r="XDS389" s="9"/>
      <c r="XDT389" s="9"/>
      <c r="XDU389" s="9"/>
      <c r="XDV389" s="9"/>
      <c r="XDW389" s="9"/>
      <c r="XDX389" s="9"/>
      <c r="XDY389" s="9"/>
      <c r="XDZ389" s="9"/>
      <c r="XEA389" s="9"/>
      <c r="XEB389" s="9"/>
      <c r="XEC389" s="9"/>
      <c r="XED389" s="9"/>
      <c r="XEE389" s="9"/>
      <c r="XEF389" s="9"/>
      <c r="XEG389" s="9"/>
      <c r="XEH389" s="9"/>
      <c r="XEI389" s="9"/>
      <c r="XEJ389" s="9"/>
      <c r="XEK389" s="9"/>
      <c r="XEL389" s="9"/>
      <c r="XEM389" s="9"/>
      <c r="XEN389" s="9"/>
      <c r="XEO389" s="9"/>
      <c r="XEP389" s="9"/>
      <c r="XEQ389" s="9"/>
      <c r="XER389" s="9"/>
      <c r="XES389" s="9"/>
      <c r="XET389" s="9"/>
      <c r="XEU389" s="9"/>
      <c r="XEV389" s="9"/>
      <c r="XEW389" s="9"/>
      <c r="XEX389" s="9"/>
      <c r="XEY389" s="9"/>
      <c r="XEZ389" s="9"/>
      <c r="XFA389" s="9"/>
      <c r="XFB389" s="9"/>
      <c r="XFC389" s="9"/>
      <c r="XFD389" s="9"/>
    </row>
    <row r="390" spans="1:8 16325:16384" s="3" customFormat="1" ht="19.95" customHeight="1">
      <c r="A390" s="6" t="str">
        <f t="shared" si="13"/>
        <v>040014</v>
      </c>
      <c r="B390" s="6" t="s">
        <v>15</v>
      </c>
      <c r="C390" s="6" t="s">
        <v>21</v>
      </c>
      <c r="D390" s="6" t="str">
        <f>"512630608"</f>
        <v>512630608</v>
      </c>
      <c r="E390" s="7">
        <v>0</v>
      </c>
      <c r="F390" s="7">
        <v>0</v>
      </c>
      <c r="G390" s="7"/>
      <c r="H390" s="7">
        <v>0</v>
      </c>
      <c r="XCW390" s="9"/>
      <c r="XCX390" s="9"/>
      <c r="XCY390" s="9"/>
      <c r="XCZ390" s="9"/>
      <c r="XDA390" s="9"/>
      <c r="XDB390" s="9"/>
      <c r="XDC390" s="9"/>
      <c r="XDD390" s="9"/>
      <c r="XDE390" s="9"/>
      <c r="XDF390" s="9"/>
      <c r="XDG390" s="9"/>
      <c r="XDH390" s="9"/>
      <c r="XDI390" s="9"/>
      <c r="XDJ390" s="9"/>
      <c r="XDK390" s="9"/>
      <c r="XDL390" s="9"/>
      <c r="XDM390" s="9"/>
      <c r="XDN390" s="9"/>
      <c r="XDO390" s="9"/>
      <c r="XDP390" s="9"/>
      <c r="XDQ390" s="9"/>
      <c r="XDR390" s="9"/>
      <c r="XDS390" s="9"/>
      <c r="XDT390" s="9"/>
      <c r="XDU390" s="9"/>
      <c r="XDV390" s="9"/>
      <c r="XDW390" s="9"/>
      <c r="XDX390" s="9"/>
      <c r="XDY390" s="9"/>
      <c r="XDZ390" s="9"/>
      <c r="XEA390" s="9"/>
      <c r="XEB390" s="9"/>
      <c r="XEC390" s="9"/>
      <c r="XED390" s="9"/>
      <c r="XEE390" s="9"/>
      <c r="XEF390" s="9"/>
      <c r="XEG390" s="9"/>
      <c r="XEH390" s="9"/>
      <c r="XEI390" s="9"/>
      <c r="XEJ390" s="9"/>
      <c r="XEK390" s="9"/>
      <c r="XEL390" s="9"/>
      <c r="XEM390" s="9"/>
      <c r="XEN390" s="9"/>
      <c r="XEO390" s="9"/>
      <c r="XEP390" s="9"/>
      <c r="XEQ390" s="9"/>
      <c r="XER390" s="9"/>
      <c r="XES390" s="9"/>
      <c r="XET390" s="9"/>
      <c r="XEU390" s="9"/>
      <c r="XEV390" s="9"/>
      <c r="XEW390" s="9"/>
      <c r="XEX390" s="9"/>
      <c r="XEY390" s="9"/>
      <c r="XEZ390" s="9"/>
      <c r="XFA390" s="9"/>
      <c r="XFB390" s="9"/>
      <c r="XFC390" s="9"/>
      <c r="XFD390" s="9"/>
    </row>
    <row r="391" spans="1:8 16325:16384" s="3" customFormat="1" ht="19.95" customHeight="1">
      <c r="A391" s="6" t="str">
        <f t="shared" si="13"/>
        <v>040014</v>
      </c>
      <c r="B391" s="6" t="s">
        <v>15</v>
      </c>
      <c r="C391" s="6" t="s">
        <v>21</v>
      </c>
      <c r="D391" s="6" t="str">
        <f>"512630602"</f>
        <v>512630602</v>
      </c>
      <c r="E391" s="7">
        <v>53</v>
      </c>
      <c r="F391" s="7">
        <v>64</v>
      </c>
      <c r="G391" s="7"/>
      <c r="H391" s="7">
        <v>57.4</v>
      </c>
      <c r="XCW391" s="9"/>
      <c r="XCX391" s="9"/>
      <c r="XCY391" s="9"/>
      <c r="XCZ391" s="9"/>
      <c r="XDA391" s="9"/>
      <c r="XDB391" s="9"/>
      <c r="XDC391" s="9"/>
      <c r="XDD391" s="9"/>
      <c r="XDE391" s="9"/>
      <c r="XDF391" s="9"/>
      <c r="XDG391" s="9"/>
      <c r="XDH391" s="9"/>
      <c r="XDI391" s="9"/>
      <c r="XDJ391" s="9"/>
      <c r="XDK391" s="9"/>
      <c r="XDL391" s="9"/>
      <c r="XDM391" s="9"/>
      <c r="XDN391" s="9"/>
      <c r="XDO391" s="9"/>
      <c r="XDP391" s="9"/>
      <c r="XDQ391" s="9"/>
      <c r="XDR391" s="9"/>
      <c r="XDS391" s="9"/>
      <c r="XDT391" s="9"/>
      <c r="XDU391" s="9"/>
      <c r="XDV391" s="9"/>
      <c r="XDW391" s="9"/>
      <c r="XDX391" s="9"/>
      <c r="XDY391" s="9"/>
      <c r="XDZ391" s="9"/>
      <c r="XEA391" s="9"/>
      <c r="XEB391" s="9"/>
      <c r="XEC391" s="9"/>
      <c r="XED391" s="9"/>
      <c r="XEE391" s="9"/>
      <c r="XEF391" s="9"/>
      <c r="XEG391" s="9"/>
      <c r="XEH391" s="9"/>
      <c r="XEI391" s="9"/>
      <c r="XEJ391" s="9"/>
      <c r="XEK391" s="9"/>
      <c r="XEL391" s="9"/>
      <c r="XEM391" s="9"/>
      <c r="XEN391" s="9"/>
      <c r="XEO391" s="9"/>
      <c r="XEP391" s="9"/>
      <c r="XEQ391" s="9"/>
      <c r="XER391" s="9"/>
      <c r="XES391" s="9"/>
      <c r="XET391" s="9"/>
      <c r="XEU391" s="9"/>
      <c r="XEV391" s="9"/>
      <c r="XEW391" s="9"/>
      <c r="XEX391" s="9"/>
      <c r="XEY391" s="9"/>
      <c r="XEZ391" s="9"/>
      <c r="XFA391" s="9"/>
      <c r="XFB391" s="9"/>
      <c r="XFC391" s="9"/>
      <c r="XFD391" s="9"/>
    </row>
    <row r="392" spans="1:8 16325:16384" s="3" customFormat="1" ht="19.95" customHeight="1">
      <c r="A392" s="6" t="str">
        <f t="shared" si="13"/>
        <v>040014</v>
      </c>
      <c r="B392" s="6" t="s">
        <v>15</v>
      </c>
      <c r="C392" s="6" t="s">
        <v>21</v>
      </c>
      <c r="D392" s="6" t="str">
        <f>"512630522"</f>
        <v>512630522</v>
      </c>
      <c r="E392" s="7">
        <v>45</v>
      </c>
      <c r="F392" s="7">
        <v>66</v>
      </c>
      <c r="G392" s="7"/>
      <c r="H392" s="7">
        <v>53.4</v>
      </c>
      <c r="XCW392" s="9"/>
      <c r="XCX392" s="9"/>
      <c r="XCY392" s="9"/>
      <c r="XCZ392" s="9"/>
      <c r="XDA392" s="9"/>
      <c r="XDB392" s="9"/>
      <c r="XDC392" s="9"/>
      <c r="XDD392" s="9"/>
      <c r="XDE392" s="9"/>
      <c r="XDF392" s="9"/>
      <c r="XDG392" s="9"/>
      <c r="XDH392" s="9"/>
      <c r="XDI392" s="9"/>
      <c r="XDJ392" s="9"/>
      <c r="XDK392" s="9"/>
      <c r="XDL392" s="9"/>
      <c r="XDM392" s="9"/>
      <c r="XDN392" s="9"/>
      <c r="XDO392" s="9"/>
      <c r="XDP392" s="9"/>
      <c r="XDQ392" s="9"/>
      <c r="XDR392" s="9"/>
      <c r="XDS392" s="9"/>
      <c r="XDT392" s="9"/>
      <c r="XDU392" s="9"/>
      <c r="XDV392" s="9"/>
      <c r="XDW392" s="9"/>
      <c r="XDX392" s="9"/>
      <c r="XDY392" s="9"/>
      <c r="XDZ392" s="9"/>
      <c r="XEA392" s="9"/>
      <c r="XEB392" s="9"/>
      <c r="XEC392" s="9"/>
      <c r="XED392" s="9"/>
      <c r="XEE392" s="9"/>
      <c r="XEF392" s="9"/>
      <c r="XEG392" s="9"/>
      <c r="XEH392" s="9"/>
      <c r="XEI392" s="9"/>
      <c r="XEJ392" s="9"/>
      <c r="XEK392" s="9"/>
      <c r="XEL392" s="9"/>
      <c r="XEM392" s="9"/>
      <c r="XEN392" s="9"/>
      <c r="XEO392" s="9"/>
      <c r="XEP392" s="9"/>
      <c r="XEQ392" s="9"/>
      <c r="XER392" s="9"/>
      <c r="XES392" s="9"/>
      <c r="XET392" s="9"/>
      <c r="XEU392" s="9"/>
      <c r="XEV392" s="9"/>
      <c r="XEW392" s="9"/>
      <c r="XEX392" s="9"/>
      <c r="XEY392" s="9"/>
      <c r="XEZ392" s="9"/>
      <c r="XFA392" s="9"/>
      <c r="XFB392" s="9"/>
      <c r="XFC392" s="9"/>
      <c r="XFD392" s="9"/>
    </row>
    <row r="393" spans="1:8 16325:16384" s="3" customFormat="1" ht="19.95" customHeight="1">
      <c r="A393" s="6" t="str">
        <f t="shared" si="13"/>
        <v>040014</v>
      </c>
      <c r="B393" s="6" t="s">
        <v>15</v>
      </c>
      <c r="C393" s="6" t="s">
        <v>21</v>
      </c>
      <c r="D393" s="6" t="str">
        <f>"512630609"</f>
        <v>512630609</v>
      </c>
      <c r="E393" s="7">
        <v>46.5</v>
      </c>
      <c r="F393" s="7">
        <v>62</v>
      </c>
      <c r="G393" s="7"/>
      <c r="H393" s="7">
        <v>52.7</v>
      </c>
      <c r="XCW393" s="9"/>
      <c r="XCX393" s="9"/>
      <c r="XCY393" s="9"/>
      <c r="XCZ393" s="9"/>
      <c r="XDA393" s="9"/>
      <c r="XDB393" s="9"/>
      <c r="XDC393" s="9"/>
      <c r="XDD393" s="9"/>
      <c r="XDE393" s="9"/>
      <c r="XDF393" s="9"/>
      <c r="XDG393" s="9"/>
      <c r="XDH393" s="9"/>
      <c r="XDI393" s="9"/>
      <c r="XDJ393" s="9"/>
      <c r="XDK393" s="9"/>
      <c r="XDL393" s="9"/>
      <c r="XDM393" s="9"/>
      <c r="XDN393" s="9"/>
      <c r="XDO393" s="9"/>
      <c r="XDP393" s="9"/>
      <c r="XDQ393" s="9"/>
      <c r="XDR393" s="9"/>
      <c r="XDS393" s="9"/>
      <c r="XDT393" s="9"/>
      <c r="XDU393" s="9"/>
      <c r="XDV393" s="9"/>
      <c r="XDW393" s="9"/>
      <c r="XDX393" s="9"/>
      <c r="XDY393" s="9"/>
      <c r="XDZ393" s="9"/>
      <c r="XEA393" s="9"/>
      <c r="XEB393" s="9"/>
      <c r="XEC393" s="9"/>
      <c r="XED393" s="9"/>
      <c r="XEE393" s="9"/>
      <c r="XEF393" s="9"/>
      <c r="XEG393" s="9"/>
      <c r="XEH393" s="9"/>
      <c r="XEI393" s="9"/>
      <c r="XEJ393" s="9"/>
      <c r="XEK393" s="9"/>
      <c r="XEL393" s="9"/>
      <c r="XEM393" s="9"/>
      <c r="XEN393" s="9"/>
      <c r="XEO393" s="9"/>
      <c r="XEP393" s="9"/>
      <c r="XEQ393" s="9"/>
      <c r="XER393" s="9"/>
      <c r="XES393" s="9"/>
      <c r="XET393" s="9"/>
      <c r="XEU393" s="9"/>
      <c r="XEV393" s="9"/>
      <c r="XEW393" s="9"/>
      <c r="XEX393" s="9"/>
      <c r="XEY393" s="9"/>
      <c r="XEZ393" s="9"/>
      <c r="XFA393" s="9"/>
      <c r="XFB393" s="9"/>
      <c r="XFC393" s="9"/>
      <c r="XFD393" s="9"/>
    </row>
    <row r="394" spans="1:8 16325:16384" s="3" customFormat="1" ht="19.95" customHeight="1">
      <c r="A394" s="6" t="str">
        <f t="shared" si="13"/>
        <v>040014</v>
      </c>
      <c r="B394" s="6" t="s">
        <v>15</v>
      </c>
      <c r="C394" s="6" t="s">
        <v>21</v>
      </c>
      <c r="D394" s="6" t="str">
        <f>"512630603"</f>
        <v>512630603</v>
      </c>
      <c r="E394" s="7">
        <v>84.5</v>
      </c>
      <c r="F394" s="7">
        <v>78</v>
      </c>
      <c r="G394" s="7"/>
      <c r="H394" s="7">
        <v>81.900000000000006</v>
      </c>
      <c r="XCW394" s="9"/>
      <c r="XCX394" s="9"/>
      <c r="XCY394" s="9"/>
      <c r="XCZ394" s="9"/>
      <c r="XDA394" s="9"/>
      <c r="XDB394" s="9"/>
      <c r="XDC394" s="9"/>
      <c r="XDD394" s="9"/>
      <c r="XDE394" s="9"/>
      <c r="XDF394" s="9"/>
      <c r="XDG394" s="9"/>
      <c r="XDH394" s="9"/>
      <c r="XDI394" s="9"/>
      <c r="XDJ394" s="9"/>
      <c r="XDK394" s="9"/>
      <c r="XDL394" s="9"/>
      <c r="XDM394" s="9"/>
      <c r="XDN394" s="9"/>
      <c r="XDO394" s="9"/>
      <c r="XDP394" s="9"/>
      <c r="XDQ394" s="9"/>
      <c r="XDR394" s="9"/>
      <c r="XDS394" s="9"/>
      <c r="XDT394" s="9"/>
      <c r="XDU394" s="9"/>
      <c r="XDV394" s="9"/>
      <c r="XDW394" s="9"/>
      <c r="XDX394" s="9"/>
      <c r="XDY394" s="9"/>
      <c r="XDZ394" s="9"/>
      <c r="XEA394" s="9"/>
      <c r="XEB394" s="9"/>
      <c r="XEC394" s="9"/>
      <c r="XED394" s="9"/>
      <c r="XEE394" s="9"/>
      <c r="XEF394" s="9"/>
      <c r="XEG394" s="9"/>
      <c r="XEH394" s="9"/>
      <c r="XEI394" s="9"/>
      <c r="XEJ394" s="9"/>
      <c r="XEK394" s="9"/>
      <c r="XEL394" s="9"/>
      <c r="XEM394" s="9"/>
      <c r="XEN394" s="9"/>
      <c r="XEO394" s="9"/>
      <c r="XEP394" s="9"/>
      <c r="XEQ394" s="9"/>
      <c r="XER394" s="9"/>
      <c r="XES394" s="9"/>
      <c r="XET394" s="9"/>
      <c r="XEU394" s="9"/>
      <c r="XEV394" s="9"/>
      <c r="XEW394" s="9"/>
      <c r="XEX394" s="9"/>
      <c r="XEY394" s="9"/>
      <c r="XEZ394" s="9"/>
      <c r="XFA394" s="9"/>
      <c r="XFB394" s="9"/>
      <c r="XFC394" s="9"/>
      <c r="XFD394" s="9"/>
    </row>
    <row r="395" spans="1:8 16325:16384" s="3" customFormat="1" ht="19.95" customHeight="1">
      <c r="A395" s="6" t="str">
        <f t="shared" si="13"/>
        <v>040014</v>
      </c>
      <c r="B395" s="6" t="s">
        <v>15</v>
      </c>
      <c r="C395" s="6" t="s">
        <v>21</v>
      </c>
      <c r="D395" s="6" t="str">
        <f>"512630611"</f>
        <v>512630611</v>
      </c>
      <c r="E395" s="7">
        <v>29.5</v>
      </c>
      <c r="F395" s="7">
        <v>67</v>
      </c>
      <c r="G395" s="7"/>
      <c r="H395" s="7">
        <v>44.5</v>
      </c>
      <c r="XCW395" s="9"/>
      <c r="XCX395" s="9"/>
      <c r="XCY395" s="9"/>
      <c r="XCZ395" s="9"/>
      <c r="XDA395" s="9"/>
      <c r="XDB395" s="9"/>
      <c r="XDC395" s="9"/>
      <c r="XDD395" s="9"/>
      <c r="XDE395" s="9"/>
      <c r="XDF395" s="9"/>
      <c r="XDG395" s="9"/>
      <c r="XDH395" s="9"/>
      <c r="XDI395" s="9"/>
      <c r="XDJ395" s="9"/>
      <c r="XDK395" s="9"/>
      <c r="XDL395" s="9"/>
      <c r="XDM395" s="9"/>
      <c r="XDN395" s="9"/>
      <c r="XDO395" s="9"/>
      <c r="XDP395" s="9"/>
      <c r="XDQ395" s="9"/>
      <c r="XDR395" s="9"/>
      <c r="XDS395" s="9"/>
      <c r="XDT395" s="9"/>
      <c r="XDU395" s="9"/>
      <c r="XDV395" s="9"/>
      <c r="XDW395" s="9"/>
      <c r="XDX395" s="9"/>
      <c r="XDY395" s="9"/>
      <c r="XDZ395" s="9"/>
      <c r="XEA395" s="9"/>
      <c r="XEB395" s="9"/>
      <c r="XEC395" s="9"/>
      <c r="XED395" s="9"/>
      <c r="XEE395" s="9"/>
      <c r="XEF395" s="9"/>
      <c r="XEG395" s="9"/>
      <c r="XEH395" s="9"/>
      <c r="XEI395" s="9"/>
      <c r="XEJ395" s="9"/>
      <c r="XEK395" s="9"/>
      <c r="XEL395" s="9"/>
      <c r="XEM395" s="9"/>
      <c r="XEN395" s="9"/>
      <c r="XEO395" s="9"/>
      <c r="XEP395" s="9"/>
      <c r="XEQ395" s="9"/>
      <c r="XER395" s="9"/>
      <c r="XES395" s="9"/>
      <c r="XET395" s="9"/>
      <c r="XEU395" s="9"/>
      <c r="XEV395" s="9"/>
      <c r="XEW395" s="9"/>
      <c r="XEX395" s="9"/>
      <c r="XEY395" s="9"/>
      <c r="XEZ395" s="9"/>
      <c r="XFA395" s="9"/>
      <c r="XFB395" s="9"/>
      <c r="XFC395" s="9"/>
      <c r="XFD395" s="9"/>
    </row>
    <row r="396" spans="1:8 16325:16384" s="3" customFormat="1" ht="19.95" customHeight="1">
      <c r="A396" s="6" t="str">
        <f t="shared" si="13"/>
        <v>040014</v>
      </c>
      <c r="B396" s="6" t="s">
        <v>15</v>
      </c>
      <c r="C396" s="6" t="s">
        <v>21</v>
      </c>
      <c r="D396" s="6" t="str">
        <f>"512630610"</f>
        <v>512630610</v>
      </c>
      <c r="E396" s="7">
        <v>89</v>
      </c>
      <c r="F396" s="7">
        <v>0</v>
      </c>
      <c r="G396" s="7"/>
      <c r="H396" s="7">
        <v>53.4</v>
      </c>
      <c r="XCW396" s="9"/>
      <c r="XCX396" s="9"/>
      <c r="XCY396" s="9"/>
      <c r="XCZ396" s="9"/>
      <c r="XDA396" s="9"/>
      <c r="XDB396" s="9"/>
      <c r="XDC396" s="9"/>
      <c r="XDD396" s="9"/>
      <c r="XDE396" s="9"/>
      <c r="XDF396" s="9"/>
      <c r="XDG396" s="9"/>
      <c r="XDH396" s="9"/>
      <c r="XDI396" s="9"/>
      <c r="XDJ396" s="9"/>
      <c r="XDK396" s="9"/>
      <c r="XDL396" s="9"/>
      <c r="XDM396" s="9"/>
      <c r="XDN396" s="9"/>
      <c r="XDO396" s="9"/>
      <c r="XDP396" s="9"/>
      <c r="XDQ396" s="9"/>
      <c r="XDR396" s="9"/>
      <c r="XDS396" s="9"/>
      <c r="XDT396" s="9"/>
      <c r="XDU396" s="9"/>
      <c r="XDV396" s="9"/>
      <c r="XDW396" s="9"/>
      <c r="XDX396" s="9"/>
      <c r="XDY396" s="9"/>
      <c r="XDZ396" s="9"/>
      <c r="XEA396" s="9"/>
      <c r="XEB396" s="9"/>
      <c r="XEC396" s="9"/>
      <c r="XED396" s="9"/>
      <c r="XEE396" s="9"/>
      <c r="XEF396" s="9"/>
      <c r="XEG396" s="9"/>
      <c r="XEH396" s="9"/>
      <c r="XEI396" s="9"/>
      <c r="XEJ396" s="9"/>
      <c r="XEK396" s="9"/>
      <c r="XEL396" s="9"/>
      <c r="XEM396" s="9"/>
      <c r="XEN396" s="9"/>
      <c r="XEO396" s="9"/>
      <c r="XEP396" s="9"/>
      <c r="XEQ396" s="9"/>
      <c r="XER396" s="9"/>
      <c r="XES396" s="9"/>
      <c r="XET396" s="9"/>
      <c r="XEU396" s="9"/>
      <c r="XEV396" s="9"/>
      <c r="XEW396" s="9"/>
      <c r="XEX396" s="9"/>
      <c r="XEY396" s="9"/>
      <c r="XEZ396" s="9"/>
      <c r="XFA396" s="9"/>
      <c r="XFB396" s="9"/>
      <c r="XFC396" s="9"/>
      <c r="XFD396" s="9"/>
    </row>
    <row r="397" spans="1:8 16325:16384" s="3" customFormat="1" ht="19.95" customHeight="1">
      <c r="A397" s="6" t="str">
        <f t="shared" si="13"/>
        <v>040014</v>
      </c>
      <c r="B397" s="6" t="s">
        <v>15</v>
      </c>
      <c r="C397" s="6" t="s">
        <v>21</v>
      </c>
      <c r="D397" s="6" t="str">
        <f>"512630601"</f>
        <v>512630601</v>
      </c>
      <c r="E397" s="7">
        <v>72.5</v>
      </c>
      <c r="F397" s="7">
        <v>69</v>
      </c>
      <c r="G397" s="7"/>
      <c r="H397" s="7">
        <v>71.099999999999994</v>
      </c>
      <c r="XCW397" s="9"/>
      <c r="XCX397" s="9"/>
      <c r="XCY397" s="9"/>
      <c r="XCZ397" s="9"/>
      <c r="XDA397" s="9"/>
      <c r="XDB397" s="9"/>
      <c r="XDC397" s="9"/>
      <c r="XDD397" s="9"/>
      <c r="XDE397" s="9"/>
      <c r="XDF397" s="9"/>
      <c r="XDG397" s="9"/>
      <c r="XDH397" s="9"/>
      <c r="XDI397" s="9"/>
      <c r="XDJ397" s="9"/>
      <c r="XDK397" s="9"/>
      <c r="XDL397" s="9"/>
      <c r="XDM397" s="9"/>
      <c r="XDN397" s="9"/>
      <c r="XDO397" s="9"/>
      <c r="XDP397" s="9"/>
      <c r="XDQ397" s="9"/>
      <c r="XDR397" s="9"/>
      <c r="XDS397" s="9"/>
      <c r="XDT397" s="9"/>
      <c r="XDU397" s="9"/>
      <c r="XDV397" s="9"/>
      <c r="XDW397" s="9"/>
      <c r="XDX397" s="9"/>
      <c r="XDY397" s="9"/>
      <c r="XDZ397" s="9"/>
      <c r="XEA397" s="9"/>
      <c r="XEB397" s="9"/>
      <c r="XEC397" s="9"/>
      <c r="XED397" s="9"/>
      <c r="XEE397" s="9"/>
      <c r="XEF397" s="9"/>
      <c r="XEG397" s="9"/>
      <c r="XEH397" s="9"/>
      <c r="XEI397" s="9"/>
      <c r="XEJ397" s="9"/>
      <c r="XEK397" s="9"/>
      <c r="XEL397" s="9"/>
      <c r="XEM397" s="9"/>
      <c r="XEN397" s="9"/>
      <c r="XEO397" s="9"/>
      <c r="XEP397" s="9"/>
      <c r="XEQ397" s="9"/>
      <c r="XER397" s="9"/>
      <c r="XES397" s="9"/>
      <c r="XET397" s="9"/>
      <c r="XEU397" s="9"/>
      <c r="XEV397" s="9"/>
      <c r="XEW397" s="9"/>
      <c r="XEX397" s="9"/>
      <c r="XEY397" s="9"/>
      <c r="XEZ397" s="9"/>
      <c r="XFA397" s="9"/>
      <c r="XFB397" s="9"/>
      <c r="XFC397" s="9"/>
      <c r="XFD397" s="9"/>
    </row>
    <row r="398" spans="1:8 16325:16384" s="3" customFormat="1" ht="19.95" customHeight="1">
      <c r="A398" s="6" t="str">
        <f t="shared" si="13"/>
        <v>040014</v>
      </c>
      <c r="B398" s="6" t="s">
        <v>15</v>
      </c>
      <c r="C398" s="6" t="s">
        <v>21</v>
      </c>
      <c r="D398" s="6" t="str">
        <f>"512630528"</f>
        <v>512630528</v>
      </c>
      <c r="E398" s="7">
        <v>59</v>
      </c>
      <c r="F398" s="7">
        <v>67.5</v>
      </c>
      <c r="G398" s="7"/>
      <c r="H398" s="7">
        <v>62.4</v>
      </c>
      <c r="XCW398" s="9"/>
      <c r="XCX398" s="9"/>
      <c r="XCY398" s="9"/>
      <c r="XCZ398" s="9"/>
      <c r="XDA398" s="9"/>
      <c r="XDB398" s="9"/>
      <c r="XDC398" s="9"/>
      <c r="XDD398" s="9"/>
      <c r="XDE398" s="9"/>
      <c r="XDF398" s="9"/>
      <c r="XDG398" s="9"/>
      <c r="XDH398" s="9"/>
      <c r="XDI398" s="9"/>
      <c r="XDJ398" s="9"/>
      <c r="XDK398" s="9"/>
      <c r="XDL398" s="9"/>
      <c r="XDM398" s="9"/>
      <c r="XDN398" s="9"/>
      <c r="XDO398" s="9"/>
      <c r="XDP398" s="9"/>
      <c r="XDQ398" s="9"/>
      <c r="XDR398" s="9"/>
      <c r="XDS398" s="9"/>
      <c r="XDT398" s="9"/>
      <c r="XDU398" s="9"/>
      <c r="XDV398" s="9"/>
      <c r="XDW398" s="9"/>
      <c r="XDX398" s="9"/>
      <c r="XDY398" s="9"/>
      <c r="XDZ398" s="9"/>
      <c r="XEA398" s="9"/>
      <c r="XEB398" s="9"/>
      <c r="XEC398" s="9"/>
      <c r="XED398" s="9"/>
      <c r="XEE398" s="9"/>
      <c r="XEF398" s="9"/>
      <c r="XEG398" s="9"/>
      <c r="XEH398" s="9"/>
      <c r="XEI398" s="9"/>
      <c r="XEJ398" s="9"/>
      <c r="XEK398" s="9"/>
      <c r="XEL398" s="9"/>
      <c r="XEM398" s="9"/>
      <c r="XEN398" s="9"/>
      <c r="XEO398" s="9"/>
      <c r="XEP398" s="9"/>
      <c r="XEQ398" s="9"/>
      <c r="XER398" s="9"/>
      <c r="XES398" s="9"/>
      <c r="XET398" s="9"/>
      <c r="XEU398" s="9"/>
      <c r="XEV398" s="9"/>
      <c r="XEW398" s="9"/>
      <c r="XEX398" s="9"/>
      <c r="XEY398" s="9"/>
      <c r="XEZ398" s="9"/>
      <c r="XFA398" s="9"/>
      <c r="XFB398" s="9"/>
      <c r="XFC398" s="9"/>
      <c r="XFD398" s="9"/>
    </row>
    <row r="399" spans="1:8 16325:16384" s="3" customFormat="1" ht="19.95" customHeight="1">
      <c r="A399" s="6" t="str">
        <f t="shared" si="13"/>
        <v>040014</v>
      </c>
      <c r="B399" s="6" t="s">
        <v>15</v>
      </c>
      <c r="C399" s="6" t="s">
        <v>21</v>
      </c>
      <c r="D399" s="6" t="str">
        <f>"512630529"</f>
        <v>512630529</v>
      </c>
      <c r="E399" s="7">
        <v>41.5</v>
      </c>
      <c r="F399" s="7">
        <v>69.5</v>
      </c>
      <c r="G399" s="7"/>
      <c r="H399" s="7">
        <v>52.7</v>
      </c>
      <c r="XCW399" s="9"/>
      <c r="XCX399" s="9"/>
      <c r="XCY399" s="9"/>
      <c r="XCZ399" s="9"/>
      <c r="XDA399" s="9"/>
      <c r="XDB399" s="9"/>
      <c r="XDC399" s="9"/>
      <c r="XDD399" s="9"/>
      <c r="XDE399" s="9"/>
      <c r="XDF399" s="9"/>
      <c r="XDG399" s="9"/>
      <c r="XDH399" s="9"/>
      <c r="XDI399" s="9"/>
      <c r="XDJ399" s="9"/>
      <c r="XDK399" s="9"/>
      <c r="XDL399" s="9"/>
      <c r="XDM399" s="9"/>
      <c r="XDN399" s="9"/>
      <c r="XDO399" s="9"/>
      <c r="XDP399" s="9"/>
      <c r="XDQ399" s="9"/>
      <c r="XDR399" s="9"/>
      <c r="XDS399" s="9"/>
      <c r="XDT399" s="9"/>
      <c r="XDU399" s="9"/>
      <c r="XDV399" s="9"/>
      <c r="XDW399" s="9"/>
      <c r="XDX399" s="9"/>
      <c r="XDY399" s="9"/>
      <c r="XDZ399" s="9"/>
      <c r="XEA399" s="9"/>
      <c r="XEB399" s="9"/>
      <c r="XEC399" s="9"/>
      <c r="XED399" s="9"/>
      <c r="XEE399" s="9"/>
      <c r="XEF399" s="9"/>
      <c r="XEG399" s="9"/>
      <c r="XEH399" s="9"/>
      <c r="XEI399" s="9"/>
      <c r="XEJ399" s="9"/>
      <c r="XEK399" s="9"/>
      <c r="XEL399" s="9"/>
      <c r="XEM399" s="9"/>
      <c r="XEN399" s="9"/>
      <c r="XEO399" s="9"/>
      <c r="XEP399" s="9"/>
      <c r="XEQ399" s="9"/>
      <c r="XER399" s="9"/>
      <c r="XES399" s="9"/>
      <c r="XET399" s="9"/>
      <c r="XEU399" s="9"/>
      <c r="XEV399" s="9"/>
      <c r="XEW399" s="9"/>
      <c r="XEX399" s="9"/>
      <c r="XEY399" s="9"/>
      <c r="XEZ399" s="9"/>
      <c r="XFA399" s="9"/>
      <c r="XFB399" s="9"/>
      <c r="XFC399" s="9"/>
      <c r="XFD399" s="9"/>
    </row>
    <row r="400" spans="1:8 16325:16384" s="3" customFormat="1" ht="19.95" customHeight="1">
      <c r="A400" s="6" t="str">
        <f t="shared" si="13"/>
        <v>040014</v>
      </c>
      <c r="B400" s="6" t="s">
        <v>15</v>
      </c>
      <c r="C400" s="6" t="s">
        <v>21</v>
      </c>
      <c r="D400" s="6" t="str">
        <f>"512630525"</f>
        <v>512630525</v>
      </c>
      <c r="E400" s="7">
        <v>54.5</v>
      </c>
      <c r="F400" s="7">
        <v>62</v>
      </c>
      <c r="G400" s="7"/>
      <c r="H400" s="7">
        <v>57.5</v>
      </c>
      <c r="XCW400" s="9"/>
      <c r="XCX400" s="9"/>
      <c r="XCY400" s="9"/>
      <c r="XCZ400" s="9"/>
      <c r="XDA400" s="9"/>
      <c r="XDB400" s="9"/>
      <c r="XDC400" s="9"/>
      <c r="XDD400" s="9"/>
      <c r="XDE400" s="9"/>
      <c r="XDF400" s="9"/>
      <c r="XDG400" s="9"/>
      <c r="XDH400" s="9"/>
      <c r="XDI400" s="9"/>
      <c r="XDJ400" s="9"/>
      <c r="XDK400" s="9"/>
      <c r="XDL400" s="9"/>
      <c r="XDM400" s="9"/>
      <c r="XDN400" s="9"/>
      <c r="XDO400" s="9"/>
      <c r="XDP400" s="9"/>
      <c r="XDQ400" s="9"/>
      <c r="XDR400" s="9"/>
      <c r="XDS400" s="9"/>
      <c r="XDT400" s="9"/>
      <c r="XDU400" s="9"/>
      <c r="XDV400" s="9"/>
      <c r="XDW400" s="9"/>
      <c r="XDX400" s="9"/>
      <c r="XDY400" s="9"/>
      <c r="XDZ400" s="9"/>
      <c r="XEA400" s="9"/>
      <c r="XEB400" s="9"/>
      <c r="XEC400" s="9"/>
      <c r="XED400" s="9"/>
      <c r="XEE400" s="9"/>
      <c r="XEF400" s="9"/>
      <c r="XEG400" s="9"/>
      <c r="XEH400" s="9"/>
      <c r="XEI400" s="9"/>
      <c r="XEJ400" s="9"/>
      <c r="XEK400" s="9"/>
      <c r="XEL400" s="9"/>
      <c r="XEM400" s="9"/>
      <c r="XEN400" s="9"/>
      <c r="XEO400" s="9"/>
      <c r="XEP400" s="9"/>
      <c r="XEQ400" s="9"/>
      <c r="XER400" s="9"/>
      <c r="XES400" s="9"/>
      <c r="XET400" s="9"/>
      <c r="XEU400" s="9"/>
      <c r="XEV400" s="9"/>
      <c r="XEW400" s="9"/>
      <c r="XEX400" s="9"/>
      <c r="XEY400" s="9"/>
      <c r="XEZ400" s="9"/>
      <c r="XFA400" s="9"/>
      <c r="XFB400" s="9"/>
      <c r="XFC400" s="9"/>
      <c r="XFD400" s="9"/>
    </row>
    <row r="401" spans="1:8 16325:16384" s="3" customFormat="1" ht="19.95" customHeight="1">
      <c r="A401" s="6" t="str">
        <f t="shared" si="13"/>
        <v>040014</v>
      </c>
      <c r="B401" s="6" t="s">
        <v>15</v>
      </c>
      <c r="C401" s="6" t="s">
        <v>21</v>
      </c>
      <c r="D401" s="6" t="str">
        <f>"512630526"</f>
        <v>512630526</v>
      </c>
      <c r="E401" s="7">
        <v>53.5</v>
      </c>
      <c r="F401" s="7">
        <v>69</v>
      </c>
      <c r="G401" s="7"/>
      <c r="H401" s="7">
        <v>59.7</v>
      </c>
      <c r="XCW401" s="9"/>
      <c r="XCX401" s="9"/>
      <c r="XCY401" s="9"/>
      <c r="XCZ401" s="9"/>
      <c r="XDA401" s="9"/>
      <c r="XDB401" s="9"/>
      <c r="XDC401" s="9"/>
      <c r="XDD401" s="9"/>
      <c r="XDE401" s="9"/>
      <c r="XDF401" s="9"/>
      <c r="XDG401" s="9"/>
      <c r="XDH401" s="9"/>
      <c r="XDI401" s="9"/>
      <c r="XDJ401" s="9"/>
      <c r="XDK401" s="9"/>
      <c r="XDL401" s="9"/>
      <c r="XDM401" s="9"/>
      <c r="XDN401" s="9"/>
      <c r="XDO401" s="9"/>
      <c r="XDP401" s="9"/>
      <c r="XDQ401" s="9"/>
      <c r="XDR401" s="9"/>
      <c r="XDS401" s="9"/>
      <c r="XDT401" s="9"/>
      <c r="XDU401" s="9"/>
      <c r="XDV401" s="9"/>
      <c r="XDW401" s="9"/>
      <c r="XDX401" s="9"/>
      <c r="XDY401" s="9"/>
      <c r="XDZ401" s="9"/>
      <c r="XEA401" s="9"/>
      <c r="XEB401" s="9"/>
      <c r="XEC401" s="9"/>
      <c r="XED401" s="9"/>
      <c r="XEE401" s="9"/>
      <c r="XEF401" s="9"/>
      <c r="XEG401" s="9"/>
      <c r="XEH401" s="9"/>
      <c r="XEI401" s="9"/>
      <c r="XEJ401" s="9"/>
      <c r="XEK401" s="9"/>
      <c r="XEL401" s="9"/>
      <c r="XEM401" s="9"/>
      <c r="XEN401" s="9"/>
      <c r="XEO401" s="9"/>
      <c r="XEP401" s="9"/>
      <c r="XEQ401" s="9"/>
      <c r="XER401" s="9"/>
      <c r="XES401" s="9"/>
      <c r="XET401" s="9"/>
      <c r="XEU401" s="9"/>
      <c r="XEV401" s="9"/>
      <c r="XEW401" s="9"/>
      <c r="XEX401" s="9"/>
      <c r="XEY401" s="9"/>
      <c r="XEZ401" s="9"/>
      <c r="XFA401" s="9"/>
      <c r="XFB401" s="9"/>
      <c r="XFC401" s="9"/>
      <c r="XFD401" s="9"/>
    </row>
    <row r="402" spans="1:8 16325:16384" s="3" customFormat="1" ht="19.95" customHeight="1">
      <c r="A402" s="6" t="str">
        <f t="shared" si="13"/>
        <v>040014</v>
      </c>
      <c r="B402" s="6" t="s">
        <v>15</v>
      </c>
      <c r="C402" s="6" t="s">
        <v>21</v>
      </c>
      <c r="D402" s="6" t="str">
        <f>"512630519"</f>
        <v>512630519</v>
      </c>
      <c r="E402" s="7">
        <v>50</v>
      </c>
      <c r="F402" s="7">
        <v>0</v>
      </c>
      <c r="G402" s="7"/>
      <c r="H402" s="7">
        <v>30</v>
      </c>
      <c r="XCW402" s="9"/>
      <c r="XCX402" s="9"/>
      <c r="XCY402" s="9"/>
      <c r="XCZ402" s="9"/>
      <c r="XDA402" s="9"/>
      <c r="XDB402" s="9"/>
      <c r="XDC402" s="9"/>
      <c r="XDD402" s="9"/>
      <c r="XDE402" s="9"/>
      <c r="XDF402" s="9"/>
      <c r="XDG402" s="9"/>
      <c r="XDH402" s="9"/>
      <c r="XDI402" s="9"/>
      <c r="XDJ402" s="9"/>
      <c r="XDK402" s="9"/>
      <c r="XDL402" s="9"/>
      <c r="XDM402" s="9"/>
      <c r="XDN402" s="9"/>
      <c r="XDO402" s="9"/>
      <c r="XDP402" s="9"/>
      <c r="XDQ402" s="9"/>
      <c r="XDR402" s="9"/>
      <c r="XDS402" s="9"/>
      <c r="XDT402" s="9"/>
      <c r="XDU402" s="9"/>
      <c r="XDV402" s="9"/>
      <c r="XDW402" s="9"/>
      <c r="XDX402" s="9"/>
      <c r="XDY402" s="9"/>
      <c r="XDZ402" s="9"/>
      <c r="XEA402" s="9"/>
      <c r="XEB402" s="9"/>
      <c r="XEC402" s="9"/>
      <c r="XED402" s="9"/>
      <c r="XEE402" s="9"/>
      <c r="XEF402" s="9"/>
      <c r="XEG402" s="9"/>
      <c r="XEH402" s="9"/>
      <c r="XEI402" s="9"/>
      <c r="XEJ402" s="9"/>
      <c r="XEK402" s="9"/>
      <c r="XEL402" s="9"/>
      <c r="XEM402" s="9"/>
      <c r="XEN402" s="9"/>
      <c r="XEO402" s="9"/>
      <c r="XEP402" s="9"/>
      <c r="XEQ402" s="9"/>
      <c r="XER402" s="9"/>
      <c r="XES402" s="9"/>
      <c r="XET402" s="9"/>
      <c r="XEU402" s="9"/>
      <c r="XEV402" s="9"/>
      <c r="XEW402" s="9"/>
      <c r="XEX402" s="9"/>
      <c r="XEY402" s="9"/>
      <c r="XEZ402" s="9"/>
      <c r="XFA402" s="9"/>
      <c r="XFB402" s="9"/>
      <c r="XFC402" s="9"/>
      <c r="XFD402" s="9"/>
    </row>
    <row r="403" spans="1:8 16325:16384" s="3" customFormat="1" ht="19.95" customHeight="1">
      <c r="A403" s="6" t="str">
        <f t="shared" si="13"/>
        <v>040014</v>
      </c>
      <c r="B403" s="6" t="s">
        <v>15</v>
      </c>
      <c r="C403" s="6" t="s">
        <v>21</v>
      </c>
      <c r="D403" s="6" t="str">
        <f>"512630612"</f>
        <v>512630612</v>
      </c>
      <c r="E403" s="7">
        <v>54.5</v>
      </c>
      <c r="F403" s="7">
        <v>73</v>
      </c>
      <c r="G403" s="7"/>
      <c r="H403" s="7">
        <v>61.9</v>
      </c>
      <c r="XCW403" s="9"/>
      <c r="XCX403" s="9"/>
      <c r="XCY403" s="9"/>
      <c r="XCZ403" s="9"/>
      <c r="XDA403" s="9"/>
      <c r="XDB403" s="9"/>
      <c r="XDC403" s="9"/>
      <c r="XDD403" s="9"/>
      <c r="XDE403" s="9"/>
      <c r="XDF403" s="9"/>
      <c r="XDG403" s="9"/>
      <c r="XDH403" s="9"/>
      <c r="XDI403" s="9"/>
      <c r="XDJ403" s="9"/>
      <c r="XDK403" s="9"/>
      <c r="XDL403" s="9"/>
      <c r="XDM403" s="9"/>
      <c r="XDN403" s="9"/>
      <c r="XDO403" s="9"/>
      <c r="XDP403" s="9"/>
      <c r="XDQ403" s="9"/>
      <c r="XDR403" s="9"/>
      <c r="XDS403" s="9"/>
      <c r="XDT403" s="9"/>
      <c r="XDU403" s="9"/>
      <c r="XDV403" s="9"/>
      <c r="XDW403" s="9"/>
      <c r="XDX403" s="9"/>
      <c r="XDY403" s="9"/>
      <c r="XDZ403" s="9"/>
      <c r="XEA403" s="9"/>
      <c r="XEB403" s="9"/>
      <c r="XEC403" s="9"/>
      <c r="XED403" s="9"/>
      <c r="XEE403" s="9"/>
      <c r="XEF403" s="9"/>
      <c r="XEG403" s="9"/>
      <c r="XEH403" s="9"/>
      <c r="XEI403" s="9"/>
      <c r="XEJ403" s="9"/>
      <c r="XEK403" s="9"/>
      <c r="XEL403" s="9"/>
      <c r="XEM403" s="9"/>
      <c r="XEN403" s="9"/>
      <c r="XEO403" s="9"/>
      <c r="XEP403" s="9"/>
      <c r="XEQ403" s="9"/>
      <c r="XER403" s="9"/>
      <c r="XES403" s="9"/>
      <c r="XET403" s="9"/>
      <c r="XEU403" s="9"/>
      <c r="XEV403" s="9"/>
      <c r="XEW403" s="9"/>
      <c r="XEX403" s="9"/>
      <c r="XEY403" s="9"/>
      <c r="XEZ403" s="9"/>
      <c r="XFA403" s="9"/>
      <c r="XFB403" s="9"/>
      <c r="XFC403" s="9"/>
      <c r="XFD403" s="9"/>
    </row>
    <row r="404" spans="1:8 16325:16384" s="3" customFormat="1" ht="19.95" customHeight="1">
      <c r="A404" s="6" t="str">
        <f t="shared" si="13"/>
        <v>040014</v>
      </c>
      <c r="B404" s="6" t="s">
        <v>15</v>
      </c>
      <c r="C404" s="6" t="s">
        <v>21</v>
      </c>
      <c r="D404" s="6" t="str">
        <f>"512630530"</f>
        <v>512630530</v>
      </c>
      <c r="E404" s="7">
        <v>0</v>
      </c>
      <c r="F404" s="7">
        <v>0</v>
      </c>
      <c r="G404" s="7"/>
      <c r="H404" s="7">
        <v>0</v>
      </c>
      <c r="XCW404" s="9"/>
      <c r="XCX404" s="9"/>
      <c r="XCY404" s="9"/>
      <c r="XCZ404" s="9"/>
      <c r="XDA404" s="9"/>
      <c r="XDB404" s="9"/>
      <c r="XDC404" s="9"/>
      <c r="XDD404" s="9"/>
      <c r="XDE404" s="9"/>
      <c r="XDF404" s="9"/>
      <c r="XDG404" s="9"/>
      <c r="XDH404" s="9"/>
      <c r="XDI404" s="9"/>
      <c r="XDJ404" s="9"/>
      <c r="XDK404" s="9"/>
      <c r="XDL404" s="9"/>
      <c r="XDM404" s="9"/>
      <c r="XDN404" s="9"/>
      <c r="XDO404" s="9"/>
      <c r="XDP404" s="9"/>
      <c r="XDQ404" s="9"/>
      <c r="XDR404" s="9"/>
      <c r="XDS404" s="9"/>
      <c r="XDT404" s="9"/>
      <c r="XDU404" s="9"/>
      <c r="XDV404" s="9"/>
      <c r="XDW404" s="9"/>
      <c r="XDX404" s="9"/>
      <c r="XDY404" s="9"/>
      <c r="XDZ404" s="9"/>
      <c r="XEA404" s="9"/>
      <c r="XEB404" s="9"/>
      <c r="XEC404" s="9"/>
      <c r="XED404" s="9"/>
      <c r="XEE404" s="9"/>
      <c r="XEF404" s="9"/>
      <c r="XEG404" s="9"/>
      <c r="XEH404" s="9"/>
      <c r="XEI404" s="9"/>
      <c r="XEJ404" s="9"/>
      <c r="XEK404" s="9"/>
      <c r="XEL404" s="9"/>
      <c r="XEM404" s="9"/>
      <c r="XEN404" s="9"/>
      <c r="XEO404" s="9"/>
      <c r="XEP404" s="9"/>
      <c r="XEQ404" s="9"/>
      <c r="XER404" s="9"/>
      <c r="XES404" s="9"/>
      <c r="XET404" s="9"/>
      <c r="XEU404" s="9"/>
      <c r="XEV404" s="9"/>
      <c r="XEW404" s="9"/>
      <c r="XEX404" s="9"/>
      <c r="XEY404" s="9"/>
      <c r="XEZ404" s="9"/>
      <c r="XFA404" s="9"/>
      <c r="XFB404" s="9"/>
      <c r="XFC404" s="9"/>
      <c r="XFD404" s="9"/>
    </row>
    <row r="405" spans="1:8 16325:16384" s="3" customFormat="1" ht="19.95" customHeight="1">
      <c r="A405" s="6" t="str">
        <f t="shared" si="13"/>
        <v>040014</v>
      </c>
      <c r="B405" s="6" t="s">
        <v>15</v>
      </c>
      <c r="C405" s="6" t="s">
        <v>21</v>
      </c>
      <c r="D405" s="6" t="str">
        <f>"512630518"</f>
        <v>512630518</v>
      </c>
      <c r="E405" s="7">
        <v>93.5</v>
      </c>
      <c r="F405" s="7">
        <v>80.5</v>
      </c>
      <c r="G405" s="7"/>
      <c r="H405" s="7">
        <v>88.3</v>
      </c>
      <c r="XCW405" s="9"/>
      <c r="XCX405" s="9"/>
      <c r="XCY405" s="9"/>
      <c r="XCZ405" s="9"/>
      <c r="XDA405" s="9"/>
      <c r="XDB405" s="9"/>
      <c r="XDC405" s="9"/>
      <c r="XDD405" s="9"/>
      <c r="XDE405" s="9"/>
      <c r="XDF405" s="9"/>
      <c r="XDG405" s="9"/>
      <c r="XDH405" s="9"/>
      <c r="XDI405" s="9"/>
      <c r="XDJ405" s="9"/>
      <c r="XDK405" s="9"/>
      <c r="XDL405" s="9"/>
      <c r="XDM405" s="9"/>
      <c r="XDN405" s="9"/>
      <c r="XDO405" s="9"/>
      <c r="XDP405" s="9"/>
      <c r="XDQ405" s="9"/>
      <c r="XDR405" s="9"/>
      <c r="XDS405" s="9"/>
      <c r="XDT405" s="9"/>
      <c r="XDU405" s="9"/>
      <c r="XDV405" s="9"/>
      <c r="XDW405" s="9"/>
      <c r="XDX405" s="9"/>
      <c r="XDY405" s="9"/>
      <c r="XDZ405" s="9"/>
      <c r="XEA405" s="9"/>
      <c r="XEB405" s="9"/>
      <c r="XEC405" s="9"/>
      <c r="XED405" s="9"/>
      <c r="XEE405" s="9"/>
      <c r="XEF405" s="9"/>
      <c r="XEG405" s="9"/>
      <c r="XEH405" s="9"/>
      <c r="XEI405" s="9"/>
      <c r="XEJ405" s="9"/>
      <c r="XEK405" s="9"/>
      <c r="XEL405" s="9"/>
      <c r="XEM405" s="9"/>
      <c r="XEN405" s="9"/>
      <c r="XEO405" s="9"/>
      <c r="XEP405" s="9"/>
      <c r="XEQ405" s="9"/>
      <c r="XER405" s="9"/>
      <c r="XES405" s="9"/>
      <c r="XET405" s="9"/>
      <c r="XEU405" s="9"/>
      <c r="XEV405" s="9"/>
      <c r="XEW405" s="9"/>
      <c r="XEX405" s="9"/>
      <c r="XEY405" s="9"/>
      <c r="XEZ405" s="9"/>
      <c r="XFA405" s="9"/>
      <c r="XFB405" s="9"/>
      <c r="XFC405" s="9"/>
      <c r="XFD405" s="9"/>
    </row>
    <row r="406" spans="1:8 16325:16384" s="3" customFormat="1" ht="19.95" customHeight="1">
      <c r="A406" s="6" t="str">
        <f t="shared" si="13"/>
        <v>040014</v>
      </c>
      <c r="B406" s="6" t="s">
        <v>15</v>
      </c>
      <c r="C406" s="6" t="s">
        <v>21</v>
      </c>
      <c r="D406" s="6" t="str">
        <f>"512630616"</f>
        <v>512630616</v>
      </c>
      <c r="E406" s="7">
        <v>83</v>
      </c>
      <c r="F406" s="7">
        <v>59.5</v>
      </c>
      <c r="G406" s="7"/>
      <c r="H406" s="7">
        <v>73.599999999999994</v>
      </c>
      <c r="XCW406" s="9"/>
      <c r="XCX406" s="9"/>
      <c r="XCY406" s="9"/>
      <c r="XCZ406" s="9"/>
      <c r="XDA406" s="9"/>
      <c r="XDB406" s="9"/>
      <c r="XDC406" s="9"/>
      <c r="XDD406" s="9"/>
      <c r="XDE406" s="9"/>
      <c r="XDF406" s="9"/>
      <c r="XDG406" s="9"/>
      <c r="XDH406" s="9"/>
      <c r="XDI406" s="9"/>
      <c r="XDJ406" s="9"/>
      <c r="XDK406" s="9"/>
      <c r="XDL406" s="9"/>
      <c r="XDM406" s="9"/>
      <c r="XDN406" s="9"/>
      <c r="XDO406" s="9"/>
      <c r="XDP406" s="9"/>
      <c r="XDQ406" s="9"/>
      <c r="XDR406" s="9"/>
      <c r="XDS406" s="9"/>
      <c r="XDT406" s="9"/>
      <c r="XDU406" s="9"/>
      <c r="XDV406" s="9"/>
      <c r="XDW406" s="9"/>
      <c r="XDX406" s="9"/>
      <c r="XDY406" s="9"/>
      <c r="XDZ406" s="9"/>
      <c r="XEA406" s="9"/>
      <c r="XEB406" s="9"/>
      <c r="XEC406" s="9"/>
      <c r="XED406" s="9"/>
      <c r="XEE406" s="9"/>
      <c r="XEF406" s="9"/>
      <c r="XEG406" s="9"/>
      <c r="XEH406" s="9"/>
      <c r="XEI406" s="9"/>
      <c r="XEJ406" s="9"/>
      <c r="XEK406" s="9"/>
      <c r="XEL406" s="9"/>
      <c r="XEM406" s="9"/>
      <c r="XEN406" s="9"/>
      <c r="XEO406" s="9"/>
      <c r="XEP406" s="9"/>
      <c r="XEQ406" s="9"/>
      <c r="XER406" s="9"/>
      <c r="XES406" s="9"/>
      <c r="XET406" s="9"/>
      <c r="XEU406" s="9"/>
      <c r="XEV406" s="9"/>
      <c r="XEW406" s="9"/>
      <c r="XEX406" s="9"/>
      <c r="XEY406" s="9"/>
      <c r="XEZ406" s="9"/>
      <c r="XFA406" s="9"/>
      <c r="XFB406" s="9"/>
      <c r="XFC406" s="9"/>
      <c r="XFD406" s="9"/>
    </row>
    <row r="407" spans="1:8 16325:16384" s="3" customFormat="1" ht="19.95" customHeight="1">
      <c r="A407" s="6" t="str">
        <f t="shared" si="13"/>
        <v>040014</v>
      </c>
      <c r="B407" s="6" t="s">
        <v>15</v>
      </c>
      <c r="C407" s="6" t="s">
        <v>21</v>
      </c>
      <c r="D407" s="6" t="str">
        <f>"512630527"</f>
        <v>512630527</v>
      </c>
      <c r="E407" s="7">
        <v>92</v>
      </c>
      <c r="F407" s="7">
        <v>72.5</v>
      </c>
      <c r="G407" s="7"/>
      <c r="H407" s="7">
        <v>84.2</v>
      </c>
      <c r="XCW407" s="9"/>
      <c r="XCX407" s="9"/>
      <c r="XCY407" s="9"/>
      <c r="XCZ407" s="9"/>
      <c r="XDA407" s="9"/>
      <c r="XDB407" s="9"/>
      <c r="XDC407" s="9"/>
      <c r="XDD407" s="9"/>
      <c r="XDE407" s="9"/>
      <c r="XDF407" s="9"/>
      <c r="XDG407" s="9"/>
      <c r="XDH407" s="9"/>
      <c r="XDI407" s="9"/>
      <c r="XDJ407" s="9"/>
      <c r="XDK407" s="9"/>
      <c r="XDL407" s="9"/>
      <c r="XDM407" s="9"/>
      <c r="XDN407" s="9"/>
      <c r="XDO407" s="9"/>
      <c r="XDP407" s="9"/>
      <c r="XDQ407" s="9"/>
      <c r="XDR407" s="9"/>
      <c r="XDS407" s="9"/>
      <c r="XDT407" s="9"/>
      <c r="XDU407" s="9"/>
      <c r="XDV407" s="9"/>
      <c r="XDW407" s="9"/>
      <c r="XDX407" s="9"/>
      <c r="XDY407" s="9"/>
      <c r="XDZ407" s="9"/>
      <c r="XEA407" s="9"/>
      <c r="XEB407" s="9"/>
      <c r="XEC407" s="9"/>
      <c r="XED407" s="9"/>
      <c r="XEE407" s="9"/>
      <c r="XEF407" s="9"/>
      <c r="XEG407" s="9"/>
      <c r="XEH407" s="9"/>
      <c r="XEI407" s="9"/>
      <c r="XEJ407" s="9"/>
      <c r="XEK407" s="9"/>
      <c r="XEL407" s="9"/>
      <c r="XEM407" s="9"/>
      <c r="XEN407" s="9"/>
      <c r="XEO407" s="9"/>
      <c r="XEP407" s="9"/>
      <c r="XEQ407" s="9"/>
      <c r="XER407" s="9"/>
      <c r="XES407" s="9"/>
      <c r="XET407" s="9"/>
      <c r="XEU407" s="9"/>
      <c r="XEV407" s="9"/>
      <c r="XEW407" s="9"/>
      <c r="XEX407" s="9"/>
      <c r="XEY407" s="9"/>
      <c r="XEZ407" s="9"/>
      <c r="XFA407" s="9"/>
      <c r="XFB407" s="9"/>
      <c r="XFC407" s="9"/>
      <c r="XFD407" s="9"/>
    </row>
    <row r="408" spans="1:8 16325:16384" s="3" customFormat="1" ht="19.95" customHeight="1">
      <c r="A408" s="6" t="str">
        <f t="shared" si="13"/>
        <v>040014</v>
      </c>
      <c r="B408" s="6" t="s">
        <v>15</v>
      </c>
      <c r="C408" s="6" t="s">
        <v>21</v>
      </c>
      <c r="D408" s="6" t="str">
        <f>"512630607"</f>
        <v>512630607</v>
      </c>
      <c r="E408" s="7">
        <v>66</v>
      </c>
      <c r="F408" s="7">
        <v>78</v>
      </c>
      <c r="G408" s="7"/>
      <c r="H408" s="7">
        <v>70.8</v>
      </c>
      <c r="XCW408" s="9"/>
      <c r="XCX408" s="9"/>
      <c r="XCY408" s="9"/>
      <c r="XCZ408" s="9"/>
      <c r="XDA408" s="9"/>
      <c r="XDB408" s="9"/>
      <c r="XDC408" s="9"/>
      <c r="XDD408" s="9"/>
      <c r="XDE408" s="9"/>
      <c r="XDF408" s="9"/>
      <c r="XDG408" s="9"/>
      <c r="XDH408" s="9"/>
      <c r="XDI408" s="9"/>
      <c r="XDJ408" s="9"/>
      <c r="XDK408" s="9"/>
      <c r="XDL408" s="9"/>
      <c r="XDM408" s="9"/>
      <c r="XDN408" s="9"/>
      <c r="XDO408" s="9"/>
      <c r="XDP408" s="9"/>
      <c r="XDQ408" s="9"/>
      <c r="XDR408" s="9"/>
      <c r="XDS408" s="9"/>
      <c r="XDT408" s="9"/>
      <c r="XDU408" s="9"/>
      <c r="XDV408" s="9"/>
      <c r="XDW408" s="9"/>
      <c r="XDX408" s="9"/>
      <c r="XDY408" s="9"/>
      <c r="XDZ408" s="9"/>
      <c r="XEA408" s="9"/>
      <c r="XEB408" s="9"/>
      <c r="XEC408" s="9"/>
      <c r="XED408" s="9"/>
      <c r="XEE408" s="9"/>
      <c r="XEF408" s="9"/>
      <c r="XEG408" s="9"/>
      <c r="XEH408" s="9"/>
      <c r="XEI408" s="9"/>
      <c r="XEJ408" s="9"/>
      <c r="XEK408" s="9"/>
      <c r="XEL408" s="9"/>
      <c r="XEM408" s="9"/>
      <c r="XEN408" s="9"/>
      <c r="XEO408" s="9"/>
      <c r="XEP408" s="9"/>
      <c r="XEQ408" s="9"/>
      <c r="XER408" s="9"/>
      <c r="XES408" s="9"/>
      <c r="XET408" s="9"/>
      <c r="XEU408" s="9"/>
      <c r="XEV408" s="9"/>
      <c r="XEW408" s="9"/>
      <c r="XEX408" s="9"/>
      <c r="XEY408" s="9"/>
      <c r="XEZ408" s="9"/>
      <c r="XFA408" s="9"/>
      <c r="XFB408" s="9"/>
      <c r="XFC408" s="9"/>
      <c r="XFD408" s="9"/>
    </row>
    <row r="409" spans="1:8 16325:16384" s="3" customFormat="1" ht="19.95" customHeight="1">
      <c r="A409" s="6" t="str">
        <f t="shared" si="13"/>
        <v>040014</v>
      </c>
      <c r="B409" s="6" t="s">
        <v>15</v>
      </c>
      <c r="C409" s="6" t="s">
        <v>21</v>
      </c>
      <c r="D409" s="6" t="str">
        <f>"512630617"</f>
        <v>512630617</v>
      </c>
      <c r="E409" s="7">
        <v>70.5</v>
      </c>
      <c r="F409" s="7">
        <v>62.5</v>
      </c>
      <c r="G409" s="7"/>
      <c r="H409" s="7">
        <v>67.3</v>
      </c>
      <c r="XCW409" s="9"/>
      <c r="XCX409" s="9"/>
      <c r="XCY409" s="9"/>
      <c r="XCZ409" s="9"/>
      <c r="XDA409" s="9"/>
      <c r="XDB409" s="9"/>
      <c r="XDC409" s="9"/>
      <c r="XDD409" s="9"/>
      <c r="XDE409" s="9"/>
      <c r="XDF409" s="9"/>
      <c r="XDG409" s="9"/>
      <c r="XDH409" s="9"/>
      <c r="XDI409" s="9"/>
      <c r="XDJ409" s="9"/>
      <c r="XDK409" s="9"/>
      <c r="XDL409" s="9"/>
      <c r="XDM409" s="9"/>
      <c r="XDN409" s="9"/>
      <c r="XDO409" s="9"/>
      <c r="XDP409" s="9"/>
      <c r="XDQ409" s="9"/>
      <c r="XDR409" s="9"/>
      <c r="XDS409" s="9"/>
      <c r="XDT409" s="9"/>
      <c r="XDU409" s="9"/>
      <c r="XDV409" s="9"/>
      <c r="XDW409" s="9"/>
      <c r="XDX409" s="9"/>
      <c r="XDY409" s="9"/>
      <c r="XDZ409" s="9"/>
      <c r="XEA409" s="9"/>
      <c r="XEB409" s="9"/>
      <c r="XEC409" s="9"/>
      <c r="XED409" s="9"/>
      <c r="XEE409" s="9"/>
      <c r="XEF409" s="9"/>
      <c r="XEG409" s="9"/>
      <c r="XEH409" s="9"/>
      <c r="XEI409" s="9"/>
      <c r="XEJ409" s="9"/>
      <c r="XEK409" s="9"/>
      <c r="XEL409" s="9"/>
      <c r="XEM409" s="9"/>
      <c r="XEN409" s="9"/>
      <c r="XEO409" s="9"/>
      <c r="XEP409" s="9"/>
      <c r="XEQ409" s="9"/>
      <c r="XER409" s="9"/>
      <c r="XES409" s="9"/>
      <c r="XET409" s="9"/>
      <c r="XEU409" s="9"/>
      <c r="XEV409" s="9"/>
      <c r="XEW409" s="9"/>
      <c r="XEX409" s="9"/>
      <c r="XEY409" s="9"/>
      <c r="XEZ409" s="9"/>
      <c r="XFA409" s="9"/>
      <c r="XFB409" s="9"/>
      <c r="XFC409" s="9"/>
      <c r="XFD409" s="9"/>
    </row>
    <row r="410" spans="1:8 16325:16384" s="3" customFormat="1" ht="19.95" customHeight="1">
      <c r="A410" s="6" t="str">
        <f t="shared" si="13"/>
        <v>040014</v>
      </c>
      <c r="B410" s="6" t="s">
        <v>15</v>
      </c>
      <c r="C410" s="6" t="s">
        <v>21</v>
      </c>
      <c r="D410" s="6" t="str">
        <f>"512630613"</f>
        <v>512630613</v>
      </c>
      <c r="E410" s="7">
        <v>0</v>
      </c>
      <c r="F410" s="7">
        <v>0</v>
      </c>
      <c r="G410" s="7"/>
      <c r="H410" s="7">
        <v>0</v>
      </c>
      <c r="XCW410" s="9"/>
      <c r="XCX410" s="9"/>
      <c r="XCY410" s="9"/>
      <c r="XCZ410" s="9"/>
      <c r="XDA410" s="9"/>
      <c r="XDB410" s="9"/>
      <c r="XDC410" s="9"/>
      <c r="XDD410" s="9"/>
      <c r="XDE410" s="9"/>
      <c r="XDF410" s="9"/>
      <c r="XDG410" s="9"/>
      <c r="XDH410" s="9"/>
      <c r="XDI410" s="9"/>
      <c r="XDJ410" s="9"/>
      <c r="XDK410" s="9"/>
      <c r="XDL410" s="9"/>
      <c r="XDM410" s="9"/>
      <c r="XDN410" s="9"/>
      <c r="XDO410" s="9"/>
      <c r="XDP410" s="9"/>
      <c r="XDQ410" s="9"/>
      <c r="XDR410" s="9"/>
      <c r="XDS410" s="9"/>
      <c r="XDT410" s="9"/>
      <c r="XDU410" s="9"/>
      <c r="XDV410" s="9"/>
      <c r="XDW410" s="9"/>
      <c r="XDX410" s="9"/>
      <c r="XDY410" s="9"/>
      <c r="XDZ410" s="9"/>
      <c r="XEA410" s="9"/>
      <c r="XEB410" s="9"/>
      <c r="XEC410" s="9"/>
      <c r="XED410" s="9"/>
      <c r="XEE410" s="9"/>
      <c r="XEF410" s="9"/>
      <c r="XEG410" s="9"/>
      <c r="XEH410" s="9"/>
      <c r="XEI410" s="9"/>
      <c r="XEJ410" s="9"/>
      <c r="XEK410" s="9"/>
      <c r="XEL410" s="9"/>
      <c r="XEM410" s="9"/>
      <c r="XEN410" s="9"/>
      <c r="XEO410" s="9"/>
      <c r="XEP410" s="9"/>
      <c r="XEQ410" s="9"/>
      <c r="XER410" s="9"/>
      <c r="XES410" s="9"/>
      <c r="XET410" s="9"/>
      <c r="XEU410" s="9"/>
      <c r="XEV410" s="9"/>
      <c r="XEW410" s="9"/>
      <c r="XEX410" s="9"/>
      <c r="XEY410" s="9"/>
      <c r="XEZ410" s="9"/>
      <c r="XFA410" s="9"/>
      <c r="XFB410" s="9"/>
      <c r="XFC410" s="9"/>
      <c r="XFD410" s="9"/>
    </row>
    <row r="411" spans="1:8 16325:16384" s="3" customFormat="1" ht="19.95" customHeight="1">
      <c r="A411" s="6" t="str">
        <f t="shared" ref="A411:A417" si="14">"040015"</f>
        <v>040015</v>
      </c>
      <c r="B411" s="6" t="s">
        <v>12</v>
      </c>
      <c r="C411" s="6" t="s">
        <v>21</v>
      </c>
      <c r="D411" s="6" t="str">
        <f>"512421222"</f>
        <v>512421222</v>
      </c>
      <c r="E411" s="7">
        <v>88.5</v>
      </c>
      <c r="F411" s="7">
        <v>77</v>
      </c>
      <c r="G411" s="7"/>
      <c r="H411" s="7">
        <v>83.9</v>
      </c>
      <c r="XCW411" s="9"/>
      <c r="XCX411" s="9"/>
      <c r="XCY411" s="9"/>
      <c r="XCZ411" s="9"/>
      <c r="XDA411" s="9"/>
      <c r="XDB411" s="9"/>
      <c r="XDC411" s="9"/>
      <c r="XDD411" s="9"/>
      <c r="XDE411" s="9"/>
      <c r="XDF411" s="9"/>
      <c r="XDG411" s="9"/>
      <c r="XDH411" s="9"/>
      <c r="XDI411" s="9"/>
      <c r="XDJ411" s="9"/>
      <c r="XDK411" s="9"/>
      <c r="XDL411" s="9"/>
      <c r="XDM411" s="9"/>
      <c r="XDN411" s="9"/>
      <c r="XDO411" s="9"/>
      <c r="XDP411" s="9"/>
      <c r="XDQ411" s="9"/>
      <c r="XDR411" s="9"/>
      <c r="XDS411" s="9"/>
      <c r="XDT411" s="9"/>
      <c r="XDU411" s="9"/>
      <c r="XDV411" s="9"/>
      <c r="XDW411" s="9"/>
      <c r="XDX411" s="9"/>
      <c r="XDY411" s="9"/>
      <c r="XDZ411" s="9"/>
      <c r="XEA411" s="9"/>
      <c r="XEB411" s="9"/>
      <c r="XEC411" s="9"/>
      <c r="XED411" s="9"/>
      <c r="XEE411" s="9"/>
      <c r="XEF411" s="9"/>
      <c r="XEG411" s="9"/>
      <c r="XEH411" s="9"/>
      <c r="XEI411" s="9"/>
      <c r="XEJ411" s="9"/>
      <c r="XEK411" s="9"/>
      <c r="XEL411" s="9"/>
      <c r="XEM411" s="9"/>
      <c r="XEN411" s="9"/>
      <c r="XEO411" s="9"/>
      <c r="XEP411" s="9"/>
      <c r="XEQ411" s="9"/>
      <c r="XER411" s="9"/>
      <c r="XES411" s="9"/>
      <c r="XET411" s="9"/>
      <c r="XEU411" s="9"/>
      <c r="XEV411" s="9"/>
      <c r="XEW411" s="9"/>
      <c r="XEX411" s="9"/>
      <c r="XEY411" s="9"/>
      <c r="XEZ411" s="9"/>
      <c r="XFA411" s="9"/>
      <c r="XFB411" s="9"/>
      <c r="XFC411" s="9"/>
      <c r="XFD411" s="9"/>
    </row>
    <row r="412" spans="1:8 16325:16384" s="3" customFormat="1" ht="19.95" customHeight="1">
      <c r="A412" s="6" t="str">
        <f t="shared" si="14"/>
        <v>040015</v>
      </c>
      <c r="B412" s="6" t="s">
        <v>12</v>
      </c>
      <c r="C412" s="6" t="s">
        <v>21</v>
      </c>
      <c r="D412" s="6" t="str">
        <f>"512421225"</f>
        <v>512421225</v>
      </c>
      <c r="E412" s="7">
        <v>90.5</v>
      </c>
      <c r="F412" s="7">
        <v>79</v>
      </c>
      <c r="G412" s="7"/>
      <c r="H412" s="7">
        <v>85.9</v>
      </c>
      <c r="XCW412" s="9"/>
      <c r="XCX412" s="9"/>
      <c r="XCY412" s="9"/>
      <c r="XCZ412" s="9"/>
      <c r="XDA412" s="9"/>
      <c r="XDB412" s="9"/>
      <c r="XDC412" s="9"/>
      <c r="XDD412" s="9"/>
      <c r="XDE412" s="9"/>
      <c r="XDF412" s="9"/>
      <c r="XDG412" s="9"/>
      <c r="XDH412" s="9"/>
      <c r="XDI412" s="9"/>
      <c r="XDJ412" s="9"/>
      <c r="XDK412" s="9"/>
      <c r="XDL412" s="9"/>
      <c r="XDM412" s="9"/>
      <c r="XDN412" s="9"/>
      <c r="XDO412" s="9"/>
      <c r="XDP412" s="9"/>
      <c r="XDQ412" s="9"/>
      <c r="XDR412" s="9"/>
      <c r="XDS412" s="9"/>
      <c r="XDT412" s="9"/>
      <c r="XDU412" s="9"/>
      <c r="XDV412" s="9"/>
      <c r="XDW412" s="9"/>
      <c r="XDX412" s="9"/>
      <c r="XDY412" s="9"/>
      <c r="XDZ412" s="9"/>
      <c r="XEA412" s="9"/>
      <c r="XEB412" s="9"/>
      <c r="XEC412" s="9"/>
      <c r="XED412" s="9"/>
      <c r="XEE412" s="9"/>
      <c r="XEF412" s="9"/>
      <c r="XEG412" s="9"/>
      <c r="XEH412" s="9"/>
      <c r="XEI412" s="9"/>
      <c r="XEJ412" s="9"/>
      <c r="XEK412" s="9"/>
      <c r="XEL412" s="9"/>
      <c r="XEM412" s="9"/>
      <c r="XEN412" s="9"/>
      <c r="XEO412" s="9"/>
      <c r="XEP412" s="9"/>
      <c r="XEQ412" s="9"/>
      <c r="XER412" s="9"/>
      <c r="XES412" s="9"/>
      <c r="XET412" s="9"/>
      <c r="XEU412" s="9"/>
      <c r="XEV412" s="9"/>
      <c r="XEW412" s="9"/>
      <c r="XEX412" s="9"/>
      <c r="XEY412" s="9"/>
      <c r="XEZ412" s="9"/>
      <c r="XFA412" s="9"/>
      <c r="XFB412" s="9"/>
      <c r="XFC412" s="9"/>
      <c r="XFD412" s="9"/>
    </row>
    <row r="413" spans="1:8 16325:16384" s="3" customFormat="1" ht="19.95" customHeight="1">
      <c r="A413" s="6" t="str">
        <f t="shared" si="14"/>
        <v>040015</v>
      </c>
      <c r="B413" s="6" t="s">
        <v>12</v>
      </c>
      <c r="C413" s="6" t="s">
        <v>21</v>
      </c>
      <c r="D413" s="6" t="str">
        <f>"512421223"</f>
        <v>512421223</v>
      </c>
      <c r="E413" s="7">
        <v>92.5</v>
      </c>
      <c r="F413" s="7">
        <v>83.5</v>
      </c>
      <c r="G413" s="7"/>
      <c r="H413" s="7">
        <v>88.9</v>
      </c>
      <c r="XCW413" s="9"/>
      <c r="XCX413" s="9"/>
      <c r="XCY413" s="9"/>
      <c r="XCZ413" s="9"/>
      <c r="XDA413" s="9"/>
      <c r="XDB413" s="9"/>
      <c r="XDC413" s="9"/>
      <c r="XDD413" s="9"/>
      <c r="XDE413" s="9"/>
      <c r="XDF413" s="9"/>
      <c r="XDG413" s="9"/>
      <c r="XDH413" s="9"/>
      <c r="XDI413" s="9"/>
      <c r="XDJ413" s="9"/>
      <c r="XDK413" s="9"/>
      <c r="XDL413" s="9"/>
      <c r="XDM413" s="9"/>
      <c r="XDN413" s="9"/>
      <c r="XDO413" s="9"/>
      <c r="XDP413" s="9"/>
      <c r="XDQ413" s="9"/>
      <c r="XDR413" s="9"/>
      <c r="XDS413" s="9"/>
      <c r="XDT413" s="9"/>
      <c r="XDU413" s="9"/>
      <c r="XDV413" s="9"/>
      <c r="XDW413" s="9"/>
      <c r="XDX413" s="9"/>
      <c r="XDY413" s="9"/>
      <c r="XDZ413" s="9"/>
      <c r="XEA413" s="9"/>
      <c r="XEB413" s="9"/>
      <c r="XEC413" s="9"/>
      <c r="XED413" s="9"/>
      <c r="XEE413" s="9"/>
      <c r="XEF413" s="9"/>
      <c r="XEG413" s="9"/>
      <c r="XEH413" s="9"/>
      <c r="XEI413" s="9"/>
      <c r="XEJ413" s="9"/>
      <c r="XEK413" s="9"/>
      <c r="XEL413" s="9"/>
      <c r="XEM413" s="9"/>
      <c r="XEN413" s="9"/>
      <c r="XEO413" s="9"/>
      <c r="XEP413" s="9"/>
      <c r="XEQ413" s="9"/>
      <c r="XER413" s="9"/>
      <c r="XES413" s="9"/>
      <c r="XET413" s="9"/>
      <c r="XEU413" s="9"/>
      <c r="XEV413" s="9"/>
      <c r="XEW413" s="9"/>
      <c r="XEX413" s="9"/>
      <c r="XEY413" s="9"/>
      <c r="XEZ413" s="9"/>
      <c r="XFA413" s="9"/>
      <c r="XFB413" s="9"/>
      <c r="XFC413" s="9"/>
      <c r="XFD413" s="9"/>
    </row>
    <row r="414" spans="1:8 16325:16384" s="3" customFormat="1" ht="19.95" customHeight="1">
      <c r="A414" s="6" t="str">
        <f t="shared" si="14"/>
        <v>040015</v>
      </c>
      <c r="B414" s="6" t="s">
        <v>12</v>
      </c>
      <c r="C414" s="6" t="s">
        <v>21</v>
      </c>
      <c r="D414" s="6" t="str">
        <f>"512421227"</f>
        <v>512421227</v>
      </c>
      <c r="E414" s="7">
        <v>91.5</v>
      </c>
      <c r="F414" s="7">
        <v>81</v>
      </c>
      <c r="G414" s="7"/>
      <c r="H414" s="7">
        <v>87.3</v>
      </c>
      <c r="XCW414" s="9"/>
      <c r="XCX414" s="9"/>
      <c r="XCY414" s="9"/>
      <c r="XCZ414" s="9"/>
      <c r="XDA414" s="9"/>
      <c r="XDB414" s="9"/>
      <c r="XDC414" s="9"/>
      <c r="XDD414" s="9"/>
      <c r="XDE414" s="9"/>
      <c r="XDF414" s="9"/>
      <c r="XDG414" s="9"/>
      <c r="XDH414" s="9"/>
      <c r="XDI414" s="9"/>
      <c r="XDJ414" s="9"/>
      <c r="XDK414" s="9"/>
      <c r="XDL414" s="9"/>
      <c r="XDM414" s="9"/>
      <c r="XDN414" s="9"/>
      <c r="XDO414" s="9"/>
      <c r="XDP414" s="9"/>
      <c r="XDQ414" s="9"/>
      <c r="XDR414" s="9"/>
      <c r="XDS414" s="9"/>
      <c r="XDT414" s="9"/>
      <c r="XDU414" s="9"/>
      <c r="XDV414" s="9"/>
      <c r="XDW414" s="9"/>
      <c r="XDX414" s="9"/>
      <c r="XDY414" s="9"/>
      <c r="XDZ414" s="9"/>
      <c r="XEA414" s="9"/>
      <c r="XEB414" s="9"/>
      <c r="XEC414" s="9"/>
      <c r="XED414" s="9"/>
      <c r="XEE414" s="9"/>
      <c r="XEF414" s="9"/>
      <c r="XEG414" s="9"/>
      <c r="XEH414" s="9"/>
      <c r="XEI414" s="9"/>
      <c r="XEJ414" s="9"/>
      <c r="XEK414" s="9"/>
      <c r="XEL414" s="9"/>
      <c r="XEM414" s="9"/>
      <c r="XEN414" s="9"/>
      <c r="XEO414" s="9"/>
      <c r="XEP414" s="9"/>
      <c r="XEQ414" s="9"/>
      <c r="XER414" s="9"/>
      <c r="XES414" s="9"/>
      <c r="XET414" s="9"/>
      <c r="XEU414" s="9"/>
      <c r="XEV414" s="9"/>
      <c r="XEW414" s="9"/>
      <c r="XEX414" s="9"/>
      <c r="XEY414" s="9"/>
      <c r="XEZ414" s="9"/>
      <c r="XFA414" s="9"/>
      <c r="XFB414" s="9"/>
      <c r="XFC414" s="9"/>
      <c r="XFD414" s="9"/>
    </row>
    <row r="415" spans="1:8 16325:16384" s="3" customFormat="1" ht="19.95" customHeight="1">
      <c r="A415" s="6" t="str">
        <f t="shared" si="14"/>
        <v>040015</v>
      </c>
      <c r="B415" s="6" t="s">
        <v>12</v>
      </c>
      <c r="C415" s="6" t="s">
        <v>21</v>
      </c>
      <c r="D415" s="6" t="str">
        <f>"512421226"</f>
        <v>512421226</v>
      </c>
      <c r="E415" s="7">
        <v>91.5</v>
      </c>
      <c r="F415" s="7">
        <v>76</v>
      </c>
      <c r="G415" s="7"/>
      <c r="H415" s="7">
        <v>85.3</v>
      </c>
      <c r="XCW415" s="9"/>
      <c r="XCX415" s="9"/>
      <c r="XCY415" s="9"/>
      <c r="XCZ415" s="9"/>
      <c r="XDA415" s="9"/>
      <c r="XDB415" s="9"/>
      <c r="XDC415" s="9"/>
      <c r="XDD415" s="9"/>
      <c r="XDE415" s="9"/>
      <c r="XDF415" s="9"/>
      <c r="XDG415" s="9"/>
      <c r="XDH415" s="9"/>
      <c r="XDI415" s="9"/>
      <c r="XDJ415" s="9"/>
      <c r="XDK415" s="9"/>
      <c r="XDL415" s="9"/>
      <c r="XDM415" s="9"/>
      <c r="XDN415" s="9"/>
      <c r="XDO415" s="9"/>
      <c r="XDP415" s="9"/>
      <c r="XDQ415" s="9"/>
      <c r="XDR415" s="9"/>
      <c r="XDS415" s="9"/>
      <c r="XDT415" s="9"/>
      <c r="XDU415" s="9"/>
      <c r="XDV415" s="9"/>
      <c r="XDW415" s="9"/>
      <c r="XDX415" s="9"/>
      <c r="XDY415" s="9"/>
      <c r="XDZ415" s="9"/>
      <c r="XEA415" s="9"/>
      <c r="XEB415" s="9"/>
      <c r="XEC415" s="9"/>
      <c r="XED415" s="9"/>
      <c r="XEE415" s="9"/>
      <c r="XEF415" s="9"/>
      <c r="XEG415" s="9"/>
      <c r="XEH415" s="9"/>
      <c r="XEI415" s="9"/>
      <c r="XEJ415" s="9"/>
      <c r="XEK415" s="9"/>
      <c r="XEL415" s="9"/>
      <c r="XEM415" s="9"/>
      <c r="XEN415" s="9"/>
      <c r="XEO415" s="9"/>
      <c r="XEP415" s="9"/>
      <c r="XEQ415" s="9"/>
      <c r="XER415" s="9"/>
      <c r="XES415" s="9"/>
      <c r="XET415" s="9"/>
      <c r="XEU415" s="9"/>
      <c r="XEV415" s="9"/>
      <c r="XEW415" s="9"/>
      <c r="XEX415" s="9"/>
      <c r="XEY415" s="9"/>
      <c r="XEZ415" s="9"/>
      <c r="XFA415" s="9"/>
      <c r="XFB415" s="9"/>
      <c r="XFC415" s="9"/>
      <c r="XFD415" s="9"/>
    </row>
    <row r="416" spans="1:8 16325:16384" s="3" customFormat="1" ht="19.95" customHeight="1">
      <c r="A416" s="6" t="str">
        <f t="shared" si="14"/>
        <v>040015</v>
      </c>
      <c r="B416" s="6" t="s">
        <v>12</v>
      </c>
      <c r="C416" s="6" t="s">
        <v>21</v>
      </c>
      <c r="D416" s="6" t="str">
        <f>"512421224"</f>
        <v>512421224</v>
      </c>
      <c r="E416" s="7">
        <v>0</v>
      </c>
      <c r="F416" s="7">
        <v>0</v>
      </c>
      <c r="G416" s="7"/>
      <c r="H416" s="7">
        <v>0</v>
      </c>
      <c r="XCW416" s="9"/>
      <c r="XCX416" s="9"/>
      <c r="XCY416" s="9"/>
      <c r="XCZ416" s="9"/>
      <c r="XDA416" s="9"/>
      <c r="XDB416" s="9"/>
      <c r="XDC416" s="9"/>
      <c r="XDD416" s="9"/>
      <c r="XDE416" s="9"/>
      <c r="XDF416" s="9"/>
      <c r="XDG416" s="9"/>
      <c r="XDH416" s="9"/>
      <c r="XDI416" s="9"/>
      <c r="XDJ416" s="9"/>
      <c r="XDK416" s="9"/>
      <c r="XDL416" s="9"/>
      <c r="XDM416" s="9"/>
      <c r="XDN416" s="9"/>
      <c r="XDO416" s="9"/>
      <c r="XDP416" s="9"/>
      <c r="XDQ416" s="9"/>
      <c r="XDR416" s="9"/>
      <c r="XDS416" s="9"/>
      <c r="XDT416" s="9"/>
      <c r="XDU416" s="9"/>
      <c r="XDV416" s="9"/>
      <c r="XDW416" s="9"/>
      <c r="XDX416" s="9"/>
      <c r="XDY416" s="9"/>
      <c r="XDZ416" s="9"/>
      <c r="XEA416" s="9"/>
      <c r="XEB416" s="9"/>
      <c r="XEC416" s="9"/>
      <c r="XED416" s="9"/>
      <c r="XEE416" s="9"/>
      <c r="XEF416" s="9"/>
      <c r="XEG416" s="9"/>
      <c r="XEH416" s="9"/>
      <c r="XEI416" s="9"/>
      <c r="XEJ416" s="9"/>
      <c r="XEK416" s="9"/>
      <c r="XEL416" s="9"/>
      <c r="XEM416" s="9"/>
      <c r="XEN416" s="9"/>
      <c r="XEO416" s="9"/>
      <c r="XEP416" s="9"/>
      <c r="XEQ416" s="9"/>
      <c r="XER416" s="9"/>
      <c r="XES416" s="9"/>
      <c r="XET416" s="9"/>
      <c r="XEU416" s="9"/>
      <c r="XEV416" s="9"/>
      <c r="XEW416" s="9"/>
      <c r="XEX416" s="9"/>
      <c r="XEY416" s="9"/>
      <c r="XEZ416" s="9"/>
      <c r="XFA416" s="9"/>
      <c r="XFB416" s="9"/>
      <c r="XFC416" s="9"/>
      <c r="XFD416" s="9"/>
    </row>
    <row r="417" spans="1:8 16325:16384" s="3" customFormat="1" ht="19.95" customHeight="1">
      <c r="A417" s="6" t="str">
        <f t="shared" si="14"/>
        <v>040015</v>
      </c>
      <c r="B417" s="6" t="s">
        <v>12</v>
      </c>
      <c r="C417" s="6" t="s">
        <v>21</v>
      </c>
      <c r="D417" s="6" t="str">
        <f>"512421221"</f>
        <v>512421221</v>
      </c>
      <c r="E417" s="7">
        <v>89.5</v>
      </c>
      <c r="F417" s="7">
        <v>66</v>
      </c>
      <c r="G417" s="7"/>
      <c r="H417" s="7">
        <v>80.099999999999994</v>
      </c>
      <c r="XCW417" s="9"/>
      <c r="XCX417" s="9"/>
      <c r="XCY417" s="9"/>
      <c r="XCZ417" s="9"/>
      <c r="XDA417" s="9"/>
      <c r="XDB417" s="9"/>
      <c r="XDC417" s="9"/>
      <c r="XDD417" s="9"/>
      <c r="XDE417" s="9"/>
      <c r="XDF417" s="9"/>
      <c r="XDG417" s="9"/>
      <c r="XDH417" s="9"/>
      <c r="XDI417" s="9"/>
      <c r="XDJ417" s="9"/>
      <c r="XDK417" s="9"/>
      <c r="XDL417" s="9"/>
      <c r="XDM417" s="9"/>
      <c r="XDN417" s="9"/>
      <c r="XDO417" s="9"/>
      <c r="XDP417" s="9"/>
      <c r="XDQ417" s="9"/>
      <c r="XDR417" s="9"/>
      <c r="XDS417" s="9"/>
      <c r="XDT417" s="9"/>
      <c r="XDU417" s="9"/>
      <c r="XDV417" s="9"/>
      <c r="XDW417" s="9"/>
      <c r="XDX417" s="9"/>
      <c r="XDY417" s="9"/>
      <c r="XDZ417" s="9"/>
      <c r="XEA417" s="9"/>
      <c r="XEB417" s="9"/>
      <c r="XEC417" s="9"/>
      <c r="XED417" s="9"/>
      <c r="XEE417" s="9"/>
      <c r="XEF417" s="9"/>
      <c r="XEG417" s="9"/>
      <c r="XEH417" s="9"/>
      <c r="XEI417" s="9"/>
      <c r="XEJ417" s="9"/>
      <c r="XEK417" s="9"/>
      <c r="XEL417" s="9"/>
      <c r="XEM417" s="9"/>
      <c r="XEN417" s="9"/>
      <c r="XEO417" s="9"/>
      <c r="XEP417" s="9"/>
      <c r="XEQ417" s="9"/>
      <c r="XER417" s="9"/>
      <c r="XES417" s="9"/>
      <c r="XET417" s="9"/>
      <c r="XEU417" s="9"/>
      <c r="XEV417" s="9"/>
      <c r="XEW417" s="9"/>
      <c r="XEX417" s="9"/>
      <c r="XEY417" s="9"/>
      <c r="XEZ417" s="9"/>
      <c r="XFA417" s="9"/>
      <c r="XFB417" s="9"/>
      <c r="XFC417" s="9"/>
      <c r="XFD417" s="9"/>
    </row>
    <row r="418" spans="1:8 16325:16384" s="3" customFormat="1" ht="19.95" customHeight="1">
      <c r="A418" s="6" t="str">
        <f t="shared" ref="A418:A421" si="15">"040016"</f>
        <v>040016</v>
      </c>
      <c r="B418" s="6" t="s">
        <v>23</v>
      </c>
      <c r="C418" s="6" t="s">
        <v>21</v>
      </c>
      <c r="D418" s="6" t="str">
        <f>"512420128"</f>
        <v>512420128</v>
      </c>
      <c r="E418" s="7">
        <v>79</v>
      </c>
      <c r="F418" s="7">
        <v>85</v>
      </c>
      <c r="G418" s="7"/>
      <c r="H418" s="7">
        <v>81.400000000000006</v>
      </c>
      <c r="XCW418" s="9"/>
      <c r="XCX418" s="9"/>
      <c r="XCY418" s="9"/>
      <c r="XCZ418" s="9"/>
      <c r="XDA418" s="9"/>
      <c r="XDB418" s="9"/>
      <c r="XDC418" s="9"/>
      <c r="XDD418" s="9"/>
      <c r="XDE418" s="9"/>
      <c r="XDF418" s="9"/>
      <c r="XDG418" s="9"/>
      <c r="XDH418" s="9"/>
      <c r="XDI418" s="9"/>
      <c r="XDJ418" s="9"/>
      <c r="XDK418" s="9"/>
      <c r="XDL418" s="9"/>
      <c r="XDM418" s="9"/>
      <c r="XDN418" s="9"/>
      <c r="XDO418" s="9"/>
      <c r="XDP418" s="9"/>
      <c r="XDQ418" s="9"/>
      <c r="XDR418" s="9"/>
      <c r="XDS418" s="9"/>
      <c r="XDT418" s="9"/>
      <c r="XDU418" s="9"/>
      <c r="XDV418" s="9"/>
      <c r="XDW418" s="9"/>
      <c r="XDX418" s="9"/>
      <c r="XDY418" s="9"/>
      <c r="XDZ418" s="9"/>
      <c r="XEA418" s="9"/>
      <c r="XEB418" s="9"/>
      <c r="XEC418" s="9"/>
      <c r="XED418" s="9"/>
      <c r="XEE418" s="9"/>
      <c r="XEF418" s="9"/>
      <c r="XEG418" s="9"/>
      <c r="XEH418" s="9"/>
      <c r="XEI418" s="9"/>
      <c r="XEJ418" s="9"/>
      <c r="XEK418" s="9"/>
      <c r="XEL418" s="9"/>
      <c r="XEM418" s="9"/>
      <c r="XEN418" s="9"/>
      <c r="XEO418" s="9"/>
      <c r="XEP418" s="9"/>
      <c r="XEQ418" s="9"/>
      <c r="XER418" s="9"/>
      <c r="XES418" s="9"/>
      <c r="XET418" s="9"/>
      <c r="XEU418" s="9"/>
      <c r="XEV418" s="9"/>
      <c r="XEW418" s="9"/>
      <c r="XEX418" s="9"/>
      <c r="XEY418" s="9"/>
      <c r="XEZ418" s="9"/>
      <c r="XFA418" s="9"/>
      <c r="XFB418" s="9"/>
      <c r="XFC418" s="9"/>
      <c r="XFD418" s="9"/>
    </row>
    <row r="419" spans="1:8 16325:16384" s="3" customFormat="1" ht="19.95" customHeight="1">
      <c r="A419" s="6" t="str">
        <f t="shared" si="15"/>
        <v>040016</v>
      </c>
      <c r="B419" s="6" t="s">
        <v>23</v>
      </c>
      <c r="C419" s="6" t="s">
        <v>21</v>
      </c>
      <c r="D419" s="6" t="str">
        <f>"512420127"</f>
        <v>512420127</v>
      </c>
      <c r="E419" s="7">
        <v>0</v>
      </c>
      <c r="F419" s="7">
        <v>0</v>
      </c>
      <c r="G419" s="7"/>
      <c r="H419" s="7">
        <v>0</v>
      </c>
      <c r="XCW419" s="9"/>
      <c r="XCX419" s="9"/>
      <c r="XCY419" s="9"/>
      <c r="XCZ419" s="9"/>
      <c r="XDA419" s="9"/>
      <c r="XDB419" s="9"/>
      <c r="XDC419" s="9"/>
      <c r="XDD419" s="9"/>
      <c r="XDE419" s="9"/>
      <c r="XDF419" s="9"/>
      <c r="XDG419" s="9"/>
      <c r="XDH419" s="9"/>
      <c r="XDI419" s="9"/>
      <c r="XDJ419" s="9"/>
      <c r="XDK419" s="9"/>
      <c r="XDL419" s="9"/>
      <c r="XDM419" s="9"/>
      <c r="XDN419" s="9"/>
      <c r="XDO419" s="9"/>
      <c r="XDP419" s="9"/>
      <c r="XDQ419" s="9"/>
      <c r="XDR419" s="9"/>
      <c r="XDS419" s="9"/>
      <c r="XDT419" s="9"/>
      <c r="XDU419" s="9"/>
      <c r="XDV419" s="9"/>
      <c r="XDW419" s="9"/>
      <c r="XDX419" s="9"/>
      <c r="XDY419" s="9"/>
      <c r="XDZ419" s="9"/>
      <c r="XEA419" s="9"/>
      <c r="XEB419" s="9"/>
      <c r="XEC419" s="9"/>
      <c r="XED419" s="9"/>
      <c r="XEE419" s="9"/>
      <c r="XEF419" s="9"/>
      <c r="XEG419" s="9"/>
      <c r="XEH419" s="9"/>
      <c r="XEI419" s="9"/>
      <c r="XEJ419" s="9"/>
      <c r="XEK419" s="9"/>
      <c r="XEL419" s="9"/>
      <c r="XEM419" s="9"/>
      <c r="XEN419" s="9"/>
      <c r="XEO419" s="9"/>
      <c r="XEP419" s="9"/>
      <c r="XEQ419" s="9"/>
      <c r="XER419" s="9"/>
      <c r="XES419" s="9"/>
      <c r="XET419" s="9"/>
      <c r="XEU419" s="9"/>
      <c r="XEV419" s="9"/>
      <c r="XEW419" s="9"/>
      <c r="XEX419" s="9"/>
      <c r="XEY419" s="9"/>
      <c r="XEZ419" s="9"/>
      <c r="XFA419" s="9"/>
      <c r="XFB419" s="9"/>
      <c r="XFC419" s="9"/>
      <c r="XFD419" s="9"/>
    </row>
    <row r="420" spans="1:8 16325:16384" s="3" customFormat="1" ht="19.95" customHeight="1">
      <c r="A420" s="6" t="str">
        <f t="shared" si="15"/>
        <v>040016</v>
      </c>
      <c r="B420" s="6" t="s">
        <v>23</v>
      </c>
      <c r="C420" s="6" t="s">
        <v>21</v>
      </c>
      <c r="D420" s="6" t="str">
        <f>"512420130"</f>
        <v>512420130</v>
      </c>
      <c r="E420" s="7">
        <v>0</v>
      </c>
      <c r="F420" s="7">
        <v>0</v>
      </c>
      <c r="G420" s="7"/>
      <c r="H420" s="7">
        <v>0</v>
      </c>
      <c r="XCW420" s="9"/>
      <c r="XCX420" s="9"/>
      <c r="XCY420" s="9"/>
      <c r="XCZ420" s="9"/>
      <c r="XDA420" s="9"/>
      <c r="XDB420" s="9"/>
      <c r="XDC420" s="9"/>
      <c r="XDD420" s="9"/>
      <c r="XDE420" s="9"/>
      <c r="XDF420" s="9"/>
      <c r="XDG420" s="9"/>
      <c r="XDH420" s="9"/>
      <c r="XDI420" s="9"/>
      <c r="XDJ420" s="9"/>
      <c r="XDK420" s="9"/>
      <c r="XDL420" s="9"/>
      <c r="XDM420" s="9"/>
      <c r="XDN420" s="9"/>
      <c r="XDO420" s="9"/>
      <c r="XDP420" s="9"/>
      <c r="XDQ420" s="9"/>
      <c r="XDR420" s="9"/>
      <c r="XDS420" s="9"/>
      <c r="XDT420" s="9"/>
      <c r="XDU420" s="9"/>
      <c r="XDV420" s="9"/>
      <c r="XDW420" s="9"/>
      <c r="XDX420" s="9"/>
      <c r="XDY420" s="9"/>
      <c r="XDZ420" s="9"/>
      <c r="XEA420" s="9"/>
      <c r="XEB420" s="9"/>
      <c r="XEC420" s="9"/>
      <c r="XED420" s="9"/>
      <c r="XEE420" s="9"/>
      <c r="XEF420" s="9"/>
      <c r="XEG420" s="9"/>
      <c r="XEH420" s="9"/>
      <c r="XEI420" s="9"/>
      <c r="XEJ420" s="9"/>
      <c r="XEK420" s="9"/>
      <c r="XEL420" s="9"/>
      <c r="XEM420" s="9"/>
      <c r="XEN420" s="9"/>
      <c r="XEO420" s="9"/>
      <c r="XEP420" s="9"/>
      <c r="XEQ420" s="9"/>
      <c r="XER420" s="9"/>
      <c r="XES420" s="9"/>
      <c r="XET420" s="9"/>
      <c r="XEU420" s="9"/>
      <c r="XEV420" s="9"/>
      <c r="XEW420" s="9"/>
      <c r="XEX420" s="9"/>
      <c r="XEY420" s="9"/>
      <c r="XEZ420" s="9"/>
      <c r="XFA420" s="9"/>
      <c r="XFB420" s="9"/>
      <c r="XFC420" s="9"/>
      <c r="XFD420" s="9"/>
    </row>
    <row r="421" spans="1:8 16325:16384" s="3" customFormat="1" ht="19.95" customHeight="1">
      <c r="A421" s="6" t="str">
        <f t="shared" si="15"/>
        <v>040016</v>
      </c>
      <c r="B421" s="6" t="s">
        <v>23</v>
      </c>
      <c r="C421" s="6" t="s">
        <v>21</v>
      </c>
      <c r="D421" s="6" t="str">
        <f>"512420129"</f>
        <v>512420129</v>
      </c>
      <c r="E421" s="7">
        <v>62.5</v>
      </c>
      <c r="F421" s="7">
        <v>66.5</v>
      </c>
      <c r="G421" s="7"/>
      <c r="H421" s="7">
        <v>64.099999999999994</v>
      </c>
      <c r="XCW421" s="9"/>
      <c r="XCX421" s="9"/>
      <c r="XCY421" s="9"/>
      <c r="XCZ421" s="9"/>
      <c r="XDA421" s="9"/>
      <c r="XDB421" s="9"/>
      <c r="XDC421" s="9"/>
      <c r="XDD421" s="9"/>
      <c r="XDE421" s="9"/>
      <c r="XDF421" s="9"/>
      <c r="XDG421" s="9"/>
      <c r="XDH421" s="9"/>
      <c r="XDI421" s="9"/>
      <c r="XDJ421" s="9"/>
      <c r="XDK421" s="9"/>
      <c r="XDL421" s="9"/>
      <c r="XDM421" s="9"/>
      <c r="XDN421" s="9"/>
      <c r="XDO421" s="9"/>
      <c r="XDP421" s="9"/>
      <c r="XDQ421" s="9"/>
      <c r="XDR421" s="9"/>
      <c r="XDS421" s="9"/>
      <c r="XDT421" s="9"/>
      <c r="XDU421" s="9"/>
      <c r="XDV421" s="9"/>
      <c r="XDW421" s="9"/>
      <c r="XDX421" s="9"/>
      <c r="XDY421" s="9"/>
      <c r="XDZ421" s="9"/>
      <c r="XEA421" s="9"/>
      <c r="XEB421" s="9"/>
      <c r="XEC421" s="9"/>
      <c r="XED421" s="9"/>
      <c r="XEE421" s="9"/>
      <c r="XEF421" s="9"/>
      <c r="XEG421" s="9"/>
      <c r="XEH421" s="9"/>
      <c r="XEI421" s="9"/>
      <c r="XEJ421" s="9"/>
      <c r="XEK421" s="9"/>
      <c r="XEL421" s="9"/>
      <c r="XEM421" s="9"/>
      <c r="XEN421" s="9"/>
      <c r="XEO421" s="9"/>
      <c r="XEP421" s="9"/>
      <c r="XEQ421" s="9"/>
      <c r="XER421" s="9"/>
      <c r="XES421" s="9"/>
      <c r="XET421" s="9"/>
      <c r="XEU421" s="9"/>
      <c r="XEV421" s="9"/>
      <c r="XEW421" s="9"/>
      <c r="XEX421" s="9"/>
      <c r="XEY421" s="9"/>
      <c r="XEZ421" s="9"/>
      <c r="XFA421" s="9"/>
      <c r="XFB421" s="9"/>
      <c r="XFC421" s="9"/>
      <c r="XFD421" s="9"/>
    </row>
    <row r="422" spans="1:8 16325:16384" s="3" customFormat="1" ht="19.95" customHeight="1">
      <c r="A422" s="6" t="str">
        <f t="shared" ref="A422:A437" si="16">"040017"</f>
        <v>040017</v>
      </c>
      <c r="B422" s="6" t="s">
        <v>9</v>
      </c>
      <c r="C422" s="6" t="s">
        <v>24</v>
      </c>
      <c r="D422" s="6" t="str">
        <f>"512417822"</f>
        <v>512417822</v>
      </c>
      <c r="E422" s="7">
        <v>72.5</v>
      </c>
      <c r="F422" s="7">
        <v>41</v>
      </c>
      <c r="G422" s="7"/>
      <c r="H422" s="7">
        <v>59.9</v>
      </c>
      <c r="XCW422" s="9"/>
      <c r="XCX422" s="9"/>
      <c r="XCY422" s="9"/>
      <c r="XCZ422" s="9"/>
      <c r="XDA422" s="9"/>
      <c r="XDB422" s="9"/>
      <c r="XDC422" s="9"/>
      <c r="XDD422" s="9"/>
      <c r="XDE422" s="9"/>
      <c r="XDF422" s="9"/>
      <c r="XDG422" s="9"/>
      <c r="XDH422" s="9"/>
      <c r="XDI422" s="9"/>
      <c r="XDJ422" s="9"/>
      <c r="XDK422" s="9"/>
      <c r="XDL422" s="9"/>
      <c r="XDM422" s="9"/>
      <c r="XDN422" s="9"/>
      <c r="XDO422" s="9"/>
      <c r="XDP422" s="9"/>
      <c r="XDQ422" s="9"/>
      <c r="XDR422" s="9"/>
      <c r="XDS422" s="9"/>
      <c r="XDT422" s="9"/>
      <c r="XDU422" s="9"/>
      <c r="XDV422" s="9"/>
      <c r="XDW422" s="9"/>
      <c r="XDX422" s="9"/>
      <c r="XDY422" s="9"/>
      <c r="XDZ422" s="9"/>
      <c r="XEA422" s="9"/>
      <c r="XEB422" s="9"/>
      <c r="XEC422" s="9"/>
      <c r="XED422" s="9"/>
      <c r="XEE422" s="9"/>
      <c r="XEF422" s="9"/>
      <c r="XEG422" s="9"/>
      <c r="XEH422" s="9"/>
      <c r="XEI422" s="9"/>
      <c r="XEJ422" s="9"/>
      <c r="XEK422" s="9"/>
      <c r="XEL422" s="9"/>
      <c r="XEM422" s="9"/>
      <c r="XEN422" s="9"/>
      <c r="XEO422" s="9"/>
      <c r="XEP422" s="9"/>
      <c r="XEQ422" s="9"/>
      <c r="XER422" s="9"/>
      <c r="XES422" s="9"/>
      <c r="XET422" s="9"/>
      <c r="XEU422" s="9"/>
      <c r="XEV422" s="9"/>
      <c r="XEW422" s="9"/>
      <c r="XEX422" s="9"/>
      <c r="XEY422" s="9"/>
      <c r="XEZ422" s="9"/>
      <c r="XFA422" s="9"/>
      <c r="XFB422" s="9"/>
      <c r="XFC422" s="9"/>
      <c r="XFD422" s="9"/>
    </row>
    <row r="423" spans="1:8 16325:16384" s="3" customFormat="1" ht="19.95" customHeight="1">
      <c r="A423" s="6" t="str">
        <f t="shared" si="16"/>
        <v>040017</v>
      </c>
      <c r="B423" s="6" t="s">
        <v>9</v>
      </c>
      <c r="C423" s="6" t="s">
        <v>24</v>
      </c>
      <c r="D423" s="6" t="str">
        <f>"512417826"</f>
        <v>512417826</v>
      </c>
      <c r="E423" s="7">
        <v>69</v>
      </c>
      <c r="F423" s="7">
        <v>65</v>
      </c>
      <c r="G423" s="7"/>
      <c r="H423" s="7">
        <v>67.400000000000006</v>
      </c>
      <c r="XCW423" s="9"/>
      <c r="XCX423" s="9"/>
      <c r="XCY423" s="9"/>
      <c r="XCZ423" s="9"/>
      <c r="XDA423" s="9"/>
      <c r="XDB423" s="9"/>
      <c r="XDC423" s="9"/>
      <c r="XDD423" s="9"/>
      <c r="XDE423" s="9"/>
      <c r="XDF423" s="9"/>
      <c r="XDG423" s="9"/>
      <c r="XDH423" s="9"/>
      <c r="XDI423" s="9"/>
      <c r="XDJ423" s="9"/>
      <c r="XDK423" s="9"/>
      <c r="XDL423" s="9"/>
      <c r="XDM423" s="9"/>
      <c r="XDN423" s="9"/>
      <c r="XDO423" s="9"/>
      <c r="XDP423" s="9"/>
      <c r="XDQ423" s="9"/>
      <c r="XDR423" s="9"/>
      <c r="XDS423" s="9"/>
      <c r="XDT423" s="9"/>
      <c r="XDU423" s="9"/>
      <c r="XDV423" s="9"/>
      <c r="XDW423" s="9"/>
      <c r="XDX423" s="9"/>
      <c r="XDY423" s="9"/>
      <c r="XDZ423" s="9"/>
      <c r="XEA423" s="9"/>
      <c r="XEB423" s="9"/>
      <c r="XEC423" s="9"/>
      <c r="XED423" s="9"/>
      <c r="XEE423" s="9"/>
      <c r="XEF423" s="9"/>
      <c r="XEG423" s="9"/>
      <c r="XEH423" s="9"/>
      <c r="XEI423" s="9"/>
      <c r="XEJ423" s="9"/>
      <c r="XEK423" s="9"/>
      <c r="XEL423" s="9"/>
      <c r="XEM423" s="9"/>
      <c r="XEN423" s="9"/>
      <c r="XEO423" s="9"/>
      <c r="XEP423" s="9"/>
      <c r="XEQ423" s="9"/>
      <c r="XER423" s="9"/>
      <c r="XES423" s="9"/>
      <c r="XET423" s="9"/>
      <c r="XEU423" s="9"/>
      <c r="XEV423" s="9"/>
      <c r="XEW423" s="9"/>
      <c r="XEX423" s="9"/>
      <c r="XEY423" s="9"/>
      <c r="XEZ423" s="9"/>
      <c r="XFA423" s="9"/>
      <c r="XFB423" s="9"/>
      <c r="XFC423" s="9"/>
      <c r="XFD423" s="9"/>
    </row>
    <row r="424" spans="1:8 16325:16384" s="3" customFormat="1" ht="19.95" customHeight="1">
      <c r="A424" s="6" t="str">
        <f t="shared" si="16"/>
        <v>040017</v>
      </c>
      <c r="B424" s="6" t="s">
        <v>9</v>
      </c>
      <c r="C424" s="6" t="s">
        <v>24</v>
      </c>
      <c r="D424" s="6" t="str">
        <f>"512417903"</f>
        <v>512417903</v>
      </c>
      <c r="E424" s="7">
        <v>70</v>
      </c>
      <c r="F424" s="7">
        <v>80.5</v>
      </c>
      <c r="G424" s="7"/>
      <c r="H424" s="7">
        <v>74.2</v>
      </c>
      <c r="XCW424" s="9"/>
      <c r="XCX424" s="9"/>
      <c r="XCY424" s="9"/>
      <c r="XCZ424" s="9"/>
      <c r="XDA424" s="9"/>
      <c r="XDB424" s="9"/>
      <c r="XDC424" s="9"/>
      <c r="XDD424" s="9"/>
      <c r="XDE424" s="9"/>
      <c r="XDF424" s="9"/>
      <c r="XDG424" s="9"/>
      <c r="XDH424" s="9"/>
      <c r="XDI424" s="9"/>
      <c r="XDJ424" s="9"/>
      <c r="XDK424" s="9"/>
      <c r="XDL424" s="9"/>
      <c r="XDM424" s="9"/>
      <c r="XDN424" s="9"/>
      <c r="XDO424" s="9"/>
      <c r="XDP424" s="9"/>
      <c r="XDQ424" s="9"/>
      <c r="XDR424" s="9"/>
      <c r="XDS424" s="9"/>
      <c r="XDT424" s="9"/>
      <c r="XDU424" s="9"/>
      <c r="XDV424" s="9"/>
      <c r="XDW424" s="9"/>
      <c r="XDX424" s="9"/>
      <c r="XDY424" s="9"/>
      <c r="XDZ424" s="9"/>
      <c r="XEA424" s="9"/>
      <c r="XEB424" s="9"/>
      <c r="XEC424" s="9"/>
      <c r="XED424" s="9"/>
      <c r="XEE424" s="9"/>
      <c r="XEF424" s="9"/>
      <c r="XEG424" s="9"/>
      <c r="XEH424" s="9"/>
      <c r="XEI424" s="9"/>
      <c r="XEJ424" s="9"/>
      <c r="XEK424" s="9"/>
      <c r="XEL424" s="9"/>
      <c r="XEM424" s="9"/>
      <c r="XEN424" s="9"/>
      <c r="XEO424" s="9"/>
      <c r="XEP424" s="9"/>
      <c r="XEQ424" s="9"/>
      <c r="XER424" s="9"/>
      <c r="XES424" s="9"/>
      <c r="XET424" s="9"/>
      <c r="XEU424" s="9"/>
      <c r="XEV424" s="9"/>
      <c r="XEW424" s="9"/>
      <c r="XEX424" s="9"/>
      <c r="XEY424" s="9"/>
      <c r="XEZ424" s="9"/>
      <c r="XFA424" s="9"/>
      <c r="XFB424" s="9"/>
      <c r="XFC424" s="9"/>
      <c r="XFD424" s="9"/>
    </row>
    <row r="425" spans="1:8 16325:16384" s="3" customFormat="1" ht="19.95" customHeight="1">
      <c r="A425" s="6" t="str">
        <f t="shared" si="16"/>
        <v>040017</v>
      </c>
      <c r="B425" s="6" t="s">
        <v>9</v>
      </c>
      <c r="C425" s="6" t="s">
        <v>24</v>
      </c>
      <c r="D425" s="6" t="str">
        <f>"512417901"</f>
        <v>512417901</v>
      </c>
      <c r="E425" s="7">
        <v>81</v>
      </c>
      <c r="F425" s="7">
        <v>74</v>
      </c>
      <c r="G425" s="7"/>
      <c r="H425" s="7">
        <v>78.2</v>
      </c>
      <c r="XCW425" s="9"/>
      <c r="XCX425" s="9"/>
      <c r="XCY425" s="9"/>
      <c r="XCZ425" s="9"/>
      <c r="XDA425" s="9"/>
      <c r="XDB425" s="9"/>
      <c r="XDC425" s="9"/>
      <c r="XDD425" s="9"/>
      <c r="XDE425" s="9"/>
      <c r="XDF425" s="9"/>
      <c r="XDG425" s="9"/>
      <c r="XDH425" s="9"/>
      <c r="XDI425" s="9"/>
      <c r="XDJ425" s="9"/>
      <c r="XDK425" s="9"/>
      <c r="XDL425" s="9"/>
      <c r="XDM425" s="9"/>
      <c r="XDN425" s="9"/>
      <c r="XDO425" s="9"/>
      <c r="XDP425" s="9"/>
      <c r="XDQ425" s="9"/>
      <c r="XDR425" s="9"/>
      <c r="XDS425" s="9"/>
      <c r="XDT425" s="9"/>
      <c r="XDU425" s="9"/>
      <c r="XDV425" s="9"/>
      <c r="XDW425" s="9"/>
      <c r="XDX425" s="9"/>
      <c r="XDY425" s="9"/>
      <c r="XDZ425" s="9"/>
      <c r="XEA425" s="9"/>
      <c r="XEB425" s="9"/>
      <c r="XEC425" s="9"/>
      <c r="XED425" s="9"/>
      <c r="XEE425" s="9"/>
      <c r="XEF425" s="9"/>
      <c r="XEG425" s="9"/>
      <c r="XEH425" s="9"/>
      <c r="XEI425" s="9"/>
      <c r="XEJ425" s="9"/>
      <c r="XEK425" s="9"/>
      <c r="XEL425" s="9"/>
      <c r="XEM425" s="9"/>
      <c r="XEN425" s="9"/>
      <c r="XEO425" s="9"/>
      <c r="XEP425" s="9"/>
      <c r="XEQ425" s="9"/>
      <c r="XER425" s="9"/>
      <c r="XES425" s="9"/>
      <c r="XET425" s="9"/>
      <c r="XEU425" s="9"/>
      <c r="XEV425" s="9"/>
      <c r="XEW425" s="9"/>
      <c r="XEX425" s="9"/>
      <c r="XEY425" s="9"/>
      <c r="XEZ425" s="9"/>
      <c r="XFA425" s="9"/>
      <c r="XFB425" s="9"/>
      <c r="XFC425" s="9"/>
      <c r="XFD425" s="9"/>
    </row>
    <row r="426" spans="1:8 16325:16384" s="3" customFormat="1" ht="19.95" customHeight="1">
      <c r="A426" s="6" t="str">
        <f t="shared" si="16"/>
        <v>040017</v>
      </c>
      <c r="B426" s="6" t="s">
        <v>9</v>
      </c>
      <c r="C426" s="6" t="s">
        <v>24</v>
      </c>
      <c r="D426" s="6" t="str">
        <f>"512417823"</f>
        <v>512417823</v>
      </c>
      <c r="E426" s="7">
        <v>70</v>
      </c>
      <c r="F426" s="7">
        <v>73.5</v>
      </c>
      <c r="G426" s="7"/>
      <c r="H426" s="7">
        <v>71.400000000000006</v>
      </c>
      <c r="XCW426" s="9"/>
      <c r="XCX426" s="9"/>
      <c r="XCY426" s="9"/>
      <c r="XCZ426" s="9"/>
      <c r="XDA426" s="9"/>
      <c r="XDB426" s="9"/>
      <c r="XDC426" s="9"/>
      <c r="XDD426" s="9"/>
      <c r="XDE426" s="9"/>
      <c r="XDF426" s="9"/>
      <c r="XDG426" s="9"/>
      <c r="XDH426" s="9"/>
      <c r="XDI426" s="9"/>
      <c r="XDJ426" s="9"/>
      <c r="XDK426" s="9"/>
      <c r="XDL426" s="9"/>
      <c r="XDM426" s="9"/>
      <c r="XDN426" s="9"/>
      <c r="XDO426" s="9"/>
      <c r="XDP426" s="9"/>
      <c r="XDQ426" s="9"/>
      <c r="XDR426" s="9"/>
      <c r="XDS426" s="9"/>
      <c r="XDT426" s="9"/>
      <c r="XDU426" s="9"/>
      <c r="XDV426" s="9"/>
      <c r="XDW426" s="9"/>
      <c r="XDX426" s="9"/>
      <c r="XDY426" s="9"/>
      <c r="XDZ426" s="9"/>
      <c r="XEA426" s="9"/>
      <c r="XEB426" s="9"/>
      <c r="XEC426" s="9"/>
      <c r="XED426" s="9"/>
      <c r="XEE426" s="9"/>
      <c r="XEF426" s="9"/>
      <c r="XEG426" s="9"/>
      <c r="XEH426" s="9"/>
      <c r="XEI426" s="9"/>
      <c r="XEJ426" s="9"/>
      <c r="XEK426" s="9"/>
      <c r="XEL426" s="9"/>
      <c r="XEM426" s="9"/>
      <c r="XEN426" s="9"/>
      <c r="XEO426" s="9"/>
      <c r="XEP426" s="9"/>
      <c r="XEQ426" s="9"/>
      <c r="XER426" s="9"/>
      <c r="XES426" s="9"/>
      <c r="XET426" s="9"/>
      <c r="XEU426" s="9"/>
      <c r="XEV426" s="9"/>
      <c r="XEW426" s="9"/>
      <c r="XEX426" s="9"/>
      <c r="XEY426" s="9"/>
      <c r="XEZ426" s="9"/>
      <c r="XFA426" s="9"/>
      <c r="XFB426" s="9"/>
      <c r="XFC426" s="9"/>
      <c r="XFD426" s="9"/>
    </row>
    <row r="427" spans="1:8 16325:16384" s="3" customFormat="1" ht="19.95" customHeight="1">
      <c r="A427" s="6" t="str">
        <f t="shared" si="16"/>
        <v>040017</v>
      </c>
      <c r="B427" s="6" t="s">
        <v>9</v>
      </c>
      <c r="C427" s="6" t="s">
        <v>24</v>
      </c>
      <c r="D427" s="6" t="str">
        <f>"512417824"</f>
        <v>512417824</v>
      </c>
      <c r="E427" s="7">
        <v>74.5</v>
      </c>
      <c r="F427" s="7">
        <v>72</v>
      </c>
      <c r="G427" s="7"/>
      <c r="H427" s="7">
        <v>73.5</v>
      </c>
      <c r="XCW427" s="9"/>
      <c r="XCX427" s="9"/>
      <c r="XCY427" s="9"/>
      <c r="XCZ427" s="9"/>
      <c r="XDA427" s="9"/>
      <c r="XDB427" s="9"/>
      <c r="XDC427" s="9"/>
      <c r="XDD427" s="9"/>
      <c r="XDE427" s="9"/>
      <c r="XDF427" s="9"/>
      <c r="XDG427" s="9"/>
      <c r="XDH427" s="9"/>
      <c r="XDI427" s="9"/>
      <c r="XDJ427" s="9"/>
      <c r="XDK427" s="9"/>
      <c r="XDL427" s="9"/>
      <c r="XDM427" s="9"/>
      <c r="XDN427" s="9"/>
      <c r="XDO427" s="9"/>
      <c r="XDP427" s="9"/>
      <c r="XDQ427" s="9"/>
      <c r="XDR427" s="9"/>
      <c r="XDS427" s="9"/>
      <c r="XDT427" s="9"/>
      <c r="XDU427" s="9"/>
      <c r="XDV427" s="9"/>
      <c r="XDW427" s="9"/>
      <c r="XDX427" s="9"/>
      <c r="XDY427" s="9"/>
      <c r="XDZ427" s="9"/>
      <c r="XEA427" s="9"/>
      <c r="XEB427" s="9"/>
      <c r="XEC427" s="9"/>
      <c r="XED427" s="9"/>
      <c r="XEE427" s="9"/>
      <c r="XEF427" s="9"/>
      <c r="XEG427" s="9"/>
      <c r="XEH427" s="9"/>
      <c r="XEI427" s="9"/>
      <c r="XEJ427" s="9"/>
      <c r="XEK427" s="9"/>
      <c r="XEL427" s="9"/>
      <c r="XEM427" s="9"/>
      <c r="XEN427" s="9"/>
      <c r="XEO427" s="9"/>
      <c r="XEP427" s="9"/>
      <c r="XEQ427" s="9"/>
      <c r="XER427" s="9"/>
      <c r="XES427" s="9"/>
      <c r="XET427" s="9"/>
      <c r="XEU427" s="9"/>
      <c r="XEV427" s="9"/>
      <c r="XEW427" s="9"/>
      <c r="XEX427" s="9"/>
      <c r="XEY427" s="9"/>
      <c r="XEZ427" s="9"/>
      <c r="XFA427" s="9"/>
      <c r="XFB427" s="9"/>
      <c r="XFC427" s="9"/>
      <c r="XFD427" s="9"/>
    </row>
    <row r="428" spans="1:8 16325:16384" s="3" customFormat="1" ht="19.95" customHeight="1">
      <c r="A428" s="6" t="str">
        <f t="shared" si="16"/>
        <v>040017</v>
      </c>
      <c r="B428" s="6" t="s">
        <v>9</v>
      </c>
      <c r="C428" s="6" t="s">
        <v>24</v>
      </c>
      <c r="D428" s="6" t="str">
        <f>"512417904"</f>
        <v>512417904</v>
      </c>
      <c r="E428" s="7">
        <v>83</v>
      </c>
      <c r="F428" s="7">
        <v>86</v>
      </c>
      <c r="G428" s="7"/>
      <c r="H428" s="7">
        <v>84.2</v>
      </c>
      <c r="XCW428" s="9"/>
      <c r="XCX428" s="9"/>
      <c r="XCY428" s="9"/>
      <c r="XCZ428" s="9"/>
      <c r="XDA428" s="9"/>
      <c r="XDB428" s="9"/>
      <c r="XDC428" s="9"/>
      <c r="XDD428" s="9"/>
      <c r="XDE428" s="9"/>
      <c r="XDF428" s="9"/>
      <c r="XDG428" s="9"/>
      <c r="XDH428" s="9"/>
      <c r="XDI428" s="9"/>
      <c r="XDJ428" s="9"/>
      <c r="XDK428" s="9"/>
      <c r="XDL428" s="9"/>
      <c r="XDM428" s="9"/>
      <c r="XDN428" s="9"/>
      <c r="XDO428" s="9"/>
      <c r="XDP428" s="9"/>
      <c r="XDQ428" s="9"/>
      <c r="XDR428" s="9"/>
      <c r="XDS428" s="9"/>
      <c r="XDT428" s="9"/>
      <c r="XDU428" s="9"/>
      <c r="XDV428" s="9"/>
      <c r="XDW428" s="9"/>
      <c r="XDX428" s="9"/>
      <c r="XDY428" s="9"/>
      <c r="XDZ428" s="9"/>
      <c r="XEA428" s="9"/>
      <c r="XEB428" s="9"/>
      <c r="XEC428" s="9"/>
      <c r="XED428" s="9"/>
      <c r="XEE428" s="9"/>
      <c r="XEF428" s="9"/>
      <c r="XEG428" s="9"/>
      <c r="XEH428" s="9"/>
      <c r="XEI428" s="9"/>
      <c r="XEJ428" s="9"/>
      <c r="XEK428" s="9"/>
      <c r="XEL428" s="9"/>
      <c r="XEM428" s="9"/>
      <c r="XEN428" s="9"/>
      <c r="XEO428" s="9"/>
      <c r="XEP428" s="9"/>
      <c r="XEQ428" s="9"/>
      <c r="XER428" s="9"/>
      <c r="XES428" s="9"/>
      <c r="XET428" s="9"/>
      <c r="XEU428" s="9"/>
      <c r="XEV428" s="9"/>
      <c r="XEW428" s="9"/>
      <c r="XEX428" s="9"/>
      <c r="XEY428" s="9"/>
      <c r="XEZ428" s="9"/>
      <c r="XFA428" s="9"/>
      <c r="XFB428" s="9"/>
      <c r="XFC428" s="9"/>
      <c r="XFD428" s="9"/>
    </row>
    <row r="429" spans="1:8 16325:16384" s="3" customFormat="1" ht="19.95" customHeight="1">
      <c r="A429" s="6" t="str">
        <f t="shared" si="16"/>
        <v>040017</v>
      </c>
      <c r="B429" s="6" t="s">
        <v>9</v>
      </c>
      <c r="C429" s="6" t="s">
        <v>24</v>
      </c>
      <c r="D429" s="6" t="str">
        <f>"512417905"</f>
        <v>512417905</v>
      </c>
      <c r="E429" s="7">
        <v>77</v>
      </c>
      <c r="F429" s="7">
        <v>83.5</v>
      </c>
      <c r="G429" s="7"/>
      <c r="H429" s="7">
        <v>79.599999999999994</v>
      </c>
      <c r="XCW429" s="9"/>
      <c r="XCX429" s="9"/>
      <c r="XCY429" s="9"/>
      <c r="XCZ429" s="9"/>
      <c r="XDA429" s="9"/>
      <c r="XDB429" s="9"/>
      <c r="XDC429" s="9"/>
      <c r="XDD429" s="9"/>
      <c r="XDE429" s="9"/>
      <c r="XDF429" s="9"/>
      <c r="XDG429" s="9"/>
      <c r="XDH429" s="9"/>
      <c r="XDI429" s="9"/>
      <c r="XDJ429" s="9"/>
      <c r="XDK429" s="9"/>
      <c r="XDL429" s="9"/>
      <c r="XDM429" s="9"/>
      <c r="XDN429" s="9"/>
      <c r="XDO429" s="9"/>
      <c r="XDP429" s="9"/>
      <c r="XDQ429" s="9"/>
      <c r="XDR429" s="9"/>
      <c r="XDS429" s="9"/>
      <c r="XDT429" s="9"/>
      <c r="XDU429" s="9"/>
      <c r="XDV429" s="9"/>
      <c r="XDW429" s="9"/>
      <c r="XDX429" s="9"/>
      <c r="XDY429" s="9"/>
      <c r="XDZ429" s="9"/>
      <c r="XEA429" s="9"/>
      <c r="XEB429" s="9"/>
      <c r="XEC429" s="9"/>
      <c r="XED429" s="9"/>
      <c r="XEE429" s="9"/>
      <c r="XEF429" s="9"/>
      <c r="XEG429" s="9"/>
      <c r="XEH429" s="9"/>
      <c r="XEI429" s="9"/>
      <c r="XEJ429" s="9"/>
      <c r="XEK429" s="9"/>
      <c r="XEL429" s="9"/>
      <c r="XEM429" s="9"/>
      <c r="XEN429" s="9"/>
      <c r="XEO429" s="9"/>
      <c r="XEP429" s="9"/>
      <c r="XEQ429" s="9"/>
      <c r="XER429" s="9"/>
      <c r="XES429" s="9"/>
      <c r="XET429" s="9"/>
      <c r="XEU429" s="9"/>
      <c r="XEV429" s="9"/>
      <c r="XEW429" s="9"/>
      <c r="XEX429" s="9"/>
      <c r="XEY429" s="9"/>
      <c r="XEZ429" s="9"/>
      <c r="XFA429" s="9"/>
      <c r="XFB429" s="9"/>
      <c r="XFC429" s="9"/>
      <c r="XFD429" s="9"/>
    </row>
    <row r="430" spans="1:8 16325:16384" s="3" customFormat="1" ht="19.95" customHeight="1">
      <c r="A430" s="6" t="str">
        <f t="shared" si="16"/>
        <v>040017</v>
      </c>
      <c r="B430" s="6" t="s">
        <v>9</v>
      </c>
      <c r="C430" s="6" t="s">
        <v>24</v>
      </c>
      <c r="D430" s="6" t="str">
        <f>"512417827"</f>
        <v>512417827</v>
      </c>
      <c r="E430" s="7">
        <v>84.5</v>
      </c>
      <c r="F430" s="7">
        <v>82</v>
      </c>
      <c r="G430" s="7"/>
      <c r="H430" s="7">
        <v>83.5</v>
      </c>
      <c r="XCW430" s="9"/>
      <c r="XCX430" s="9"/>
      <c r="XCY430" s="9"/>
      <c r="XCZ430" s="9"/>
      <c r="XDA430" s="9"/>
      <c r="XDB430" s="9"/>
      <c r="XDC430" s="9"/>
      <c r="XDD430" s="9"/>
      <c r="XDE430" s="9"/>
      <c r="XDF430" s="9"/>
      <c r="XDG430" s="9"/>
      <c r="XDH430" s="9"/>
      <c r="XDI430" s="9"/>
      <c r="XDJ430" s="9"/>
      <c r="XDK430" s="9"/>
      <c r="XDL430" s="9"/>
      <c r="XDM430" s="9"/>
      <c r="XDN430" s="9"/>
      <c r="XDO430" s="9"/>
      <c r="XDP430" s="9"/>
      <c r="XDQ430" s="9"/>
      <c r="XDR430" s="9"/>
      <c r="XDS430" s="9"/>
      <c r="XDT430" s="9"/>
      <c r="XDU430" s="9"/>
      <c r="XDV430" s="9"/>
      <c r="XDW430" s="9"/>
      <c r="XDX430" s="9"/>
      <c r="XDY430" s="9"/>
      <c r="XDZ430" s="9"/>
      <c r="XEA430" s="9"/>
      <c r="XEB430" s="9"/>
      <c r="XEC430" s="9"/>
      <c r="XED430" s="9"/>
      <c r="XEE430" s="9"/>
      <c r="XEF430" s="9"/>
      <c r="XEG430" s="9"/>
      <c r="XEH430" s="9"/>
      <c r="XEI430" s="9"/>
      <c r="XEJ430" s="9"/>
      <c r="XEK430" s="9"/>
      <c r="XEL430" s="9"/>
      <c r="XEM430" s="9"/>
      <c r="XEN430" s="9"/>
      <c r="XEO430" s="9"/>
      <c r="XEP430" s="9"/>
      <c r="XEQ430" s="9"/>
      <c r="XER430" s="9"/>
      <c r="XES430" s="9"/>
      <c r="XET430" s="9"/>
      <c r="XEU430" s="9"/>
      <c r="XEV430" s="9"/>
      <c r="XEW430" s="9"/>
      <c r="XEX430" s="9"/>
      <c r="XEY430" s="9"/>
      <c r="XEZ430" s="9"/>
      <c r="XFA430" s="9"/>
      <c r="XFB430" s="9"/>
      <c r="XFC430" s="9"/>
      <c r="XFD430" s="9"/>
    </row>
    <row r="431" spans="1:8 16325:16384" s="3" customFormat="1" ht="19.95" customHeight="1">
      <c r="A431" s="6" t="str">
        <f t="shared" si="16"/>
        <v>040017</v>
      </c>
      <c r="B431" s="6" t="s">
        <v>9</v>
      </c>
      <c r="C431" s="6" t="s">
        <v>24</v>
      </c>
      <c r="D431" s="6" t="str">
        <f>"512417828"</f>
        <v>512417828</v>
      </c>
      <c r="E431" s="7">
        <v>73.5</v>
      </c>
      <c r="F431" s="7">
        <v>76</v>
      </c>
      <c r="G431" s="7"/>
      <c r="H431" s="7">
        <v>74.5</v>
      </c>
      <c r="XCW431" s="9"/>
      <c r="XCX431" s="9"/>
      <c r="XCY431" s="9"/>
      <c r="XCZ431" s="9"/>
      <c r="XDA431" s="9"/>
      <c r="XDB431" s="9"/>
      <c r="XDC431" s="9"/>
      <c r="XDD431" s="9"/>
      <c r="XDE431" s="9"/>
      <c r="XDF431" s="9"/>
      <c r="XDG431" s="9"/>
      <c r="XDH431" s="9"/>
      <c r="XDI431" s="9"/>
      <c r="XDJ431" s="9"/>
      <c r="XDK431" s="9"/>
      <c r="XDL431" s="9"/>
      <c r="XDM431" s="9"/>
      <c r="XDN431" s="9"/>
      <c r="XDO431" s="9"/>
      <c r="XDP431" s="9"/>
      <c r="XDQ431" s="9"/>
      <c r="XDR431" s="9"/>
      <c r="XDS431" s="9"/>
      <c r="XDT431" s="9"/>
      <c r="XDU431" s="9"/>
      <c r="XDV431" s="9"/>
      <c r="XDW431" s="9"/>
      <c r="XDX431" s="9"/>
      <c r="XDY431" s="9"/>
      <c r="XDZ431" s="9"/>
      <c r="XEA431" s="9"/>
      <c r="XEB431" s="9"/>
      <c r="XEC431" s="9"/>
      <c r="XED431" s="9"/>
      <c r="XEE431" s="9"/>
      <c r="XEF431" s="9"/>
      <c r="XEG431" s="9"/>
      <c r="XEH431" s="9"/>
      <c r="XEI431" s="9"/>
      <c r="XEJ431" s="9"/>
      <c r="XEK431" s="9"/>
      <c r="XEL431" s="9"/>
      <c r="XEM431" s="9"/>
      <c r="XEN431" s="9"/>
      <c r="XEO431" s="9"/>
      <c r="XEP431" s="9"/>
      <c r="XEQ431" s="9"/>
      <c r="XER431" s="9"/>
      <c r="XES431" s="9"/>
      <c r="XET431" s="9"/>
      <c r="XEU431" s="9"/>
      <c r="XEV431" s="9"/>
      <c r="XEW431" s="9"/>
      <c r="XEX431" s="9"/>
      <c r="XEY431" s="9"/>
      <c r="XEZ431" s="9"/>
      <c r="XFA431" s="9"/>
      <c r="XFB431" s="9"/>
      <c r="XFC431" s="9"/>
      <c r="XFD431" s="9"/>
    </row>
    <row r="432" spans="1:8 16325:16384" s="3" customFormat="1" ht="19.95" customHeight="1">
      <c r="A432" s="6" t="str">
        <f t="shared" si="16"/>
        <v>040017</v>
      </c>
      <c r="B432" s="6" t="s">
        <v>9</v>
      </c>
      <c r="C432" s="6" t="s">
        <v>24</v>
      </c>
      <c r="D432" s="6" t="str">
        <f>"512417907"</f>
        <v>512417907</v>
      </c>
      <c r="E432" s="7">
        <v>77</v>
      </c>
      <c r="F432" s="7">
        <v>86</v>
      </c>
      <c r="G432" s="7"/>
      <c r="H432" s="7">
        <v>80.599999999999994</v>
      </c>
      <c r="XCW432" s="9"/>
      <c r="XCX432" s="9"/>
      <c r="XCY432" s="9"/>
      <c r="XCZ432" s="9"/>
      <c r="XDA432" s="9"/>
      <c r="XDB432" s="9"/>
      <c r="XDC432" s="9"/>
      <c r="XDD432" s="9"/>
      <c r="XDE432" s="9"/>
      <c r="XDF432" s="9"/>
      <c r="XDG432" s="9"/>
      <c r="XDH432" s="9"/>
      <c r="XDI432" s="9"/>
      <c r="XDJ432" s="9"/>
      <c r="XDK432" s="9"/>
      <c r="XDL432" s="9"/>
      <c r="XDM432" s="9"/>
      <c r="XDN432" s="9"/>
      <c r="XDO432" s="9"/>
      <c r="XDP432" s="9"/>
      <c r="XDQ432" s="9"/>
      <c r="XDR432" s="9"/>
      <c r="XDS432" s="9"/>
      <c r="XDT432" s="9"/>
      <c r="XDU432" s="9"/>
      <c r="XDV432" s="9"/>
      <c r="XDW432" s="9"/>
      <c r="XDX432" s="9"/>
      <c r="XDY432" s="9"/>
      <c r="XDZ432" s="9"/>
      <c r="XEA432" s="9"/>
      <c r="XEB432" s="9"/>
      <c r="XEC432" s="9"/>
      <c r="XED432" s="9"/>
      <c r="XEE432" s="9"/>
      <c r="XEF432" s="9"/>
      <c r="XEG432" s="9"/>
      <c r="XEH432" s="9"/>
      <c r="XEI432" s="9"/>
      <c r="XEJ432" s="9"/>
      <c r="XEK432" s="9"/>
      <c r="XEL432" s="9"/>
      <c r="XEM432" s="9"/>
      <c r="XEN432" s="9"/>
      <c r="XEO432" s="9"/>
      <c r="XEP432" s="9"/>
      <c r="XEQ432" s="9"/>
      <c r="XER432" s="9"/>
      <c r="XES432" s="9"/>
      <c r="XET432" s="9"/>
      <c r="XEU432" s="9"/>
      <c r="XEV432" s="9"/>
      <c r="XEW432" s="9"/>
      <c r="XEX432" s="9"/>
      <c r="XEY432" s="9"/>
      <c r="XEZ432" s="9"/>
      <c r="XFA432" s="9"/>
      <c r="XFB432" s="9"/>
      <c r="XFC432" s="9"/>
      <c r="XFD432" s="9"/>
    </row>
    <row r="433" spans="1:8 16325:16384" s="3" customFormat="1" ht="19.95" customHeight="1">
      <c r="A433" s="6" t="str">
        <f t="shared" si="16"/>
        <v>040017</v>
      </c>
      <c r="B433" s="6" t="s">
        <v>9</v>
      </c>
      <c r="C433" s="6" t="s">
        <v>24</v>
      </c>
      <c r="D433" s="6" t="str">
        <f>"512417830"</f>
        <v>512417830</v>
      </c>
      <c r="E433" s="7">
        <v>65.5</v>
      </c>
      <c r="F433" s="7">
        <v>67.5</v>
      </c>
      <c r="G433" s="7"/>
      <c r="H433" s="7">
        <v>66.3</v>
      </c>
      <c r="XCW433" s="9"/>
      <c r="XCX433" s="9"/>
      <c r="XCY433" s="9"/>
      <c r="XCZ433" s="9"/>
      <c r="XDA433" s="9"/>
      <c r="XDB433" s="9"/>
      <c r="XDC433" s="9"/>
      <c r="XDD433" s="9"/>
      <c r="XDE433" s="9"/>
      <c r="XDF433" s="9"/>
      <c r="XDG433" s="9"/>
      <c r="XDH433" s="9"/>
      <c r="XDI433" s="9"/>
      <c r="XDJ433" s="9"/>
      <c r="XDK433" s="9"/>
      <c r="XDL433" s="9"/>
      <c r="XDM433" s="9"/>
      <c r="XDN433" s="9"/>
      <c r="XDO433" s="9"/>
      <c r="XDP433" s="9"/>
      <c r="XDQ433" s="9"/>
      <c r="XDR433" s="9"/>
      <c r="XDS433" s="9"/>
      <c r="XDT433" s="9"/>
      <c r="XDU433" s="9"/>
      <c r="XDV433" s="9"/>
      <c r="XDW433" s="9"/>
      <c r="XDX433" s="9"/>
      <c r="XDY433" s="9"/>
      <c r="XDZ433" s="9"/>
      <c r="XEA433" s="9"/>
      <c r="XEB433" s="9"/>
      <c r="XEC433" s="9"/>
      <c r="XED433" s="9"/>
      <c r="XEE433" s="9"/>
      <c r="XEF433" s="9"/>
      <c r="XEG433" s="9"/>
      <c r="XEH433" s="9"/>
      <c r="XEI433" s="9"/>
      <c r="XEJ433" s="9"/>
      <c r="XEK433" s="9"/>
      <c r="XEL433" s="9"/>
      <c r="XEM433" s="9"/>
      <c r="XEN433" s="9"/>
      <c r="XEO433" s="9"/>
      <c r="XEP433" s="9"/>
      <c r="XEQ433" s="9"/>
      <c r="XER433" s="9"/>
      <c r="XES433" s="9"/>
      <c r="XET433" s="9"/>
      <c r="XEU433" s="9"/>
      <c r="XEV433" s="9"/>
      <c r="XEW433" s="9"/>
      <c r="XEX433" s="9"/>
      <c r="XEY433" s="9"/>
      <c r="XEZ433" s="9"/>
      <c r="XFA433" s="9"/>
      <c r="XFB433" s="9"/>
      <c r="XFC433" s="9"/>
      <c r="XFD433" s="9"/>
    </row>
    <row r="434" spans="1:8 16325:16384" s="3" customFormat="1" ht="19.95" customHeight="1">
      <c r="A434" s="6" t="str">
        <f t="shared" si="16"/>
        <v>040017</v>
      </c>
      <c r="B434" s="6" t="s">
        <v>9</v>
      </c>
      <c r="C434" s="6" t="s">
        <v>24</v>
      </c>
      <c r="D434" s="6" t="str">
        <f>"512417829"</f>
        <v>512417829</v>
      </c>
      <c r="E434" s="7">
        <v>73</v>
      </c>
      <c r="F434" s="7">
        <v>70</v>
      </c>
      <c r="G434" s="7"/>
      <c r="H434" s="7">
        <v>71.8</v>
      </c>
      <c r="XCW434" s="9"/>
      <c r="XCX434" s="9"/>
      <c r="XCY434" s="9"/>
      <c r="XCZ434" s="9"/>
      <c r="XDA434" s="9"/>
      <c r="XDB434" s="9"/>
      <c r="XDC434" s="9"/>
      <c r="XDD434" s="9"/>
      <c r="XDE434" s="9"/>
      <c r="XDF434" s="9"/>
      <c r="XDG434" s="9"/>
      <c r="XDH434" s="9"/>
      <c r="XDI434" s="9"/>
      <c r="XDJ434" s="9"/>
      <c r="XDK434" s="9"/>
      <c r="XDL434" s="9"/>
      <c r="XDM434" s="9"/>
      <c r="XDN434" s="9"/>
      <c r="XDO434" s="9"/>
      <c r="XDP434" s="9"/>
      <c r="XDQ434" s="9"/>
      <c r="XDR434" s="9"/>
      <c r="XDS434" s="9"/>
      <c r="XDT434" s="9"/>
      <c r="XDU434" s="9"/>
      <c r="XDV434" s="9"/>
      <c r="XDW434" s="9"/>
      <c r="XDX434" s="9"/>
      <c r="XDY434" s="9"/>
      <c r="XDZ434" s="9"/>
      <c r="XEA434" s="9"/>
      <c r="XEB434" s="9"/>
      <c r="XEC434" s="9"/>
      <c r="XED434" s="9"/>
      <c r="XEE434" s="9"/>
      <c r="XEF434" s="9"/>
      <c r="XEG434" s="9"/>
      <c r="XEH434" s="9"/>
      <c r="XEI434" s="9"/>
      <c r="XEJ434" s="9"/>
      <c r="XEK434" s="9"/>
      <c r="XEL434" s="9"/>
      <c r="XEM434" s="9"/>
      <c r="XEN434" s="9"/>
      <c r="XEO434" s="9"/>
      <c r="XEP434" s="9"/>
      <c r="XEQ434" s="9"/>
      <c r="XER434" s="9"/>
      <c r="XES434" s="9"/>
      <c r="XET434" s="9"/>
      <c r="XEU434" s="9"/>
      <c r="XEV434" s="9"/>
      <c r="XEW434" s="9"/>
      <c r="XEX434" s="9"/>
      <c r="XEY434" s="9"/>
      <c r="XEZ434" s="9"/>
      <c r="XFA434" s="9"/>
      <c r="XFB434" s="9"/>
      <c r="XFC434" s="9"/>
      <c r="XFD434" s="9"/>
    </row>
    <row r="435" spans="1:8 16325:16384" s="3" customFormat="1" ht="19.95" customHeight="1">
      <c r="A435" s="6" t="str">
        <f t="shared" si="16"/>
        <v>040017</v>
      </c>
      <c r="B435" s="6" t="s">
        <v>9</v>
      </c>
      <c r="C435" s="6" t="s">
        <v>24</v>
      </c>
      <c r="D435" s="6" t="str">
        <f>"512417825"</f>
        <v>512417825</v>
      </c>
      <c r="E435" s="7">
        <v>85</v>
      </c>
      <c r="F435" s="7">
        <v>76.5</v>
      </c>
      <c r="G435" s="7"/>
      <c r="H435" s="7">
        <v>81.599999999999994</v>
      </c>
      <c r="XCW435" s="9"/>
      <c r="XCX435" s="9"/>
      <c r="XCY435" s="9"/>
      <c r="XCZ435" s="9"/>
      <c r="XDA435" s="9"/>
      <c r="XDB435" s="9"/>
      <c r="XDC435" s="9"/>
      <c r="XDD435" s="9"/>
      <c r="XDE435" s="9"/>
      <c r="XDF435" s="9"/>
      <c r="XDG435" s="9"/>
      <c r="XDH435" s="9"/>
      <c r="XDI435" s="9"/>
      <c r="XDJ435" s="9"/>
      <c r="XDK435" s="9"/>
      <c r="XDL435" s="9"/>
      <c r="XDM435" s="9"/>
      <c r="XDN435" s="9"/>
      <c r="XDO435" s="9"/>
      <c r="XDP435" s="9"/>
      <c r="XDQ435" s="9"/>
      <c r="XDR435" s="9"/>
      <c r="XDS435" s="9"/>
      <c r="XDT435" s="9"/>
      <c r="XDU435" s="9"/>
      <c r="XDV435" s="9"/>
      <c r="XDW435" s="9"/>
      <c r="XDX435" s="9"/>
      <c r="XDY435" s="9"/>
      <c r="XDZ435" s="9"/>
      <c r="XEA435" s="9"/>
      <c r="XEB435" s="9"/>
      <c r="XEC435" s="9"/>
      <c r="XED435" s="9"/>
      <c r="XEE435" s="9"/>
      <c r="XEF435" s="9"/>
      <c r="XEG435" s="9"/>
      <c r="XEH435" s="9"/>
      <c r="XEI435" s="9"/>
      <c r="XEJ435" s="9"/>
      <c r="XEK435" s="9"/>
      <c r="XEL435" s="9"/>
      <c r="XEM435" s="9"/>
      <c r="XEN435" s="9"/>
      <c r="XEO435" s="9"/>
      <c r="XEP435" s="9"/>
      <c r="XEQ435" s="9"/>
      <c r="XER435" s="9"/>
      <c r="XES435" s="9"/>
      <c r="XET435" s="9"/>
      <c r="XEU435" s="9"/>
      <c r="XEV435" s="9"/>
      <c r="XEW435" s="9"/>
      <c r="XEX435" s="9"/>
      <c r="XEY435" s="9"/>
      <c r="XEZ435" s="9"/>
      <c r="XFA435" s="9"/>
      <c r="XFB435" s="9"/>
      <c r="XFC435" s="9"/>
      <c r="XFD435" s="9"/>
    </row>
    <row r="436" spans="1:8 16325:16384" s="3" customFormat="1" ht="19.95" customHeight="1">
      <c r="A436" s="6" t="str">
        <f t="shared" si="16"/>
        <v>040017</v>
      </c>
      <c r="B436" s="6" t="s">
        <v>9</v>
      </c>
      <c r="C436" s="6" t="s">
        <v>24</v>
      </c>
      <c r="D436" s="6" t="str">
        <f>"512417902"</f>
        <v>512417902</v>
      </c>
      <c r="E436" s="7">
        <v>77</v>
      </c>
      <c r="F436" s="7">
        <v>75.5</v>
      </c>
      <c r="G436" s="7"/>
      <c r="H436" s="7">
        <v>76.400000000000006</v>
      </c>
      <c r="XCW436" s="9"/>
      <c r="XCX436" s="9"/>
      <c r="XCY436" s="9"/>
      <c r="XCZ436" s="9"/>
      <c r="XDA436" s="9"/>
      <c r="XDB436" s="9"/>
      <c r="XDC436" s="9"/>
      <c r="XDD436" s="9"/>
      <c r="XDE436" s="9"/>
      <c r="XDF436" s="9"/>
      <c r="XDG436" s="9"/>
      <c r="XDH436" s="9"/>
      <c r="XDI436" s="9"/>
      <c r="XDJ436" s="9"/>
      <c r="XDK436" s="9"/>
      <c r="XDL436" s="9"/>
      <c r="XDM436" s="9"/>
      <c r="XDN436" s="9"/>
      <c r="XDO436" s="9"/>
      <c r="XDP436" s="9"/>
      <c r="XDQ436" s="9"/>
      <c r="XDR436" s="9"/>
      <c r="XDS436" s="9"/>
      <c r="XDT436" s="9"/>
      <c r="XDU436" s="9"/>
      <c r="XDV436" s="9"/>
      <c r="XDW436" s="9"/>
      <c r="XDX436" s="9"/>
      <c r="XDY436" s="9"/>
      <c r="XDZ436" s="9"/>
      <c r="XEA436" s="9"/>
      <c r="XEB436" s="9"/>
      <c r="XEC436" s="9"/>
      <c r="XED436" s="9"/>
      <c r="XEE436" s="9"/>
      <c r="XEF436" s="9"/>
      <c r="XEG436" s="9"/>
      <c r="XEH436" s="9"/>
      <c r="XEI436" s="9"/>
      <c r="XEJ436" s="9"/>
      <c r="XEK436" s="9"/>
      <c r="XEL436" s="9"/>
      <c r="XEM436" s="9"/>
      <c r="XEN436" s="9"/>
      <c r="XEO436" s="9"/>
      <c r="XEP436" s="9"/>
      <c r="XEQ436" s="9"/>
      <c r="XER436" s="9"/>
      <c r="XES436" s="9"/>
      <c r="XET436" s="9"/>
      <c r="XEU436" s="9"/>
      <c r="XEV436" s="9"/>
      <c r="XEW436" s="9"/>
      <c r="XEX436" s="9"/>
      <c r="XEY436" s="9"/>
      <c r="XEZ436" s="9"/>
      <c r="XFA436" s="9"/>
      <c r="XFB436" s="9"/>
      <c r="XFC436" s="9"/>
      <c r="XFD436" s="9"/>
    </row>
    <row r="437" spans="1:8 16325:16384" s="3" customFormat="1" ht="19.95" customHeight="1">
      <c r="A437" s="6" t="str">
        <f t="shared" si="16"/>
        <v>040017</v>
      </c>
      <c r="B437" s="6" t="s">
        <v>9</v>
      </c>
      <c r="C437" s="6" t="s">
        <v>24</v>
      </c>
      <c r="D437" s="6" t="str">
        <f>"512417906"</f>
        <v>512417906</v>
      </c>
      <c r="E437" s="7">
        <v>77</v>
      </c>
      <c r="F437" s="7">
        <v>53.5</v>
      </c>
      <c r="G437" s="7"/>
      <c r="H437" s="7">
        <v>67.599999999999994</v>
      </c>
      <c r="XCW437" s="9"/>
      <c r="XCX437" s="9"/>
      <c r="XCY437" s="9"/>
      <c r="XCZ437" s="9"/>
      <c r="XDA437" s="9"/>
      <c r="XDB437" s="9"/>
      <c r="XDC437" s="9"/>
      <c r="XDD437" s="9"/>
      <c r="XDE437" s="9"/>
      <c r="XDF437" s="9"/>
      <c r="XDG437" s="9"/>
      <c r="XDH437" s="9"/>
      <c r="XDI437" s="9"/>
      <c r="XDJ437" s="9"/>
      <c r="XDK437" s="9"/>
      <c r="XDL437" s="9"/>
      <c r="XDM437" s="9"/>
      <c r="XDN437" s="9"/>
      <c r="XDO437" s="9"/>
      <c r="XDP437" s="9"/>
      <c r="XDQ437" s="9"/>
      <c r="XDR437" s="9"/>
      <c r="XDS437" s="9"/>
      <c r="XDT437" s="9"/>
      <c r="XDU437" s="9"/>
      <c r="XDV437" s="9"/>
      <c r="XDW437" s="9"/>
      <c r="XDX437" s="9"/>
      <c r="XDY437" s="9"/>
      <c r="XDZ437" s="9"/>
      <c r="XEA437" s="9"/>
      <c r="XEB437" s="9"/>
      <c r="XEC437" s="9"/>
      <c r="XED437" s="9"/>
      <c r="XEE437" s="9"/>
      <c r="XEF437" s="9"/>
      <c r="XEG437" s="9"/>
      <c r="XEH437" s="9"/>
      <c r="XEI437" s="9"/>
      <c r="XEJ437" s="9"/>
      <c r="XEK437" s="9"/>
      <c r="XEL437" s="9"/>
      <c r="XEM437" s="9"/>
      <c r="XEN437" s="9"/>
      <c r="XEO437" s="9"/>
      <c r="XEP437" s="9"/>
      <c r="XEQ437" s="9"/>
      <c r="XER437" s="9"/>
      <c r="XES437" s="9"/>
      <c r="XET437" s="9"/>
      <c r="XEU437" s="9"/>
      <c r="XEV437" s="9"/>
      <c r="XEW437" s="9"/>
      <c r="XEX437" s="9"/>
      <c r="XEY437" s="9"/>
      <c r="XEZ437" s="9"/>
      <c r="XFA437" s="9"/>
      <c r="XFB437" s="9"/>
      <c r="XFC437" s="9"/>
      <c r="XFD437" s="9"/>
    </row>
    <row r="438" spans="1:8 16325:16384" s="3" customFormat="1" ht="19.95" customHeight="1">
      <c r="A438" s="6" t="str">
        <f t="shared" ref="A438:A453" si="17">"040018"</f>
        <v>040018</v>
      </c>
      <c r="B438" s="6" t="s">
        <v>22</v>
      </c>
      <c r="C438" s="6" t="s">
        <v>24</v>
      </c>
      <c r="D438" s="6" t="str">
        <f>"512523412"</f>
        <v>512523412</v>
      </c>
      <c r="E438" s="7">
        <v>85.5</v>
      </c>
      <c r="F438" s="7">
        <v>76</v>
      </c>
      <c r="G438" s="7"/>
      <c r="H438" s="7">
        <v>81.7</v>
      </c>
      <c r="XCW438" s="9"/>
      <c r="XCX438" s="9"/>
      <c r="XCY438" s="9"/>
      <c r="XCZ438" s="9"/>
      <c r="XDA438" s="9"/>
      <c r="XDB438" s="9"/>
      <c r="XDC438" s="9"/>
      <c r="XDD438" s="9"/>
      <c r="XDE438" s="9"/>
      <c r="XDF438" s="9"/>
      <c r="XDG438" s="9"/>
      <c r="XDH438" s="9"/>
      <c r="XDI438" s="9"/>
      <c r="XDJ438" s="9"/>
      <c r="XDK438" s="9"/>
      <c r="XDL438" s="9"/>
      <c r="XDM438" s="9"/>
      <c r="XDN438" s="9"/>
      <c r="XDO438" s="9"/>
      <c r="XDP438" s="9"/>
      <c r="XDQ438" s="9"/>
      <c r="XDR438" s="9"/>
      <c r="XDS438" s="9"/>
      <c r="XDT438" s="9"/>
      <c r="XDU438" s="9"/>
      <c r="XDV438" s="9"/>
      <c r="XDW438" s="9"/>
      <c r="XDX438" s="9"/>
      <c r="XDY438" s="9"/>
      <c r="XDZ438" s="9"/>
      <c r="XEA438" s="9"/>
      <c r="XEB438" s="9"/>
      <c r="XEC438" s="9"/>
      <c r="XED438" s="9"/>
      <c r="XEE438" s="9"/>
      <c r="XEF438" s="9"/>
      <c r="XEG438" s="9"/>
      <c r="XEH438" s="9"/>
      <c r="XEI438" s="9"/>
      <c r="XEJ438" s="9"/>
      <c r="XEK438" s="9"/>
      <c r="XEL438" s="9"/>
      <c r="XEM438" s="9"/>
      <c r="XEN438" s="9"/>
      <c r="XEO438" s="9"/>
      <c r="XEP438" s="9"/>
      <c r="XEQ438" s="9"/>
      <c r="XER438" s="9"/>
      <c r="XES438" s="9"/>
      <c r="XET438" s="9"/>
      <c r="XEU438" s="9"/>
      <c r="XEV438" s="9"/>
      <c r="XEW438" s="9"/>
      <c r="XEX438" s="9"/>
      <c r="XEY438" s="9"/>
      <c r="XEZ438" s="9"/>
      <c r="XFA438" s="9"/>
      <c r="XFB438" s="9"/>
      <c r="XFC438" s="9"/>
      <c r="XFD438" s="9"/>
    </row>
    <row r="439" spans="1:8 16325:16384" s="3" customFormat="1" ht="19.95" customHeight="1">
      <c r="A439" s="6" t="str">
        <f t="shared" si="17"/>
        <v>040018</v>
      </c>
      <c r="B439" s="6" t="s">
        <v>22</v>
      </c>
      <c r="C439" s="6" t="s">
        <v>24</v>
      </c>
      <c r="D439" s="6" t="str">
        <f>"512523422"</f>
        <v>512523422</v>
      </c>
      <c r="E439" s="7">
        <v>0</v>
      </c>
      <c r="F439" s="7">
        <v>0</v>
      </c>
      <c r="G439" s="7"/>
      <c r="H439" s="7">
        <v>0</v>
      </c>
      <c r="XCW439" s="9"/>
      <c r="XCX439" s="9"/>
      <c r="XCY439" s="9"/>
      <c r="XCZ439" s="9"/>
      <c r="XDA439" s="9"/>
      <c r="XDB439" s="9"/>
      <c r="XDC439" s="9"/>
      <c r="XDD439" s="9"/>
      <c r="XDE439" s="9"/>
      <c r="XDF439" s="9"/>
      <c r="XDG439" s="9"/>
      <c r="XDH439" s="9"/>
      <c r="XDI439" s="9"/>
      <c r="XDJ439" s="9"/>
      <c r="XDK439" s="9"/>
      <c r="XDL439" s="9"/>
      <c r="XDM439" s="9"/>
      <c r="XDN439" s="9"/>
      <c r="XDO439" s="9"/>
      <c r="XDP439" s="9"/>
      <c r="XDQ439" s="9"/>
      <c r="XDR439" s="9"/>
      <c r="XDS439" s="9"/>
      <c r="XDT439" s="9"/>
      <c r="XDU439" s="9"/>
      <c r="XDV439" s="9"/>
      <c r="XDW439" s="9"/>
      <c r="XDX439" s="9"/>
      <c r="XDY439" s="9"/>
      <c r="XDZ439" s="9"/>
      <c r="XEA439" s="9"/>
      <c r="XEB439" s="9"/>
      <c r="XEC439" s="9"/>
      <c r="XED439" s="9"/>
      <c r="XEE439" s="9"/>
      <c r="XEF439" s="9"/>
      <c r="XEG439" s="9"/>
      <c r="XEH439" s="9"/>
      <c r="XEI439" s="9"/>
      <c r="XEJ439" s="9"/>
      <c r="XEK439" s="9"/>
      <c r="XEL439" s="9"/>
      <c r="XEM439" s="9"/>
      <c r="XEN439" s="9"/>
      <c r="XEO439" s="9"/>
      <c r="XEP439" s="9"/>
      <c r="XEQ439" s="9"/>
      <c r="XER439" s="9"/>
      <c r="XES439" s="9"/>
      <c r="XET439" s="9"/>
      <c r="XEU439" s="9"/>
      <c r="XEV439" s="9"/>
      <c r="XEW439" s="9"/>
      <c r="XEX439" s="9"/>
      <c r="XEY439" s="9"/>
      <c r="XEZ439" s="9"/>
      <c r="XFA439" s="9"/>
      <c r="XFB439" s="9"/>
      <c r="XFC439" s="9"/>
      <c r="XFD439" s="9"/>
    </row>
    <row r="440" spans="1:8 16325:16384" s="3" customFormat="1" ht="19.95" customHeight="1">
      <c r="A440" s="6" t="str">
        <f t="shared" si="17"/>
        <v>040018</v>
      </c>
      <c r="B440" s="6" t="s">
        <v>22</v>
      </c>
      <c r="C440" s="6" t="s">
        <v>24</v>
      </c>
      <c r="D440" s="6" t="str">
        <f>"512523417"</f>
        <v>512523417</v>
      </c>
      <c r="E440" s="7">
        <v>81</v>
      </c>
      <c r="F440" s="7">
        <v>75.5</v>
      </c>
      <c r="G440" s="7"/>
      <c r="H440" s="7">
        <v>78.8</v>
      </c>
      <c r="XCW440" s="9"/>
      <c r="XCX440" s="9"/>
      <c r="XCY440" s="9"/>
      <c r="XCZ440" s="9"/>
      <c r="XDA440" s="9"/>
      <c r="XDB440" s="9"/>
      <c r="XDC440" s="9"/>
      <c r="XDD440" s="9"/>
      <c r="XDE440" s="9"/>
      <c r="XDF440" s="9"/>
      <c r="XDG440" s="9"/>
      <c r="XDH440" s="9"/>
      <c r="XDI440" s="9"/>
      <c r="XDJ440" s="9"/>
      <c r="XDK440" s="9"/>
      <c r="XDL440" s="9"/>
      <c r="XDM440" s="9"/>
      <c r="XDN440" s="9"/>
      <c r="XDO440" s="9"/>
      <c r="XDP440" s="9"/>
      <c r="XDQ440" s="9"/>
      <c r="XDR440" s="9"/>
      <c r="XDS440" s="9"/>
      <c r="XDT440" s="9"/>
      <c r="XDU440" s="9"/>
      <c r="XDV440" s="9"/>
      <c r="XDW440" s="9"/>
      <c r="XDX440" s="9"/>
      <c r="XDY440" s="9"/>
      <c r="XDZ440" s="9"/>
      <c r="XEA440" s="9"/>
      <c r="XEB440" s="9"/>
      <c r="XEC440" s="9"/>
      <c r="XED440" s="9"/>
      <c r="XEE440" s="9"/>
      <c r="XEF440" s="9"/>
      <c r="XEG440" s="9"/>
      <c r="XEH440" s="9"/>
      <c r="XEI440" s="9"/>
      <c r="XEJ440" s="9"/>
      <c r="XEK440" s="9"/>
      <c r="XEL440" s="9"/>
      <c r="XEM440" s="9"/>
      <c r="XEN440" s="9"/>
      <c r="XEO440" s="9"/>
      <c r="XEP440" s="9"/>
      <c r="XEQ440" s="9"/>
      <c r="XER440" s="9"/>
      <c r="XES440" s="9"/>
      <c r="XET440" s="9"/>
      <c r="XEU440" s="9"/>
      <c r="XEV440" s="9"/>
      <c r="XEW440" s="9"/>
      <c r="XEX440" s="9"/>
      <c r="XEY440" s="9"/>
      <c r="XEZ440" s="9"/>
      <c r="XFA440" s="9"/>
      <c r="XFB440" s="9"/>
      <c r="XFC440" s="9"/>
      <c r="XFD440" s="9"/>
    </row>
    <row r="441" spans="1:8 16325:16384" s="3" customFormat="1" ht="19.95" customHeight="1">
      <c r="A441" s="6" t="str">
        <f t="shared" si="17"/>
        <v>040018</v>
      </c>
      <c r="B441" s="6" t="s">
        <v>22</v>
      </c>
      <c r="C441" s="6" t="s">
        <v>24</v>
      </c>
      <c r="D441" s="6" t="str">
        <f>"512523419"</f>
        <v>512523419</v>
      </c>
      <c r="E441" s="7">
        <v>0</v>
      </c>
      <c r="F441" s="7">
        <v>0</v>
      </c>
      <c r="G441" s="7"/>
      <c r="H441" s="7">
        <v>0</v>
      </c>
      <c r="XCW441" s="9"/>
      <c r="XCX441" s="9"/>
      <c r="XCY441" s="9"/>
      <c r="XCZ441" s="9"/>
      <c r="XDA441" s="9"/>
      <c r="XDB441" s="9"/>
      <c r="XDC441" s="9"/>
      <c r="XDD441" s="9"/>
      <c r="XDE441" s="9"/>
      <c r="XDF441" s="9"/>
      <c r="XDG441" s="9"/>
      <c r="XDH441" s="9"/>
      <c r="XDI441" s="9"/>
      <c r="XDJ441" s="9"/>
      <c r="XDK441" s="9"/>
      <c r="XDL441" s="9"/>
      <c r="XDM441" s="9"/>
      <c r="XDN441" s="9"/>
      <c r="XDO441" s="9"/>
      <c r="XDP441" s="9"/>
      <c r="XDQ441" s="9"/>
      <c r="XDR441" s="9"/>
      <c r="XDS441" s="9"/>
      <c r="XDT441" s="9"/>
      <c r="XDU441" s="9"/>
      <c r="XDV441" s="9"/>
      <c r="XDW441" s="9"/>
      <c r="XDX441" s="9"/>
      <c r="XDY441" s="9"/>
      <c r="XDZ441" s="9"/>
      <c r="XEA441" s="9"/>
      <c r="XEB441" s="9"/>
      <c r="XEC441" s="9"/>
      <c r="XED441" s="9"/>
      <c r="XEE441" s="9"/>
      <c r="XEF441" s="9"/>
      <c r="XEG441" s="9"/>
      <c r="XEH441" s="9"/>
      <c r="XEI441" s="9"/>
      <c r="XEJ441" s="9"/>
      <c r="XEK441" s="9"/>
      <c r="XEL441" s="9"/>
      <c r="XEM441" s="9"/>
      <c r="XEN441" s="9"/>
      <c r="XEO441" s="9"/>
      <c r="XEP441" s="9"/>
      <c r="XEQ441" s="9"/>
      <c r="XER441" s="9"/>
      <c r="XES441" s="9"/>
      <c r="XET441" s="9"/>
      <c r="XEU441" s="9"/>
      <c r="XEV441" s="9"/>
      <c r="XEW441" s="9"/>
      <c r="XEX441" s="9"/>
      <c r="XEY441" s="9"/>
      <c r="XEZ441" s="9"/>
      <c r="XFA441" s="9"/>
      <c r="XFB441" s="9"/>
      <c r="XFC441" s="9"/>
      <c r="XFD441" s="9"/>
    </row>
    <row r="442" spans="1:8 16325:16384" s="3" customFormat="1" ht="19.95" customHeight="1">
      <c r="A442" s="6" t="str">
        <f t="shared" si="17"/>
        <v>040018</v>
      </c>
      <c r="B442" s="6" t="s">
        <v>22</v>
      </c>
      <c r="C442" s="6" t="s">
        <v>24</v>
      </c>
      <c r="D442" s="6" t="str">
        <f>"512523415"</f>
        <v>512523415</v>
      </c>
      <c r="E442" s="7">
        <v>64</v>
      </c>
      <c r="F442" s="7">
        <v>38.5</v>
      </c>
      <c r="G442" s="7"/>
      <c r="H442" s="7">
        <v>53.8</v>
      </c>
      <c r="XCW442" s="9"/>
      <c r="XCX442" s="9"/>
      <c r="XCY442" s="9"/>
      <c r="XCZ442" s="9"/>
      <c r="XDA442" s="9"/>
      <c r="XDB442" s="9"/>
      <c r="XDC442" s="9"/>
      <c r="XDD442" s="9"/>
      <c r="XDE442" s="9"/>
      <c r="XDF442" s="9"/>
      <c r="XDG442" s="9"/>
      <c r="XDH442" s="9"/>
      <c r="XDI442" s="9"/>
      <c r="XDJ442" s="9"/>
      <c r="XDK442" s="9"/>
      <c r="XDL442" s="9"/>
      <c r="XDM442" s="9"/>
      <c r="XDN442" s="9"/>
      <c r="XDO442" s="9"/>
      <c r="XDP442" s="9"/>
      <c r="XDQ442" s="9"/>
      <c r="XDR442" s="9"/>
      <c r="XDS442" s="9"/>
      <c r="XDT442" s="9"/>
      <c r="XDU442" s="9"/>
      <c r="XDV442" s="9"/>
      <c r="XDW442" s="9"/>
      <c r="XDX442" s="9"/>
      <c r="XDY442" s="9"/>
      <c r="XDZ442" s="9"/>
      <c r="XEA442" s="9"/>
      <c r="XEB442" s="9"/>
      <c r="XEC442" s="9"/>
      <c r="XED442" s="9"/>
      <c r="XEE442" s="9"/>
      <c r="XEF442" s="9"/>
      <c r="XEG442" s="9"/>
      <c r="XEH442" s="9"/>
      <c r="XEI442" s="9"/>
      <c r="XEJ442" s="9"/>
      <c r="XEK442" s="9"/>
      <c r="XEL442" s="9"/>
      <c r="XEM442" s="9"/>
      <c r="XEN442" s="9"/>
      <c r="XEO442" s="9"/>
      <c r="XEP442" s="9"/>
      <c r="XEQ442" s="9"/>
      <c r="XER442" s="9"/>
      <c r="XES442" s="9"/>
      <c r="XET442" s="9"/>
      <c r="XEU442" s="9"/>
      <c r="XEV442" s="9"/>
      <c r="XEW442" s="9"/>
      <c r="XEX442" s="9"/>
      <c r="XEY442" s="9"/>
      <c r="XEZ442" s="9"/>
      <c r="XFA442" s="9"/>
      <c r="XFB442" s="9"/>
      <c r="XFC442" s="9"/>
      <c r="XFD442" s="9"/>
    </row>
    <row r="443" spans="1:8 16325:16384" s="3" customFormat="1" ht="19.95" customHeight="1">
      <c r="A443" s="6" t="str">
        <f t="shared" si="17"/>
        <v>040018</v>
      </c>
      <c r="B443" s="6" t="s">
        <v>22</v>
      </c>
      <c r="C443" s="6" t="s">
        <v>24</v>
      </c>
      <c r="D443" s="6" t="str">
        <f>"512523420"</f>
        <v>512523420</v>
      </c>
      <c r="E443" s="7">
        <v>53</v>
      </c>
      <c r="F443" s="7">
        <v>59</v>
      </c>
      <c r="G443" s="7"/>
      <c r="H443" s="7">
        <v>55.4</v>
      </c>
      <c r="XCW443" s="9"/>
      <c r="XCX443" s="9"/>
      <c r="XCY443" s="9"/>
      <c r="XCZ443" s="9"/>
      <c r="XDA443" s="9"/>
      <c r="XDB443" s="9"/>
      <c r="XDC443" s="9"/>
      <c r="XDD443" s="9"/>
      <c r="XDE443" s="9"/>
      <c r="XDF443" s="9"/>
      <c r="XDG443" s="9"/>
      <c r="XDH443" s="9"/>
      <c r="XDI443" s="9"/>
      <c r="XDJ443" s="9"/>
      <c r="XDK443" s="9"/>
      <c r="XDL443" s="9"/>
      <c r="XDM443" s="9"/>
      <c r="XDN443" s="9"/>
      <c r="XDO443" s="9"/>
      <c r="XDP443" s="9"/>
      <c r="XDQ443" s="9"/>
      <c r="XDR443" s="9"/>
      <c r="XDS443" s="9"/>
      <c r="XDT443" s="9"/>
      <c r="XDU443" s="9"/>
      <c r="XDV443" s="9"/>
      <c r="XDW443" s="9"/>
      <c r="XDX443" s="9"/>
      <c r="XDY443" s="9"/>
      <c r="XDZ443" s="9"/>
      <c r="XEA443" s="9"/>
      <c r="XEB443" s="9"/>
      <c r="XEC443" s="9"/>
      <c r="XED443" s="9"/>
      <c r="XEE443" s="9"/>
      <c r="XEF443" s="9"/>
      <c r="XEG443" s="9"/>
      <c r="XEH443" s="9"/>
      <c r="XEI443" s="9"/>
      <c r="XEJ443" s="9"/>
      <c r="XEK443" s="9"/>
      <c r="XEL443" s="9"/>
      <c r="XEM443" s="9"/>
      <c r="XEN443" s="9"/>
      <c r="XEO443" s="9"/>
      <c r="XEP443" s="9"/>
      <c r="XEQ443" s="9"/>
      <c r="XER443" s="9"/>
      <c r="XES443" s="9"/>
      <c r="XET443" s="9"/>
      <c r="XEU443" s="9"/>
      <c r="XEV443" s="9"/>
      <c r="XEW443" s="9"/>
      <c r="XEX443" s="9"/>
      <c r="XEY443" s="9"/>
      <c r="XEZ443" s="9"/>
      <c r="XFA443" s="9"/>
      <c r="XFB443" s="9"/>
      <c r="XFC443" s="9"/>
      <c r="XFD443" s="9"/>
    </row>
    <row r="444" spans="1:8 16325:16384" s="3" customFormat="1" ht="19.95" customHeight="1">
      <c r="A444" s="6" t="str">
        <f t="shared" si="17"/>
        <v>040018</v>
      </c>
      <c r="B444" s="6" t="s">
        <v>22</v>
      </c>
      <c r="C444" s="6" t="s">
        <v>24</v>
      </c>
      <c r="D444" s="6" t="str">
        <f>"512523416"</f>
        <v>512523416</v>
      </c>
      <c r="E444" s="7">
        <v>79.5</v>
      </c>
      <c r="F444" s="7">
        <v>64</v>
      </c>
      <c r="G444" s="7"/>
      <c r="H444" s="7">
        <v>73.3</v>
      </c>
      <c r="XCW444" s="9"/>
      <c r="XCX444" s="9"/>
      <c r="XCY444" s="9"/>
      <c r="XCZ444" s="9"/>
      <c r="XDA444" s="9"/>
      <c r="XDB444" s="9"/>
      <c r="XDC444" s="9"/>
      <c r="XDD444" s="9"/>
      <c r="XDE444" s="9"/>
      <c r="XDF444" s="9"/>
      <c r="XDG444" s="9"/>
      <c r="XDH444" s="9"/>
      <c r="XDI444" s="9"/>
      <c r="XDJ444" s="9"/>
      <c r="XDK444" s="9"/>
      <c r="XDL444" s="9"/>
      <c r="XDM444" s="9"/>
      <c r="XDN444" s="9"/>
      <c r="XDO444" s="9"/>
      <c r="XDP444" s="9"/>
      <c r="XDQ444" s="9"/>
      <c r="XDR444" s="9"/>
      <c r="XDS444" s="9"/>
      <c r="XDT444" s="9"/>
      <c r="XDU444" s="9"/>
      <c r="XDV444" s="9"/>
      <c r="XDW444" s="9"/>
      <c r="XDX444" s="9"/>
      <c r="XDY444" s="9"/>
      <c r="XDZ444" s="9"/>
      <c r="XEA444" s="9"/>
      <c r="XEB444" s="9"/>
      <c r="XEC444" s="9"/>
      <c r="XED444" s="9"/>
      <c r="XEE444" s="9"/>
      <c r="XEF444" s="9"/>
      <c r="XEG444" s="9"/>
      <c r="XEH444" s="9"/>
      <c r="XEI444" s="9"/>
      <c r="XEJ444" s="9"/>
      <c r="XEK444" s="9"/>
      <c r="XEL444" s="9"/>
      <c r="XEM444" s="9"/>
      <c r="XEN444" s="9"/>
      <c r="XEO444" s="9"/>
      <c r="XEP444" s="9"/>
      <c r="XEQ444" s="9"/>
      <c r="XER444" s="9"/>
      <c r="XES444" s="9"/>
      <c r="XET444" s="9"/>
      <c r="XEU444" s="9"/>
      <c r="XEV444" s="9"/>
      <c r="XEW444" s="9"/>
      <c r="XEX444" s="9"/>
      <c r="XEY444" s="9"/>
      <c r="XEZ444" s="9"/>
      <c r="XFA444" s="9"/>
      <c r="XFB444" s="9"/>
      <c r="XFC444" s="9"/>
      <c r="XFD444" s="9"/>
    </row>
    <row r="445" spans="1:8 16325:16384" s="3" customFormat="1" ht="19.95" customHeight="1">
      <c r="A445" s="6" t="str">
        <f t="shared" si="17"/>
        <v>040018</v>
      </c>
      <c r="B445" s="6" t="s">
        <v>22</v>
      </c>
      <c r="C445" s="6" t="s">
        <v>24</v>
      </c>
      <c r="D445" s="6" t="str">
        <f>"512523413"</f>
        <v>512523413</v>
      </c>
      <c r="E445" s="7">
        <v>0</v>
      </c>
      <c r="F445" s="7">
        <v>0</v>
      </c>
      <c r="G445" s="7"/>
      <c r="H445" s="7">
        <v>0</v>
      </c>
      <c r="XCW445" s="9"/>
      <c r="XCX445" s="9"/>
      <c r="XCY445" s="9"/>
      <c r="XCZ445" s="9"/>
      <c r="XDA445" s="9"/>
      <c r="XDB445" s="9"/>
      <c r="XDC445" s="9"/>
      <c r="XDD445" s="9"/>
      <c r="XDE445" s="9"/>
      <c r="XDF445" s="9"/>
      <c r="XDG445" s="9"/>
      <c r="XDH445" s="9"/>
      <c r="XDI445" s="9"/>
      <c r="XDJ445" s="9"/>
      <c r="XDK445" s="9"/>
      <c r="XDL445" s="9"/>
      <c r="XDM445" s="9"/>
      <c r="XDN445" s="9"/>
      <c r="XDO445" s="9"/>
      <c r="XDP445" s="9"/>
      <c r="XDQ445" s="9"/>
      <c r="XDR445" s="9"/>
      <c r="XDS445" s="9"/>
      <c r="XDT445" s="9"/>
      <c r="XDU445" s="9"/>
      <c r="XDV445" s="9"/>
      <c r="XDW445" s="9"/>
      <c r="XDX445" s="9"/>
      <c r="XDY445" s="9"/>
      <c r="XDZ445" s="9"/>
      <c r="XEA445" s="9"/>
      <c r="XEB445" s="9"/>
      <c r="XEC445" s="9"/>
      <c r="XED445" s="9"/>
      <c r="XEE445" s="9"/>
      <c r="XEF445" s="9"/>
      <c r="XEG445" s="9"/>
      <c r="XEH445" s="9"/>
      <c r="XEI445" s="9"/>
      <c r="XEJ445" s="9"/>
      <c r="XEK445" s="9"/>
      <c r="XEL445" s="9"/>
      <c r="XEM445" s="9"/>
      <c r="XEN445" s="9"/>
      <c r="XEO445" s="9"/>
      <c r="XEP445" s="9"/>
      <c r="XEQ445" s="9"/>
      <c r="XER445" s="9"/>
      <c r="XES445" s="9"/>
      <c r="XET445" s="9"/>
      <c r="XEU445" s="9"/>
      <c r="XEV445" s="9"/>
      <c r="XEW445" s="9"/>
      <c r="XEX445" s="9"/>
      <c r="XEY445" s="9"/>
      <c r="XEZ445" s="9"/>
      <c r="XFA445" s="9"/>
      <c r="XFB445" s="9"/>
      <c r="XFC445" s="9"/>
      <c r="XFD445" s="9"/>
    </row>
    <row r="446" spans="1:8 16325:16384" s="3" customFormat="1" ht="19.95" customHeight="1">
      <c r="A446" s="6" t="str">
        <f t="shared" si="17"/>
        <v>040018</v>
      </c>
      <c r="B446" s="6" t="s">
        <v>22</v>
      </c>
      <c r="C446" s="6" t="s">
        <v>24</v>
      </c>
      <c r="D446" s="6" t="str">
        <f>"512523414"</f>
        <v>512523414</v>
      </c>
      <c r="E446" s="7">
        <v>86.5</v>
      </c>
      <c r="F446" s="7">
        <v>57</v>
      </c>
      <c r="G446" s="7"/>
      <c r="H446" s="7">
        <v>74.7</v>
      </c>
      <c r="XCW446" s="9"/>
      <c r="XCX446" s="9"/>
      <c r="XCY446" s="9"/>
      <c r="XCZ446" s="9"/>
      <c r="XDA446" s="9"/>
      <c r="XDB446" s="9"/>
      <c r="XDC446" s="9"/>
      <c r="XDD446" s="9"/>
      <c r="XDE446" s="9"/>
      <c r="XDF446" s="9"/>
      <c r="XDG446" s="9"/>
      <c r="XDH446" s="9"/>
      <c r="XDI446" s="9"/>
      <c r="XDJ446" s="9"/>
      <c r="XDK446" s="9"/>
      <c r="XDL446" s="9"/>
      <c r="XDM446" s="9"/>
      <c r="XDN446" s="9"/>
      <c r="XDO446" s="9"/>
      <c r="XDP446" s="9"/>
      <c r="XDQ446" s="9"/>
      <c r="XDR446" s="9"/>
      <c r="XDS446" s="9"/>
      <c r="XDT446" s="9"/>
      <c r="XDU446" s="9"/>
      <c r="XDV446" s="9"/>
      <c r="XDW446" s="9"/>
      <c r="XDX446" s="9"/>
      <c r="XDY446" s="9"/>
      <c r="XDZ446" s="9"/>
      <c r="XEA446" s="9"/>
      <c r="XEB446" s="9"/>
      <c r="XEC446" s="9"/>
      <c r="XED446" s="9"/>
      <c r="XEE446" s="9"/>
      <c r="XEF446" s="9"/>
      <c r="XEG446" s="9"/>
      <c r="XEH446" s="9"/>
      <c r="XEI446" s="9"/>
      <c r="XEJ446" s="9"/>
      <c r="XEK446" s="9"/>
      <c r="XEL446" s="9"/>
      <c r="XEM446" s="9"/>
      <c r="XEN446" s="9"/>
      <c r="XEO446" s="9"/>
      <c r="XEP446" s="9"/>
      <c r="XEQ446" s="9"/>
      <c r="XER446" s="9"/>
      <c r="XES446" s="9"/>
      <c r="XET446" s="9"/>
      <c r="XEU446" s="9"/>
      <c r="XEV446" s="9"/>
      <c r="XEW446" s="9"/>
      <c r="XEX446" s="9"/>
      <c r="XEY446" s="9"/>
      <c r="XEZ446" s="9"/>
      <c r="XFA446" s="9"/>
      <c r="XFB446" s="9"/>
      <c r="XFC446" s="9"/>
      <c r="XFD446" s="9"/>
    </row>
    <row r="447" spans="1:8 16325:16384" s="3" customFormat="1" ht="19.95" customHeight="1">
      <c r="A447" s="6" t="str">
        <f t="shared" si="17"/>
        <v>040018</v>
      </c>
      <c r="B447" s="6" t="s">
        <v>22</v>
      </c>
      <c r="C447" s="6" t="s">
        <v>24</v>
      </c>
      <c r="D447" s="6" t="str">
        <f>"512523411"</f>
        <v>512523411</v>
      </c>
      <c r="E447" s="7">
        <v>0</v>
      </c>
      <c r="F447" s="7">
        <v>0</v>
      </c>
      <c r="G447" s="7"/>
      <c r="H447" s="7">
        <v>0</v>
      </c>
      <c r="XCW447" s="9"/>
      <c r="XCX447" s="9"/>
      <c r="XCY447" s="9"/>
      <c r="XCZ447" s="9"/>
      <c r="XDA447" s="9"/>
      <c r="XDB447" s="9"/>
      <c r="XDC447" s="9"/>
      <c r="XDD447" s="9"/>
      <c r="XDE447" s="9"/>
      <c r="XDF447" s="9"/>
      <c r="XDG447" s="9"/>
      <c r="XDH447" s="9"/>
      <c r="XDI447" s="9"/>
      <c r="XDJ447" s="9"/>
      <c r="XDK447" s="9"/>
      <c r="XDL447" s="9"/>
      <c r="XDM447" s="9"/>
      <c r="XDN447" s="9"/>
      <c r="XDO447" s="9"/>
      <c r="XDP447" s="9"/>
      <c r="XDQ447" s="9"/>
      <c r="XDR447" s="9"/>
      <c r="XDS447" s="9"/>
      <c r="XDT447" s="9"/>
      <c r="XDU447" s="9"/>
      <c r="XDV447" s="9"/>
      <c r="XDW447" s="9"/>
      <c r="XDX447" s="9"/>
      <c r="XDY447" s="9"/>
      <c r="XDZ447" s="9"/>
      <c r="XEA447" s="9"/>
      <c r="XEB447" s="9"/>
      <c r="XEC447" s="9"/>
      <c r="XED447" s="9"/>
      <c r="XEE447" s="9"/>
      <c r="XEF447" s="9"/>
      <c r="XEG447" s="9"/>
      <c r="XEH447" s="9"/>
      <c r="XEI447" s="9"/>
      <c r="XEJ447" s="9"/>
      <c r="XEK447" s="9"/>
      <c r="XEL447" s="9"/>
      <c r="XEM447" s="9"/>
      <c r="XEN447" s="9"/>
      <c r="XEO447" s="9"/>
      <c r="XEP447" s="9"/>
      <c r="XEQ447" s="9"/>
      <c r="XER447" s="9"/>
      <c r="XES447" s="9"/>
      <c r="XET447" s="9"/>
      <c r="XEU447" s="9"/>
      <c r="XEV447" s="9"/>
      <c r="XEW447" s="9"/>
      <c r="XEX447" s="9"/>
      <c r="XEY447" s="9"/>
      <c r="XEZ447" s="9"/>
      <c r="XFA447" s="9"/>
      <c r="XFB447" s="9"/>
      <c r="XFC447" s="9"/>
      <c r="XFD447" s="9"/>
    </row>
    <row r="448" spans="1:8 16325:16384" s="3" customFormat="1" ht="19.95" customHeight="1">
      <c r="A448" s="6" t="str">
        <f t="shared" si="17"/>
        <v>040018</v>
      </c>
      <c r="B448" s="6" t="s">
        <v>22</v>
      </c>
      <c r="C448" s="6" t="s">
        <v>24</v>
      </c>
      <c r="D448" s="6" t="str">
        <f>"512523421"</f>
        <v>512523421</v>
      </c>
      <c r="E448" s="7">
        <v>55</v>
      </c>
      <c r="F448" s="7">
        <v>42.5</v>
      </c>
      <c r="G448" s="7"/>
      <c r="H448" s="7">
        <v>50</v>
      </c>
      <c r="XCW448" s="9"/>
      <c r="XCX448" s="9"/>
      <c r="XCY448" s="9"/>
      <c r="XCZ448" s="9"/>
      <c r="XDA448" s="9"/>
      <c r="XDB448" s="9"/>
      <c r="XDC448" s="9"/>
      <c r="XDD448" s="9"/>
      <c r="XDE448" s="9"/>
      <c r="XDF448" s="9"/>
      <c r="XDG448" s="9"/>
      <c r="XDH448" s="9"/>
      <c r="XDI448" s="9"/>
      <c r="XDJ448" s="9"/>
      <c r="XDK448" s="9"/>
      <c r="XDL448" s="9"/>
      <c r="XDM448" s="9"/>
      <c r="XDN448" s="9"/>
      <c r="XDO448" s="9"/>
      <c r="XDP448" s="9"/>
      <c r="XDQ448" s="9"/>
      <c r="XDR448" s="9"/>
      <c r="XDS448" s="9"/>
      <c r="XDT448" s="9"/>
      <c r="XDU448" s="9"/>
      <c r="XDV448" s="9"/>
      <c r="XDW448" s="9"/>
      <c r="XDX448" s="9"/>
      <c r="XDY448" s="9"/>
      <c r="XDZ448" s="9"/>
      <c r="XEA448" s="9"/>
      <c r="XEB448" s="9"/>
      <c r="XEC448" s="9"/>
      <c r="XED448" s="9"/>
      <c r="XEE448" s="9"/>
      <c r="XEF448" s="9"/>
      <c r="XEG448" s="9"/>
      <c r="XEH448" s="9"/>
      <c r="XEI448" s="9"/>
      <c r="XEJ448" s="9"/>
      <c r="XEK448" s="9"/>
      <c r="XEL448" s="9"/>
      <c r="XEM448" s="9"/>
      <c r="XEN448" s="9"/>
      <c r="XEO448" s="9"/>
      <c r="XEP448" s="9"/>
      <c r="XEQ448" s="9"/>
      <c r="XER448" s="9"/>
      <c r="XES448" s="9"/>
      <c r="XET448" s="9"/>
      <c r="XEU448" s="9"/>
      <c r="XEV448" s="9"/>
      <c r="XEW448" s="9"/>
      <c r="XEX448" s="9"/>
      <c r="XEY448" s="9"/>
      <c r="XEZ448" s="9"/>
      <c r="XFA448" s="9"/>
      <c r="XFB448" s="9"/>
      <c r="XFC448" s="9"/>
      <c r="XFD448" s="9"/>
    </row>
    <row r="449" spans="1:8 16325:16384" s="3" customFormat="1" ht="19.95" customHeight="1">
      <c r="A449" s="6" t="str">
        <f t="shared" si="17"/>
        <v>040018</v>
      </c>
      <c r="B449" s="6" t="s">
        <v>22</v>
      </c>
      <c r="C449" s="6" t="s">
        <v>24</v>
      </c>
      <c r="D449" s="6" t="str">
        <f>"512523426"</f>
        <v>512523426</v>
      </c>
      <c r="E449" s="7">
        <v>73.5</v>
      </c>
      <c r="F449" s="7">
        <v>77</v>
      </c>
      <c r="G449" s="7"/>
      <c r="H449" s="7">
        <v>74.900000000000006</v>
      </c>
      <c r="XCW449" s="9"/>
      <c r="XCX449" s="9"/>
      <c r="XCY449" s="9"/>
      <c r="XCZ449" s="9"/>
      <c r="XDA449" s="9"/>
      <c r="XDB449" s="9"/>
      <c r="XDC449" s="9"/>
      <c r="XDD449" s="9"/>
      <c r="XDE449" s="9"/>
      <c r="XDF449" s="9"/>
      <c r="XDG449" s="9"/>
      <c r="XDH449" s="9"/>
      <c r="XDI449" s="9"/>
      <c r="XDJ449" s="9"/>
      <c r="XDK449" s="9"/>
      <c r="XDL449" s="9"/>
      <c r="XDM449" s="9"/>
      <c r="XDN449" s="9"/>
      <c r="XDO449" s="9"/>
      <c r="XDP449" s="9"/>
      <c r="XDQ449" s="9"/>
      <c r="XDR449" s="9"/>
      <c r="XDS449" s="9"/>
      <c r="XDT449" s="9"/>
      <c r="XDU449" s="9"/>
      <c r="XDV449" s="9"/>
      <c r="XDW449" s="9"/>
      <c r="XDX449" s="9"/>
      <c r="XDY449" s="9"/>
      <c r="XDZ449" s="9"/>
      <c r="XEA449" s="9"/>
      <c r="XEB449" s="9"/>
      <c r="XEC449" s="9"/>
      <c r="XED449" s="9"/>
      <c r="XEE449" s="9"/>
      <c r="XEF449" s="9"/>
      <c r="XEG449" s="9"/>
      <c r="XEH449" s="9"/>
      <c r="XEI449" s="9"/>
      <c r="XEJ449" s="9"/>
      <c r="XEK449" s="9"/>
      <c r="XEL449" s="9"/>
      <c r="XEM449" s="9"/>
      <c r="XEN449" s="9"/>
      <c r="XEO449" s="9"/>
      <c r="XEP449" s="9"/>
      <c r="XEQ449" s="9"/>
      <c r="XER449" s="9"/>
      <c r="XES449" s="9"/>
      <c r="XET449" s="9"/>
      <c r="XEU449" s="9"/>
      <c r="XEV449" s="9"/>
      <c r="XEW449" s="9"/>
      <c r="XEX449" s="9"/>
      <c r="XEY449" s="9"/>
      <c r="XEZ449" s="9"/>
      <c r="XFA449" s="9"/>
      <c r="XFB449" s="9"/>
      <c r="XFC449" s="9"/>
      <c r="XFD449" s="9"/>
    </row>
    <row r="450" spans="1:8 16325:16384" s="3" customFormat="1" ht="19.95" customHeight="1">
      <c r="A450" s="6" t="str">
        <f t="shared" si="17"/>
        <v>040018</v>
      </c>
      <c r="B450" s="6" t="s">
        <v>22</v>
      </c>
      <c r="C450" s="6" t="s">
        <v>24</v>
      </c>
      <c r="D450" s="6" t="str">
        <f>"512523418"</f>
        <v>512523418</v>
      </c>
      <c r="E450" s="7">
        <v>84</v>
      </c>
      <c r="F450" s="7">
        <v>74.5</v>
      </c>
      <c r="G450" s="7"/>
      <c r="H450" s="7">
        <v>80.2</v>
      </c>
      <c r="XCW450" s="9"/>
      <c r="XCX450" s="9"/>
      <c r="XCY450" s="9"/>
      <c r="XCZ450" s="9"/>
      <c r="XDA450" s="9"/>
      <c r="XDB450" s="9"/>
      <c r="XDC450" s="9"/>
      <c r="XDD450" s="9"/>
      <c r="XDE450" s="9"/>
      <c r="XDF450" s="9"/>
      <c r="XDG450" s="9"/>
      <c r="XDH450" s="9"/>
      <c r="XDI450" s="9"/>
      <c r="XDJ450" s="9"/>
      <c r="XDK450" s="9"/>
      <c r="XDL450" s="9"/>
      <c r="XDM450" s="9"/>
      <c r="XDN450" s="9"/>
      <c r="XDO450" s="9"/>
      <c r="XDP450" s="9"/>
      <c r="XDQ450" s="9"/>
      <c r="XDR450" s="9"/>
      <c r="XDS450" s="9"/>
      <c r="XDT450" s="9"/>
      <c r="XDU450" s="9"/>
      <c r="XDV450" s="9"/>
      <c r="XDW450" s="9"/>
      <c r="XDX450" s="9"/>
      <c r="XDY450" s="9"/>
      <c r="XDZ450" s="9"/>
      <c r="XEA450" s="9"/>
      <c r="XEB450" s="9"/>
      <c r="XEC450" s="9"/>
      <c r="XED450" s="9"/>
      <c r="XEE450" s="9"/>
      <c r="XEF450" s="9"/>
      <c r="XEG450" s="9"/>
      <c r="XEH450" s="9"/>
      <c r="XEI450" s="9"/>
      <c r="XEJ450" s="9"/>
      <c r="XEK450" s="9"/>
      <c r="XEL450" s="9"/>
      <c r="XEM450" s="9"/>
      <c r="XEN450" s="9"/>
      <c r="XEO450" s="9"/>
      <c r="XEP450" s="9"/>
      <c r="XEQ450" s="9"/>
      <c r="XER450" s="9"/>
      <c r="XES450" s="9"/>
      <c r="XET450" s="9"/>
      <c r="XEU450" s="9"/>
      <c r="XEV450" s="9"/>
      <c r="XEW450" s="9"/>
      <c r="XEX450" s="9"/>
      <c r="XEY450" s="9"/>
      <c r="XEZ450" s="9"/>
      <c r="XFA450" s="9"/>
      <c r="XFB450" s="9"/>
      <c r="XFC450" s="9"/>
      <c r="XFD450" s="9"/>
    </row>
    <row r="451" spans="1:8 16325:16384" s="3" customFormat="1" ht="19.95" customHeight="1">
      <c r="A451" s="6" t="str">
        <f t="shared" si="17"/>
        <v>040018</v>
      </c>
      <c r="B451" s="6" t="s">
        <v>22</v>
      </c>
      <c r="C451" s="6" t="s">
        <v>24</v>
      </c>
      <c r="D451" s="6" t="str">
        <f>"512523425"</f>
        <v>512523425</v>
      </c>
      <c r="E451" s="7">
        <v>62</v>
      </c>
      <c r="F451" s="7">
        <v>63.5</v>
      </c>
      <c r="G451" s="7"/>
      <c r="H451" s="7">
        <v>62.6</v>
      </c>
      <c r="XCW451" s="9"/>
      <c r="XCX451" s="9"/>
      <c r="XCY451" s="9"/>
      <c r="XCZ451" s="9"/>
      <c r="XDA451" s="9"/>
      <c r="XDB451" s="9"/>
      <c r="XDC451" s="9"/>
      <c r="XDD451" s="9"/>
      <c r="XDE451" s="9"/>
      <c r="XDF451" s="9"/>
      <c r="XDG451" s="9"/>
      <c r="XDH451" s="9"/>
      <c r="XDI451" s="9"/>
      <c r="XDJ451" s="9"/>
      <c r="XDK451" s="9"/>
      <c r="XDL451" s="9"/>
      <c r="XDM451" s="9"/>
      <c r="XDN451" s="9"/>
      <c r="XDO451" s="9"/>
      <c r="XDP451" s="9"/>
      <c r="XDQ451" s="9"/>
      <c r="XDR451" s="9"/>
      <c r="XDS451" s="9"/>
      <c r="XDT451" s="9"/>
      <c r="XDU451" s="9"/>
      <c r="XDV451" s="9"/>
      <c r="XDW451" s="9"/>
      <c r="XDX451" s="9"/>
      <c r="XDY451" s="9"/>
      <c r="XDZ451" s="9"/>
      <c r="XEA451" s="9"/>
      <c r="XEB451" s="9"/>
      <c r="XEC451" s="9"/>
      <c r="XED451" s="9"/>
      <c r="XEE451" s="9"/>
      <c r="XEF451" s="9"/>
      <c r="XEG451" s="9"/>
      <c r="XEH451" s="9"/>
      <c r="XEI451" s="9"/>
      <c r="XEJ451" s="9"/>
      <c r="XEK451" s="9"/>
      <c r="XEL451" s="9"/>
      <c r="XEM451" s="9"/>
      <c r="XEN451" s="9"/>
      <c r="XEO451" s="9"/>
      <c r="XEP451" s="9"/>
      <c r="XEQ451" s="9"/>
      <c r="XER451" s="9"/>
      <c r="XES451" s="9"/>
      <c r="XET451" s="9"/>
      <c r="XEU451" s="9"/>
      <c r="XEV451" s="9"/>
      <c r="XEW451" s="9"/>
      <c r="XEX451" s="9"/>
      <c r="XEY451" s="9"/>
      <c r="XEZ451" s="9"/>
      <c r="XFA451" s="9"/>
      <c r="XFB451" s="9"/>
      <c r="XFC451" s="9"/>
      <c r="XFD451" s="9"/>
    </row>
    <row r="452" spans="1:8 16325:16384" s="3" customFormat="1" ht="19.95" customHeight="1">
      <c r="A452" s="6" t="str">
        <f t="shared" si="17"/>
        <v>040018</v>
      </c>
      <c r="B452" s="6" t="s">
        <v>22</v>
      </c>
      <c r="C452" s="6" t="s">
        <v>24</v>
      </c>
      <c r="D452" s="6" t="str">
        <f>"512523423"</f>
        <v>512523423</v>
      </c>
      <c r="E452" s="7">
        <v>69</v>
      </c>
      <c r="F452" s="7">
        <v>68.5</v>
      </c>
      <c r="G452" s="7"/>
      <c r="H452" s="7">
        <v>68.8</v>
      </c>
      <c r="XCW452" s="9"/>
      <c r="XCX452" s="9"/>
      <c r="XCY452" s="9"/>
      <c r="XCZ452" s="9"/>
      <c r="XDA452" s="9"/>
      <c r="XDB452" s="9"/>
      <c r="XDC452" s="9"/>
      <c r="XDD452" s="9"/>
      <c r="XDE452" s="9"/>
      <c r="XDF452" s="9"/>
      <c r="XDG452" s="9"/>
      <c r="XDH452" s="9"/>
      <c r="XDI452" s="9"/>
      <c r="XDJ452" s="9"/>
      <c r="XDK452" s="9"/>
      <c r="XDL452" s="9"/>
      <c r="XDM452" s="9"/>
      <c r="XDN452" s="9"/>
      <c r="XDO452" s="9"/>
      <c r="XDP452" s="9"/>
      <c r="XDQ452" s="9"/>
      <c r="XDR452" s="9"/>
      <c r="XDS452" s="9"/>
      <c r="XDT452" s="9"/>
      <c r="XDU452" s="9"/>
      <c r="XDV452" s="9"/>
      <c r="XDW452" s="9"/>
      <c r="XDX452" s="9"/>
      <c r="XDY452" s="9"/>
      <c r="XDZ452" s="9"/>
      <c r="XEA452" s="9"/>
      <c r="XEB452" s="9"/>
      <c r="XEC452" s="9"/>
      <c r="XED452" s="9"/>
      <c r="XEE452" s="9"/>
      <c r="XEF452" s="9"/>
      <c r="XEG452" s="9"/>
      <c r="XEH452" s="9"/>
      <c r="XEI452" s="9"/>
      <c r="XEJ452" s="9"/>
      <c r="XEK452" s="9"/>
      <c r="XEL452" s="9"/>
      <c r="XEM452" s="9"/>
      <c r="XEN452" s="9"/>
      <c r="XEO452" s="9"/>
      <c r="XEP452" s="9"/>
      <c r="XEQ452" s="9"/>
      <c r="XER452" s="9"/>
      <c r="XES452" s="9"/>
      <c r="XET452" s="9"/>
      <c r="XEU452" s="9"/>
      <c r="XEV452" s="9"/>
      <c r="XEW452" s="9"/>
      <c r="XEX452" s="9"/>
      <c r="XEY452" s="9"/>
      <c r="XEZ452" s="9"/>
      <c r="XFA452" s="9"/>
      <c r="XFB452" s="9"/>
      <c r="XFC452" s="9"/>
      <c r="XFD452" s="9"/>
    </row>
    <row r="453" spans="1:8 16325:16384" s="3" customFormat="1" ht="19.95" customHeight="1">
      <c r="A453" s="6" t="str">
        <f t="shared" si="17"/>
        <v>040018</v>
      </c>
      <c r="B453" s="6" t="s">
        <v>22</v>
      </c>
      <c r="C453" s="6" t="s">
        <v>24</v>
      </c>
      <c r="D453" s="6" t="str">
        <f>"512523424"</f>
        <v>512523424</v>
      </c>
      <c r="E453" s="7">
        <v>69.5</v>
      </c>
      <c r="F453" s="7">
        <v>67.5</v>
      </c>
      <c r="G453" s="7"/>
      <c r="H453" s="7">
        <v>68.7</v>
      </c>
      <c r="XCW453" s="9"/>
      <c r="XCX453" s="9"/>
      <c r="XCY453" s="9"/>
      <c r="XCZ453" s="9"/>
      <c r="XDA453" s="9"/>
      <c r="XDB453" s="9"/>
      <c r="XDC453" s="9"/>
      <c r="XDD453" s="9"/>
      <c r="XDE453" s="9"/>
      <c r="XDF453" s="9"/>
      <c r="XDG453" s="9"/>
      <c r="XDH453" s="9"/>
      <c r="XDI453" s="9"/>
      <c r="XDJ453" s="9"/>
      <c r="XDK453" s="9"/>
      <c r="XDL453" s="9"/>
      <c r="XDM453" s="9"/>
      <c r="XDN453" s="9"/>
      <c r="XDO453" s="9"/>
      <c r="XDP453" s="9"/>
      <c r="XDQ453" s="9"/>
      <c r="XDR453" s="9"/>
      <c r="XDS453" s="9"/>
      <c r="XDT453" s="9"/>
      <c r="XDU453" s="9"/>
      <c r="XDV453" s="9"/>
      <c r="XDW453" s="9"/>
      <c r="XDX453" s="9"/>
      <c r="XDY453" s="9"/>
      <c r="XDZ453" s="9"/>
      <c r="XEA453" s="9"/>
      <c r="XEB453" s="9"/>
      <c r="XEC453" s="9"/>
      <c r="XED453" s="9"/>
      <c r="XEE453" s="9"/>
      <c r="XEF453" s="9"/>
      <c r="XEG453" s="9"/>
      <c r="XEH453" s="9"/>
      <c r="XEI453" s="9"/>
      <c r="XEJ453" s="9"/>
      <c r="XEK453" s="9"/>
      <c r="XEL453" s="9"/>
      <c r="XEM453" s="9"/>
      <c r="XEN453" s="9"/>
      <c r="XEO453" s="9"/>
      <c r="XEP453" s="9"/>
      <c r="XEQ453" s="9"/>
      <c r="XER453" s="9"/>
      <c r="XES453" s="9"/>
      <c r="XET453" s="9"/>
      <c r="XEU453" s="9"/>
      <c r="XEV453" s="9"/>
      <c r="XEW453" s="9"/>
      <c r="XEX453" s="9"/>
      <c r="XEY453" s="9"/>
      <c r="XEZ453" s="9"/>
      <c r="XFA453" s="9"/>
      <c r="XFB453" s="9"/>
      <c r="XFC453" s="9"/>
      <c r="XFD453" s="9"/>
    </row>
    <row r="454" spans="1:8 16325:16384" s="3" customFormat="1" ht="19.95" customHeight="1">
      <c r="A454" s="6" t="str">
        <f t="shared" ref="A454:A484" si="18">"040019"</f>
        <v>040019</v>
      </c>
      <c r="B454" s="6" t="s">
        <v>25</v>
      </c>
      <c r="C454" s="6" t="s">
        <v>24</v>
      </c>
      <c r="D454" s="6" t="str">
        <f>"512627218"</f>
        <v>512627218</v>
      </c>
      <c r="E454" s="7">
        <v>98.5</v>
      </c>
      <c r="F454" s="7">
        <v>84.5</v>
      </c>
      <c r="G454" s="7"/>
      <c r="H454" s="7">
        <v>92.9</v>
      </c>
      <c r="XCW454" s="9"/>
      <c r="XCX454" s="9"/>
      <c r="XCY454" s="9"/>
      <c r="XCZ454" s="9"/>
      <c r="XDA454" s="9"/>
      <c r="XDB454" s="9"/>
      <c r="XDC454" s="9"/>
      <c r="XDD454" s="9"/>
      <c r="XDE454" s="9"/>
      <c r="XDF454" s="9"/>
      <c r="XDG454" s="9"/>
      <c r="XDH454" s="9"/>
      <c r="XDI454" s="9"/>
      <c r="XDJ454" s="9"/>
      <c r="XDK454" s="9"/>
      <c r="XDL454" s="9"/>
      <c r="XDM454" s="9"/>
      <c r="XDN454" s="9"/>
      <c r="XDO454" s="9"/>
      <c r="XDP454" s="9"/>
      <c r="XDQ454" s="9"/>
      <c r="XDR454" s="9"/>
      <c r="XDS454" s="9"/>
      <c r="XDT454" s="9"/>
      <c r="XDU454" s="9"/>
      <c r="XDV454" s="9"/>
      <c r="XDW454" s="9"/>
      <c r="XDX454" s="9"/>
      <c r="XDY454" s="9"/>
      <c r="XDZ454" s="9"/>
      <c r="XEA454" s="9"/>
      <c r="XEB454" s="9"/>
      <c r="XEC454" s="9"/>
      <c r="XED454" s="9"/>
      <c r="XEE454" s="9"/>
      <c r="XEF454" s="9"/>
      <c r="XEG454" s="9"/>
      <c r="XEH454" s="9"/>
      <c r="XEI454" s="9"/>
      <c r="XEJ454" s="9"/>
      <c r="XEK454" s="9"/>
      <c r="XEL454" s="9"/>
      <c r="XEM454" s="9"/>
      <c r="XEN454" s="9"/>
      <c r="XEO454" s="9"/>
      <c r="XEP454" s="9"/>
      <c r="XEQ454" s="9"/>
      <c r="XER454" s="9"/>
      <c r="XES454" s="9"/>
      <c r="XET454" s="9"/>
      <c r="XEU454" s="9"/>
      <c r="XEV454" s="9"/>
      <c r="XEW454" s="9"/>
      <c r="XEX454" s="9"/>
      <c r="XEY454" s="9"/>
      <c r="XEZ454" s="9"/>
      <c r="XFA454" s="9"/>
      <c r="XFB454" s="9"/>
      <c r="XFC454" s="9"/>
      <c r="XFD454" s="9"/>
    </row>
    <row r="455" spans="1:8 16325:16384" s="3" customFormat="1" ht="19.95" customHeight="1">
      <c r="A455" s="6" t="str">
        <f t="shared" si="18"/>
        <v>040019</v>
      </c>
      <c r="B455" s="6" t="s">
        <v>25</v>
      </c>
      <c r="C455" s="6" t="s">
        <v>24</v>
      </c>
      <c r="D455" s="6" t="str">
        <f>"512627304"</f>
        <v>512627304</v>
      </c>
      <c r="E455" s="7">
        <v>101.5</v>
      </c>
      <c r="F455" s="7">
        <v>72</v>
      </c>
      <c r="G455" s="7"/>
      <c r="H455" s="7">
        <v>89.7</v>
      </c>
      <c r="XCW455" s="9"/>
      <c r="XCX455" s="9"/>
      <c r="XCY455" s="9"/>
      <c r="XCZ455" s="9"/>
      <c r="XDA455" s="9"/>
      <c r="XDB455" s="9"/>
      <c r="XDC455" s="9"/>
      <c r="XDD455" s="9"/>
      <c r="XDE455" s="9"/>
      <c r="XDF455" s="9"/>
      <c r="XDG455" s="9"/>
      <c r="XDH455" s="9"/>
      <c r="XDI455" s="9"/>
      <c r="XDJ455" s="9"/>
      <c r="XDK455" s="9"/>
      <c r="XDL455" s="9"/>
      <c r="XDM455" s="9"/>
      <c r="XDN455" s="9"/>
      <c r="XDO455" s="9"/>
      <c r="XDP455" s="9"/>
      <c r="XDQ455" s="9"/>
      <c r="XDR455" s="9"/>
      <c r="XDS455" s="9"/>
      <c r="XDT455" s="9"/>
      <c r="XDU455" s="9"/>
      <c r="XDV455" s="9"/>
      <c r="XDW455" s="9"/>
      <c r="XDX455" s="9"/>
      <c r="XDY455" s="9"/>
      <c r="XDZ455" s="9"/>
      <c r="XEA455" s="9"/>
      <c r="XEB455" s="9"/>
      <c r="XEC455" s="9"/>
      <c r="XED455" s="9"/>
      <c r="XEE455" s="9"/>
      <c r="XEF455" s="9"/>
      <c r="XEG455" s="9"/>
      <c r="XEH455" s="9"/>
      <c r="XEI455" s="9"/>
      <c r="XEJ455" s="9"/>
      <c r="XEK455" s="9"/>
      <c r="XEL455" s="9"/>
      <c r="XEM455" s="9"/>
      <c r="XEN455" s="9"/>
      <c r="XEO455" s="9"/>
      <c r="XEP455" s="9"/>
      <c r="XEQ455" s="9"/>
      <c r="XER455" s="9"/>
      <c r="XES455" s="9"/>
      <c r="XET455" s="9"/>
      <c r="XEU455" s="9"/>
      <c r="XEV455" s="9"/>
      <c r="XEW455" s="9"/>
      <c r="XEX455" s="9"/>
      <c r="XEY455" s="9"/>
      <c r="XEZ455" s="9"/>
      <c r="XFA455" s="9"/>
      <c r="XFB455" s="9"/>
      <c r="XFC455" s="9"/>
      <c r="XFD455" s="9"/>
    </row>
    <row r="456" spans="1:8 16325:16384" s="3" customFormat="1" ht="19.95" customHeight="1">
      <c r="A456" s="6" t="str">
        <f t="shared" si="18"/>
        <v>040019</v>
      </c>
      <c r="B456" s="6" t="s">
        <v>25</v>
      </c>
      <c r="C456" s="6" t="s">
        <v>24</v>
      </c>
      <c r="D456" s="6" t="str">
        <f>"512627306"</f>
        <v>512627306</v>
      </c>
      <c r="E456" s="7">
        <v>74</v>
      </c>
      <c r="F456" s="7">
        <v>56</v>
      </c>
      <c r="G456" s="7"/>
      <c r="H456" s="7">
        <v>66.8</v>
      </c>
      <c r="XCW456" s="9"/>
      <c r="XCX456" s="9"/>
      <c r="XCY456" s="9"/>
      <c r="XCZ456" s="9"/>
      <c r="XDA456" s="9"/>
      <c r="XDB456" s="9"/>
      <c r="XDC456" s="9"/>
      <c r="XDD456" s="9"/>
      <c r="XDE456" s="9"/>
      <c r="XDF456" s="9"/>
      <c r="XDG456" s="9"/>
      <c r="XDH456" s="9"/>
      <c r="XDI456" s="9"/>
      <c r="XDJ456" s="9"/>
      <c r="XDK456" s="9"/>
      <c r="XDL456" s="9"/>
      <c r="XDM456" s="9"/>
      <c r="XDN456" s="9"/>
      <c r="XDO456" s="9"/>
      <c r="XDP456" s="9"/>
      <c r="XDQ456" s="9"/>
      <c r="XDR456" s="9"/>
      <c r="XDS456" s="9"/>
      <c r="XDT456" s="9"/>
      <c r="XDU456" s="9"/>
      <c r="XDV456" s="9"/>
      <c r="XDW456" s="9"/>
      <c r="XDX456" s="9"/>
      <c r="XDY456" s="9"/>
      <c r="XDZ456" s="9"/>
      <c r="XEA456" s="9"/>
      <c r="XEB456" s="9"/>
      <c r="XEC456" s="9"/>
      <c r="XED456" s="9"/>
      <c r="XEE456" s="9"/>
      <c r="XEF456" s="9"/>
      <c r="XEG456" s="9"/>
      <c r="XEH456" s="9"/>
      <c r="XEI456" s="9"/>
      <c r="XEJ456" s="9"/>
      <c r="XEK456" s="9"/>
      <c r="XEL456" s="9"/>
      <c r="XEM456" s="9"/>
      <c r="XEN456" s="9"/>
      <c r="XEO456" s="9"/>
      <c r="XEP456" s="9"/>
      <c r="XEQ456" s="9"/>
      <c r="XER456" s="9"/>
      <c r="XES456" s="9"/>
      <c r="XET456" s="9"/>
      <c r="XEU456" s="9"/>
      <c r="XEV456" s="9"/>
      <c r="XEW456" s="9"/>
      <c r="XEX456" s="9"/>
      <c r="XEY456" s="9"/>
      <c r="XEZ456" s="9"/>
      <c r="XFA456" s="9"/>
      <c r="XFB456" s="9"/>
      <c r="XFC456" s="9"/>
      <c r="XFD456" s="9"/>
    </row>
    <row r="457" spans="1:8 16325:16384" s="3" customFormat="1" ht="19.95" customHeight="1">
      <c r="A457" s="6" t="str">
        <f t="shared" si="18"/>
        <v>040019</v>
      </c>
      <c r="B457" s="6" t="s">
        <v>25</v>
      </c>
      <c r="C457" s="6" t="s">
        <v>24</v>
      </c>
      <c r="D457" s="6" t="str">
        <f>"512627217"</f>
        <v>512627217</v>
      </c>
      <c r="E457" s="7">
        <v>77.5</v>
      </c>
      <c r="F457" s="7">
        <v>54.5</v>
      </c>
      <c r="G457" s="7"/>
      <c r="H457" s="7">
        <v>68.3</v>
      </c>
      <c r="XCW457" s="9"/>
      <c r="XCX457" s="9"/>
      <c r="XCY457" s="9"/>
      <c r="XCZ457" s="9"/>
      <c r="XDA457" s="9"/>
      <c r="XDB457" s="9"/>
      <c r="XDC457" s="9"/>
      <c r="XDD457" s="9"/>
      <c r="XDE457" s="9"/>
      <c r="XDF457" s="9"/>
      <c r="XDG457" s="9"/>
      <c r="XDH457" s="9"/>
      <c r="XDI457" s="9"/>
      <c r="XDJ457" s="9"/>
      <c r="XDK457" s="9"/>
      <c r="XDL457" s="9"/>
      <c r="XDM457" s="9"/>
      <c r="XDN457" s="9"/>
      <c r="XDO457" s="9"/>
      <c r="XDP457" s="9"/>
      <c r="XDQ457" s="9"/>
      <c r="XDR457" s="9"/>
      <c r="XDS457" s="9"/>
      <c r="XDT457" s="9"/>
      <c r="XDU457" s="9"/>
      <c r="XDV457" s="9"/>
      <c r="XDW457" s="9"/>
      <c r="XDX457" s="9"/>
      <c r="XDY457" s="9"/>
      <c r="XDZ457" s="9"/>
      <c r="XEA457" s="9"/>
      <c r="XEB457" s="9"/>
      <c r="XEC457" s="9"/>
      <c r="XED457" s="9"/>
      <c r="XEE457" s="9"/>
      <c r="XEF457" s="9"/>
      <c r="XEG457" s="9"/>
      <c r="XEH457" s="9"/>
      <c r="XEI457" s="9"/>
      <c r="XEJ457" s="9"/>
      <c r="XEK457" s="9"/>
      <c r="XEL457" s="9"/>
      <c r="XEM457" s="9"/>
      <c r="XEN457" s="9"/>
      <c r="XEO457" s="9"/>
      <c r="XEP457" s="9"/>
      <c r="XEQ457" s="9"/>
      <c r="XER457" s="9"/>
      <c r="XES457" s="9"/>
      <c r="XET457" s="9"/>
      <c r="XEU457" s="9"/>
      <c r="XEV457" s="9"/>
      <c r="XEW457" s="9"/>
      <c r="XEX457" s="9"/>
      <c r="XEY457" s="9"/>
      <c r="XEZ457" s="9"/>
      <c r="XFA457" s="9"/>
      <c r="XFB457" s="9"/>
      <c r="XFC457" s="9"/>
      <c r="XFD457" s="9"/>
    </row>
    <row r="458" spans="1:8 16325:16384" s="3" customFormat="1" ht="19.95" customHeight="1">
      <c r="A458" s="6" t="str">
        <f t="shared" si="18"/>
        <v>040019</v>
      </c>
      <c r="B458" s="6" t="s">
        <v>25</v>
      </c>
      <c r="C458" s="6" t="s">
        <v>24</v>
      </c>
      <c r="D458" s="6" t="str">
        <f>"512627301"</f>
        <v>512627301</v>
      </c>
      <c r="E458" s="7">
        <v>94</v>
      </c>
      <c r="F458" s="7">
        <v>64.5</v>
      </c>
      <c r="G458" s="7"/>
      <c r="H458" s="7">
        <v>82.2</v>
      </c>
      <c r="XCW458" s="9"/>
      <c r="XCX458" s="9"/>
      <c r="XCY458" s="9"/>
      <c r="XCZ458" s="9"/>
      <c r="XDA458" s="9"/>
      <c r="XDB458" s="9"/>
      <c r="XDC458" s="9"/>
      <c r="XDD458" s="9"/>
      <c r="XDE458" s="9"/>
      <c r="XDF458" s="9"/>
      <c r="XDG458" s="9"/>
      <c r="XDH458" s="9"/>
      <c r="XDI458" s="9"/>
      <c r="XDJ458" s="9"/>
      <c r="XDK458" s="9"/>
      <c r="XDL458" s="9"/>
      <c r="XDM458" s="9"/>
      <c r="XDN458" s="9"/>
      <c r="XDO458" s="9"/>
      <c r="XDP458" s="9"/>
      <c r="XDQ458" s="9"/>
      <c r="XDR458" s="9"/>
      <c r="XDS458" s="9"/>
      <c r="XDT458" s="9"/>
      <c r="XDU458" s="9"/>
      <c r="XDV458" s="9"/>
      <c r="XDW458" s="9"/>
      <c r="XDX458" s="9"/>
      <c r="XDY458" s="9"/>
      <c r="XDZ458" s="9"/>
      <c r="XEA458" s="9"/>
      <c r="XEB458" s="9"/>
      <c r="XEC458" s="9"/>
      <c r="XED458" s="9"/>
      <c r="XEE458" s="9"/>
      <c r="XEF458" s="9"/>
      <c r="XEG458" s="9"/>
      <c r="XEH458" s="9"/>
      <c r="XEI458" s="9"/>
      <c r="XEJ458" s="9"/>
      <c r="XEK458" s="9"/>
      <c r="XEL458" s="9"/>
      <c r="XEM458" s="9"/>
      <c r="XEN458" s="9"/>
      <c r="XEO458" s="9"/>
      <c r="XEP458" s="9"/>
      <c r="XEQ458" s="9"/>
      <c r="XER458" s="9"/>
      <c r="XES458" s="9"/>
      <c r="XET458" s="9"/>
      <c r="XEU458" s="9"/>
      <c r="XEV458" s="9"/>
      <c r="XEW458" s="9"/>
      <c r="XEX458" s="9"/>
      <c r="XEY458" s="9"/>
      <c r="XEZ458" s="9"/>
      <c r="XFA458" s="9"/>
      <c r="XFB458" s="9"/>
      <c r="XFC458" s="9"/>
      <c r="XFD458" s="9"/>
    </row>
    <row r="459" spans="1:8 16325:16384" s="3" customFormat="1" ht="19.95" customHeight="1">
      <c r="A459" s="6" t="str">
        <f t="shared" si="18"/>
        <v>040019</v>
      </c>
      <c r="B459" s="6" t="s">
        <v>25</v>
      </c>
      <c r="C459" s="6" t="s">
        <v>24</v>
      </c>
      <c r="D459" s="6" t="str">
        <f>"512627215"</f>
        <v>512627215</v>
      </c>
      <c r="E459" s="7">
        <v>94</v>
      </c>
      <c r="F459" s="7">
        <v>82.5</v>
      </c>
      <c r="G459" s="7"/>
      <c r="H459" s="7">
        <v>89.4</v>
      </c>
      <c r="XCW459" s="9"/>
      <c r="XCX459" s="9"/>
      <c r="XCY459" s="9"/>
      <c r="XCZ459" s="9"/>
      <c r="XDA459" s="9"/>
      <c r="XDB459" s="9"/>
      <c r="XDC459" s="9"/>
      <c r="XDD459" s="9"/>
      <c r="XDE459" s="9"/>
      <c r="XDF459" s="9"/>
      <c r="XDG459" s="9"/>
      <c r="XDH459" s="9"/>
      <c r="XDI459" s="9"/>
      <c r="XDJ459" s="9"/>
      <c r="XDK459" s="9"/>
      <c r="XDL459" s="9"/>
      <c r="XDM459" s="9"/>
      <c r="XDN459" s="9"/>
      <c r="XDO459" s="9"/>
      <c r="XDP459" s="9"/>
      <c r="XDQ459" s="9"/>
      <c r="XDR459" s="9"/>
      <c r="XDS459" s="9"/>
      <c r="XDT459" s="9"/>
      <c r="XDU459" s="9"/>
      <c r="XDV459" s="9"/>
      <c r="XDW459" s="9"/>
      <c r="XDX459" s="9"/>
      <c r="XDY459" s="9"/>
      <c r="XDZ459" s="9"/>
      <c r="XEA459" s="9"/>
      <c r="XEB459" s="9"/>
      <c r="XEC459" s="9"/>
      <c r="XED459" s="9"/>
      <c r="XEE459" s="9"/>
      <c r="XEF459" s="9"/>
      <c r="XEG459" s="9"/>
      <c r="XEH459" s="9"/>
      <c r="XEI459" s="9"/>
      <c r="XEJ459" s="9"/>
      <c r="XEK459" s="9"/>
      <c r="XEL459" s="9"/>
      <c r="XEM459" s="9"/>
      <c r="XEN459" s="9"/>
      <c r="XEO459" s="9"/>
      <c r="XEP459" s="9"/>
      <c r="XEQ459" s="9"/>
      <c r="XER459" s="9"/>
      <c r="XES459" s="9"/>
      <c r="XET459" s="9"/>
      <c r="XEU459" s="9"/>
      <c r="XEV459" s="9"/>
      <c r="XEW459" s="9"/>
      <c r="XEX459" s="9"/>
      <c r="XEY459" s="9"/>
      <c r="XEZ459" s="9"/>
      <c r="XFA459" s="9"/>
      <c r="XFB459" s="9"/>
      <c r="XFC459" s="9"/>
      <c r="XFD459" s="9"/>
    </row>
    <row r="460" spans="1:8 16325:16384" s="3" customFormat="1" ht="19.95" customHeight="1">
      <c r="A460" s="6" t="str">
        <f t="shared" si="18"/>
        <v>040019</v>
      </c>
      <c r="B460" s="6" t="s">
        <v>25</v>
      </c>
      <c r="C460" s="6" t="s">
        <v>24</v>
      </c>
      <c r="D460" s="6" t="str">
        <f>"512627220"</f>
        <v>512627220</v>
      </c>
      <c r="E460" s="7">
        <v>83.5</v>
      </c>
      <c r="F460" s="7">
        <v>78</v>
      </c>
      <c r="G460" s="7"/>
      <c r="H460" s="7">
        <v>81.3</v>
      </c>
      <c r="XCW460" s="9"/>
      <c r="XCX460" s="9"/>
      <c r="XCY460" s="9"/>
      <c r="XCZ460" s="9"/>
      <c r="XDA460" s="9"/>
      <c r="XDB460" s="9"/>
      <c r="XDC460" s="9"/>
      <c r="XDD460" s="9"/>
      <c r="XDE460" s="9"/>
      <c r="XDF460" s="9"/>
      <c r="XDG460" s="9"/>
      <c r="XDH460" s="9"/>
      <c r="XDI460" s="9"/>
      <c r="XDJ460" s="9"/>
      <c r="XDK460" s="9"/>
      <c r="XDL460" s="9"/>
      <c r="XDM460" s="9"/>
      <c r="XDN460" s="9"/>
      <c r="XDO460" s="9"/>
      <c r="XDP460" s="9"/>
      <c r="XDQ460" s="9"/>
      <c r="XDR460" s="9"/>
      <c r="XDS460" s="9"/>
      <c r="XDT460" s="9"/>
      <c r="XDU460" s="9"/>
      <c r="XDV460" s="9"/>
      <c r="XDW460" s="9"/>
      <c r="XDX460" s="9"/>
      <c r="XDY460" s="9"/>
      <c r="XDZ460" s="9"/>
      <c r="XEA460" s="9"/>
      <c r="XEB460" s="9"/>
      <c r="XEC460" s="9"/>
      <c r="XED460" s="9"/>
      <c r="XEE460" s="9"/>
      <c r="XEF460" s="9"/>
      <c r="XEG460" s="9"/>
      <c r="XEH460" s="9"/>
      <c r="XEI460" s="9"/>
      <c r="XEJ460" s="9"/>
      <c r="XEK460" s="9"/>
      <c r="XEL460" s="9"/>
      <c r="XEM460" s="9"/>
      <c r="XEN460" s="9"/>
      <c r="XEO460" s="9"/>
      <c r="XEP460" s="9"/>
      <c r="XEQ460" s="9"/>
      <c r="XER460" s="9"/>
      <c r="XES460" s="9"/>
      <c r="XET460" s="9"/>
      <c r="XEU460" s="9"/>
      <c r="XEV460" s="9"/>
      <c r="XEW460" s="9"/>
      <c r="XEX460" s="9"/>
      <c r="XEY460" s="9"/>
      <c r="XEZ460" s="9"/>
      <c r="XFA460" s="9"/>
      <c r="XFB460" s="9"/>
      <c r="XFC460" s="9"/>
      <c r="XFD460" s="9"/>
    </row>
    <row r="461" spans="1:8 16325:16384" s="3" customFormat="1" ht="19.95" customHeight="1">
      <c r="A461" s="6" t="str">
        <f t="shared" si="18"/>
        <v>040019</v>
      </c>
      <c r="B461" s="6" t="s">
        <v>25</v>
      </c>
      <c r="C461" s="6" t="s">
        <v>24</v>
      </c>
      <c r="D461" s="6" t="str">
        <f>"512627222"</f>
        <v>512627222</v>
      </c>
      <c r="E461" s="7">
        <v>95.5</v>
      </c>
      <c r="F461" s="7">
        <v>80.5</v>
      </c>
      <c r="G461" s="7"/>
      <c r="H461" s="7">
        <v>89.5</v>
      </c>
      <c r="XCW461" s="9"/>
      <c r="XCX461" s="9"/>
      <c r="XCY461" s="9"/>
      <c r="XCZ461" s="9"/>
      <c r="XDA461" s="9"/>
      <c r="XDB461" s="9"/>
      <c r="XDC461" s="9"/>
      <c r="XDD461" s="9"/>
      <c r="XDE461" s="9"/>
      <c r="XDF461" s="9"/>
      <c r="XDG461" s="9"/>
      <c r="XDH461" s="9"/>
      <c r="XDI461" s="9"/>
      <c r="XDJ461" s="9"/>
      <c r="XDK461" s="9"/>
      <c r="XDL461" s="9"/>
      <c r="XDM461" s="9"/>
      <c r="XDN461" s="9"/>
      <c r="XDO461" s="9"/>
      <c r="XDP461" s="9"/>
      <c r="XDQ461" s="9"/>
      <c r="XDR461" s="9"/>
      <c r="XDS461" s="9"/>
      <c r="XDT461" s="9"/>
      <c r="XDU461" s="9"/>
      <c r="XDV461" s="9"/>
      <c r="XDW461" s="9"/>
      <c r="XDX461" s="9"/>
      <c r="XDY461" s="9"/>
      <c r="XDZ461" s="9"/>
      <c r="XEA461" s="9"/>
      <c r="XEB461" s="9"/>
      <c r="XEC461" s="9"/>
      <c r="XED461" s="9"/>
      <c r="XEE461" s="9"/>
      <c r="XEF461" s="9"/>
      <c r="XEG461" s="9"/>
      <c r="XEH461" s="9"/>
      <c r="XEI461" s="9"/>
      <c r="XEJ461" s="9"/>
      <c r="XEK461" s="9"/>
      <c r="XEL461" s="9"/>
      <c r="XEM461" s="9"/>
      <c r="XEN461" s="9"/>
      <c r="XEO461" s="9"/>
      <c r="XEP461" s="9"/>
      <c r="XEQ461" s="9"/>
      <c r="XER461" s="9"/>
      <c r="XES461" s="9"/>
      <c r="XET461" s="9"/>
      <c r="XEU461" s="9"/>
      <c r="XEV461" s="9"/>
      <c r="XEW461" s="9"/>
      <c r="XEX461" s="9"/>
      <c r="XEY461" s="9"/>
      <c r="XEZ461" s="9"/>
      <c r="XFA461" s="9"/>
      <c r="XFB461" s="9"/>
      <c r="XFC461" s="9"/>
      <c r="XFD461" s="9"/>
    </row>
    <row r="462" spans="1:8 16325:16384" s="3" customFormat="1" ht="19.95" customHeight="1">
      <c r="A462" s="6" t="str">
        <f t="shared" si="18"/>
        <v>040019</v>
      </c>
      <c r="B462" s="6" t="s">
        <v>25</v>
      </c>
      <c r="C462" s="6" t="s">
        <v>24</v>
      </c>
      <c r="D462" s="6" t="str">
        <f>"512627310"</f>
        <v>512627310</v>
      </c>
      <c r="E462" s="7">
        <v>0</v>
      </c>
      <c r="F462" s="7">
        <v>0</v>
      </c>
      <c r="G462" s="7"/>
      <c r="H462" s="7">
        <v>0</v>
      </c>
      <c r="XCW462" s="9"/>
      <c r="XCX462" s="9"/>
      <c r="XCY462" s="9"/>
      <c r="XCZ462" s="9"/>
      <c r="XDA462" s="9"/>
      <c r="XDB462" s="9"/>
      <c r="XDC462" s="9"/>
      <c r="XDD462" s="9"/>
      <c r="XDE462" s="9"/>
      <c r="XDF462" s="9"/>
      <c r="XDG462" s="9"/>
      <c r="XDH462" s="9"/>
      <c r="XDI462" s="9"/>
      <c r="XDJ462" s="9"/>
      <c r="XDK462" s="9"/>
      <c r="XDL462" s="9"/>
      <c r="XDM462" s="9"/>
      <c r="XDN462" s="9"/>
      <c r="XDO462" s="9"/>
      <c r="XDP462" s="9"/>
      <c r="XDQ462" s="9"/>
      <c r="XDR462" s="9"/>
      <c r="XDS462" s="9"/>
      <c r="XDT462" s="9"/>
      <c r="XDU462" s="9"/>
      <c r="XDV462" s="9"/>
      <c r="XDW462" s="9"/>
      <c r="XDX462" s="9"/>
      <c r="XDY462" s="9"/>
      <c r="XDZ462" s="9"/>
      <c r="XEA462" s="9"/>
      <c r="XEB462" s="9"/>
      <c r="XEC462" s="9"/>
      <c r="XED462" s="9"/>
      <c r="XEE462" s="9"/>
      <c r="XEF462" s="9"/>
      <c r="XEG462" s="9"/>
      <c r="XEH462" s="9"/>
      <c r="XEI462" s="9"/>
      <c r="XEJ462" s="9"/>
      <c r="XEK462" s="9"/>
      <c r="XEL462" s="9"/>
      <c r="XEM462" s="9"/>
      <c r="XEN462" s="9"/>
      <c r="XEO462" s="9"/>
      <c r="XEP462" s="9"/>
      <c r="XEQ462" s="9"/>
      <c r="XER462" s="9"/>
      <c r="XES462" s="9"/>
      <c r="XET462" s="9"/>
      <c r="XEU462" s="9"/>
      <c r="XEV462" s="9"/>
      <c r="XEW462" s="9"/>
      <c r="XEX462" s="9"/>
      <c r="XEY462" s="9"/>
      <c r="XEZ462" s="9"/>
      <c r="XFA462" s="9"/>
      <c r="XFB462" s="9"/>
      <c r="XFC462" s="9"/>
      <c r="XFD462" s="9"/>
    </row>
    <row r="463" spans="1:8 16325:16384" s="3" customFormat="1" ht="19.95" customHeight="1">
      <c r="A463" s="6" t="str">
        <f t="shared" si="18"/>
        <v>040019</v>
      </c>
      <c r="B463" s="6" t="s">
        <v>25</v>
      </c>
      <c r="C463" s="6" t="s">
        <v>24</v>
      </c>
      <c r="D463" s="6" t="str">
        <f>"512627302"</f>
        <v>512627302</v>
      </c>
      <c r="E463" s="7">
        <v>101.5</v>
      </c>
      <c r="F463" s="7">
        <v>74.5</v>
      </c>
      <c r="G463" s="7"/>
      <c r="H463" s="7">
        <v>90.7</v>
      </c>
      <c r="XCW463" s="9"/>
      <c r="XCX463" s="9"/>
      <c r="XCY463" s="9"/>
      <c r="XCZ463" s="9"/>
      <c r="XDA463" s="9"/>
      <c r="XDB463" s="9"/>
      <c r="XDC463" s="9"/>
      <c r="XDD463" s="9"/>
      <c r="XDE463" s="9"/>
      <c r="XDF463" s="9"/>
      <c r="XDG463" s="9"/>
      <c r="XDH463" s="9"/>
      <c r="XDI463" s="9"/>
      <c r="XDJ463" s="9"/>
      <c r="XDK463" s="9"/>
      <c r="XDL463" s="9"/>
      <c r="XDM463" s="9"/>
      <c r="XDN463" s="9"/>
      <c r="XDO463" s="9"/>
      <c r="XDP463" s="9"/>
      <c r="XDQ463" s="9"/>
      <c r="XDR463" s="9"/>
      <c r="XDS463" s="9"/>
      <c r="XDT463" s="9"/>
      <c r="XDU463" s="9"/>
      <c r="XDV463" s="9"/>
      <c r="XDW463" s="9"/>
      <c r="XDX463" s="9"/>
      <c r="XDY463" s="9"/>
      <c r="XDZ463" s="9"/>
      <c r="XEA463" s="9"/>
      <c r="XEB463" s="9"/>
      <c r="XEC463" s="9"/>
      <c r="XED463" s="9"/>
      <c r="XEE463" s="9"/>
      <c r="XEF463" s="9"/>
      <c r="XEG463" s="9"/>
      <c r="XEH463" s="9"/>
      <c r="XEI463" s="9"/>
      <c r="XEJ463" s="9"/>
      <c r="XEK463" s="9"/>
      <c r="XEL463" s="9"/>
      <c r="XEM463" s="9"/>
      <c r="XEN463" s="9"/>
      <c r="XEO463" s="9"/>
      <c r="XEP463" s="9"/>
      <c r="XEQ463" s="9"/>
      <c r="XER463" s="9"/>
      <c r="XES463" s="9"/>
      <c r="XET463" s="9"/>
      <c r="XEU463" s="9"/>
      <c r="XEV463" s="9"/>
      <c r="XEW463" s="9"/>
      <c r="XEX463" s="9"/>
      <c r="XEY463" s="9"/>
      <c r="XEZ463" s="9"/>
      <c r="XFA463" s="9"/>
      <c r="XFB463" s="9"/>
      <c r="XFC463" s="9"/>
      <c r="XFD463" s="9"/>
    </row>
    <row r="464" spans="1:8 16325:16384" s="3" customFormat="1" ht="19.95" customHeight="1">
      <c r="A464" s="6" t="str">
        <f t="shared" si="18"/>
        <v>040019</v>
      </c>
      <c r="B464" s="6" t="s">
        <v>25</v>
      </c>
      <c r="C464" s="6" t="s">
        <v>24</v>
      </c>
      <c r="D464" s="6" t="str">
        <f>"512627308"</f>
        <v>512627308</v>
      </c>
      <c r="E464" s="7">
        <v>94.5</v>
      </c>
      <c r="F464" s="7">
        <v>69</v>
      </c>
      <c r="G464" s="7"/>
      <c r="H464" s="7">
        <v>84.3</v>
      </c>
      <c r="XCW464" s="9"/>
      <c r="XCX464" s="9"/>
      <c r="XCY464" s="9"/>
      <c r="XCZ464" s="9"/>
      <c r="XDA464" s="9"/>
      <c r="XDB464" s="9"/>
      <c r="XDC464" s="9"/>
      <c r="XDD464" s="9"/>
      <c r="XDE464" s="9"/>
      <c r="XDF464" s="9"/>
      <c r="XDG464" s="9"/>
      <c r="XDH464" s="9"/>
      <c r="XDI464" s="9"/>
      <c r="XDJ464" s="9"/>
      <c r="XDK464" s="9"/>
      <c r="XDL464" s="9"/>
      <c r="XDM464" s="9"/>
      <c r="XDN464" s="9"/>
      <c r="XDO464" s="9"/>
      <c r="XDP464" s="9"/>
      <c r="XDQ464" s="9"/>
      <c r="XDR464" s="9"/>
      <c r="XDS464" s="9"/>
      <c r="XDT464" s="9"/>
      <c r="XDU464" s="9"/>
      <c r="XDV464" s="9"/>
      <c r="XDW464" s="9"/>
      <c r="XDX464" s="9"/>
      <c r="XDY464" s="9"/>
      <c r="XDZ464" s="9"/>
      <c r="XEA464" s="9"/>
      <c r="XEB464" s="9"/>
      <c r="XEC464" s="9"/>
      <c r="XED464" s="9"/>
      <c r="XEE464" s="9"/>
      <c r="XEF464" s="9"/>
      <c r="XEG464" s="9"/>
      <c r="XEH464" s="9"/>
      <c r="XEI464" s="9"/>
      <c r="XEJ464" s="9"/>
      <c r="XEK464" s="9"/>
      <c r="XEL464" s="9"/>
      <c r="XEM464" s="9"/>
      <c r="XEN464" s="9"/>
      <c r="XEO464" s="9"/>
      <c r="XEP464" s="9"/>
      <c r="XEQ464" s="9"/>
      <c r="XER464" s="9"/>
      <c r="XES464" s="9"/>
      <c r="XET464" s="9"/>
      <c r="XEU464" s="9"/>
      <c r="XEV464" s="9"/>
      <c r="XEW464" s="9"/>
      <c r="XEX464" s="9"/>
      <c r="XEY464" s="9"/>
      <c r="XEZ464" s="9"/>
      <c r="XFA464" s="9"/>
      <c r="XFB464" s="9"/>
      <c r="XFC464" s="9"/>
      <c r="XFD464" s="9"/>
    </row>
    <row r="465" spans="1:8 16325:16384" s="3" customFormat="1" ht="19.95" customHeight="1">
      <c r="A465" s="6" t="str">
        <f t="shared" si="18"/>
        <v>040019</v>
      </c>
      <c r="B465" s="6" t="s">
        <v>25</v>
      </c>
      <c r="C465" s="6" t="s">
        <v>24</v>
      </c>
      <c r="D465" s="6" t="str">
        <f>"512627305"</f>
        <v>512627305</v>
      </c>
      <c r="E465" s="7">
        <v>102</v>
      </c>
      <c r="F465" s="7">
        <v>67</v>
      </c>
      <c r="G465" s="7"/>
      <c r="H465" s="7">
        <v>88</v>
      </c>
      <c r="XCW465" s="9"/>
      <c r="XCX465" s="9"/>
      <c r="XCY465" s="9"/>
      <c r="XCZ465" s="9"/>
      <c r="XDA465" s="9"/>
      <c r="XDB465" s="9"/>
      <c r="XDC465" s="9"/>
      <c r="XDD465" s="9"/>
      <c r="XDE465" s="9"/>
      <c r="XDF465" s="9"/>
      <c r="XDG465" s="9"/>
      <c r="XDH465" s="9"/>
      <c r="XDI465" s="9"/>
      <c r="XDJ465" s="9"/>
      <c r="XDK465" s="9"/>
      <c r="XDL465" s="9"/>
      <c r="XDM465" s="9"/>
      <c r="XDN465" s="9"/>
      <c r="XDO465" s="9"/>
      <c r="XDP465" s="9"/>
      <c r="XDQ465" s="9"/>
      <c r="XDR465" s="9"/>
      <c r="XDS465" s="9"/>
      <c r="XDT465" s="9"/>
      <c r="XDU465" s="9"/>
      <c r="XDV465" s="9"/>
      <c r="XDW465" s="9"/>
      <c r="XDX465" s="9"/>
      <c r="XDY465" s="9"/>
      <c r="XDZ465" s="9"/>
      <c r="XEA465" s="9"/>
      <c r="XEB465" s="9"/>
      <c r="XEC465" s="9"/>
      <c r="XED465" s="9"/>
      <c r="XEE465" s="9"/>
      <c r="XEF465" s="9"/>
      <c r="XEG465" s="9"/>
      <c r="XEH465" s="9"/>
      <c r="XEI465" s="9"/>
      <c r="XEJ465" s="9"/>
      <c r="XEK465" s="9"/>
      <c r="XEL465" s="9"/>
      <c r="XEM465" s="9"/>
      <c r="XEN465" s="9"/>
      <c r="XEO465" s="9"/>
      <c r="XEP465" s="9"/>
      <c r="XEQ465" s="9"/>
      <c r="XER465" s="9"/>
      <c r="XES465" s="9"/>
      <c r="XET465" s="9"/>
      <c r="XEU465" s="9"/>
      <c r="XEV465" s="9"/>
      <c r="XEW465" s="9"/>
      <c r="XEX465" s="9"/>
      <c r="XEY465" s="9"/>
      <c r="XEZ465" s="9"/>
      <c r="XFA465" s="9"/>
      <c r="XFB465" s="9"/>
      <c r="XFC465" s="9"/>
      <c r="XFD465" s="9"/>
    </row>
    <row r="466" spans="1:8 16325:16384" s="3" customFormat="1" ht="19.95" customHeight="1">
      <c r="A466" s="6" t="str">
        <f t="shared" si="18"/>
        <v>040019</v>
      </c>
      <c r="B466" s="6" t="s">
        <v>25</v>
      </c>
      <c r="C466" s="6" t="s">
        <v>24</v>
      </c>
      <c r="D466" s="6" t="str">
        <f>"512627314"</f>
        <v>512627314</v>
      </c>
      <c r="E466" s="7">
        <v>85</v>
      </c>
      <c r="F466" s="7">
        <v>66.5</v>
      </c>
      <c r="G466" s="7"/>
      <c r="H466" s="7">
        <v>77.599999999999994</v>
      </c>
      <c r="XCW466" s="9"/>
      <c r="XCX466" s="9"/>
      <c r="XCY466" s="9"/>
      <c r="XCZ466" s="9"/>
      <c r="XDA466" s="9"/>
      <c r="XDB466" s="9"/>
      <c r="XDC466" s="9"/>
      <c r="XDD466" s="9"/>
      <c r="XDE466" s="9"/>
      <c r="XDF466" s="9"/>
      <c r="XDG466" s="9"/>
      <c r="XDH466" s="9"/>
      <c r="XDI466" s="9"/>
      <c r="XDJ466" s="9"/>
      <c r="XDK466" s="9"/>
      <c r="XDL466" s="9"/>
      <c r="XDM466" s="9"/>
      <c r="XDN466" s="9"/>
      <c r="XDO466" s="9"/>
      <c r="XDP466" s="9"/>
      <c r="XDQ466" s="9"/>
      <c r="XDR466" s="9"/>
      <c r="XDS466" s="9"/>
      <c r="XDT466" s="9"/>
      <c r="XDU466" s="9"/>
      <c r="XDV466" s="9"/>
      <c r="XDW466" s="9"/>
      <c r="XDX466" s="9"/>
      <c r="XDY466" s="9"/>
      <c r="XDZ466" s="9"/>
      <c r="XEA466" s="9"/>
      <c r="XEB466" s="9"/>
      <c r="XEC466" s="9"/>
      <c r="XED466" s="9"/>
      <c r="XEE466" s="9"/>
      <c r="XEF466" s="9"/>
      <c r="XEG466" s="9"/>
      <c r="XEH466" s="9"/>
      <c r="XEI466" s="9"/>
      <c r="XEJ466" s="9"/>
      <c r="XEK466" s="9"/>
      <c r="XEL466" s="9"/>
      <c r="XEM466" s="9"/>
      <c r="XEN466" s="9"/>
      <c r="XEO466" s="9"/>
      <c r="XEP466" s="9"/>
      <c r="XEQ466" s="9"/>
      <c r="XER466" s="9"/>
      <c r="XES466" s="9"/>
      <c r="XET466" s="9"/>
      <c r="XEU466" s="9"/>
      <c r="XEV466" s="9"/>
      <c r="XEW466" s="9"/>
      <c r="XEX466" s="9"/>
      <c r="XEY466" s="9"/>
      <c r="XEZ466" s="9"/>
      <c r="XFA466" s="9"/>
      <c r="XFB466" s="9"/>
      <c r="XFC466" s="9"/>
      <c r="XFD466" s="9"/>
    </row>
    <row r="467" spans="1:8 16325:16384" s="3" customFormat="1" ht="19.95" customHeight="1">
      <c r="A467" s="6" t="str">
        <f t="shared" si="18"/>
        <v>040019</v>
      </c>
      <c r="B467" s="6" t="s">
        <v>25</v>
      </c>
      <c r="C467" s="6" t="s">
        <v>24</v>
      </c>
      <c r="D467" s="6" t="str">
        <f>"512627311"</f>
        <v>512627311</v>
      </c>
      <c r="E467" s="7">
        <v>100</v>
      </c>
      <c r="F467" s="7">
        <v>71</v>
      </c>
      <c r="G467" s="7"/>
      <c r="H467" s="7">
        <v>88.4</v>
      </c>
      <c r="XCW467" s="9"/>
      <c r="XCX467" s="9"/>
      <c r="XCY467" s="9"/>
      <c r="XCZ467" s="9"/>
      <c r="XDA467" s="9"/>
      <c r="XDB467" s="9"/>
      <c r="XDC467" s="9"/>
      <c r="XDD467" s="9"/>
      <c r="XDE467" s="9"/>
      <c r="XDF467" s="9"/>
      <c r="XDG467" s="9"/>
      <c r="XDH467" s="9"/>
      <c r="XDI467" s="9"/>
      <c r="XDJ467" s="9"/>
      <c r="XDK467" s="9"/>
      <c r="XDL467" s="9"/>
      <c r="XDM467" s="9"/>
      <c r="XDN467" s="9"/>
      <c r="XDO467" s="9"/>
      <c r="XDP467" s="9"/>
      <c r="XDQ467" s="9"/>
      <c r="XDR467" s="9"/>
      <c r="XDS467" s="9"/>
      <c r="XDT467" s="9"/>
      <c r="XDU467" s="9"/>
      <c r="XDV467" s="9"/>
      <c r="XDW467" s="9"/>
      <c r="XDX467" s="9"/>
      <c r="XDY467" s="9"/>
      <c r="XDZ467" s="9"/>
      <c r="XEA467" s="9"/>
      <c r="XEB467" s="9"/>
      <c r="XEC467" s="9"/>
      <c r="XED467" s="9"/>
      <c r="XEE467" s="9"/>
      <c r="XEF467" s="9"/>
      <c r="XEG467" s="9"/>
      <c r="XEH467" s="9"/>
      <c r="XEI467" s="9"/>
      <c r="XEJ467" s="9"/>
      <c r="XEK467" s="9"/>
      <c r="XEL467" s="9"/>
      <c r="XEM467" s="9"/>
      <c r="XEN467" s="9"/>
      <c r="XEO467" s="9"/>
      <c r="XEP467" s="9"/>
      <c r="XEQ467" s="9"/>
      <c r="XER467" s="9"/>
      <c r="XES467" s="9"/>
      <c r="XET467" s="9"/>
      <c r="XEU467" s="9"/>
      <c r="XEV467" s="9"/>
      <c r="XEW467" s="9"/>
      <c r="XEX467" s="9"/>
      <c r="XEY467" s="9"/>
      <c r="XEZ467" s="9"/>
      <c r="XFA467" s="9"/>
      <c r="XFB467" s="9"/>
      <c r="XFC467" s="9"/>
      <c r="XFD467" s="9"/>
    </row>
    <row r="468" spans="1:8 16325:16384" s="3" customFormat="1" ht="19.95" customHeight="1">
      <c r="A468" s="6" t="str">
        <f t="shared" si="18"/>
        <v>040019</v>
      </c>
      <c r="B468" s="6" t="s">
        <v>25</v>
      </c>
      <c r="C468" s="6" t="s">
        <v>24</v>
      </c>
      <c r="D468" s="6" t="str">
        <f>"512627230"</f>
        <v>512627230</v>
      </c>
      <c r="E468" s="7">
        <v>0</v>
      </c>
      <c r="F468" s="7">
        <v>0</v>
      </c>
      <c r="G468" s="7"/>
      <c r="H468" s="7">
        <v>0</v>
      </c>
      <c r="XCW468" s="9"/>
      <c r="XCX468" s="9"/>
      <c r="XCY468" s="9"/>
      <c r="XCZ468" s="9"/>
      <c r="XDA468" s="9"/>
      <c r="XDB468" s="9"/>
      <c r="XDC468" s="9"/>
      <c r="XDD468" s="9"/>
      <c r="XDE468" s="9"/>
      <c r="XDF468" s="9"/>
      <c r="XDG468" s="9"/>
      <c r="XDH468" s="9"/>
      <c r="XDI468" s="9"/>
      <c r="XDJ468" s="9"/>
      <c r="XDK468" s="9"/>
      <c r="XDL468" s="9"/>
      <c r="XDM468" s="9"/>
      <c r="XDN468" s="9"/>
      <c r="XDO468" s="9"/>
      <c r="XDP468" s="9"/>
      <c r="XDQ468" s="9"/>
      <c r="XDR468" s="9"/>
      <c r="XDS468" s="9"/>
      <c r="XDT468" s="9"/>
      <c r="XDU468" s="9"/>
      <c r="XDV468" s="9"/>
      <c r="XDW468" s="9"/>
      <c r="XDX468" s="9"/>
      <c r="XDY468" s="9"/>
      <c r="XDZ468" s="9"/>
      <c r="XEA468" s="9"/>
      <c r="XEB468" s="9"/>
      <c r="XEC468" s="9"/>
      <c r="XED468" s="9"/>
      <c r="XEE468" s="9"/>
      <c r="XEF468" s="9"/>
      <c r="XEG468" s="9"/>
      <c r="XEH468" s="9"/>
      <c r="XEI468" s="9"/>
      <c r="XEJ468" s="9"/>
      <c r="XEK468" s="9"/>
      <c r="XEL468" s="9"/>
      <c r="XEM468" s="9"/>
      <c r="XEN468" s="9"/>
      <c r="XEO468" s="9"/>
      <c r="XEP468" s="9"/>
      <c r="XEQ468" s="9"/>
      <c r="XER468" s="9"/>
      <c r="XES468" s="9"/>
      <c r="XET468" s="9"/>
      <c r="XEU468" s="9"/>
      <c r="XEV468" s="9"/>
      <c r="XEW468" s="9"/>
      <c r="XEX468" s="9"/>
      <c r="XEY468" s="9"/>
      <c r="XEZ468" s="9"/>
      <c r="XFA468" s="9"/>
      <c r="XFB468" s="9"/>
      <c r="XFC468" s="9"/>
      <c r="XFD468" s="9"/>
    </row>
    <row r="469" spans="1:8 16325:16384" s="3" customFormat="1" ht="19.95" customHeight="1">
      <c r="A469" s="6" t="str">
        <f t="shared" si="18"/>
        <v>040019</v>
      </c>
      <c r="B469" s="6" t="s">
        <v>25</v>
      </c>
      <c r="C469" s="6" t="s">
        <v>24</v>
      </c>
      <c r="D469" s="6" t="str">
        <f>"512627219"</f>
        <v>512627219</v>
      </c>
      <c r="E469" s="7">
        <v>95.5</v>
      </c>
      <c r="F469" s="7">
        <v>78.5</v>
      </c>
      <c r="G469" s="7"/>
      <c r="H469" s="7">
        <v>88.7</v>
      </c>
      <c r="XCW469" s="9"/>
      <c r="XCX469" s="9"/>
      <c r="XCY469" s="9"/>
      <c r="XCZ469" s="9"/>
      <c r="XDA469" s="9"/>
      <c r="XDB469" s="9"/>
      <c r="XDC469" s="9"/>
      <c r="XDD469" s="9"/>
      <c r="XDE469" s="9"/>
      <c r="XDF469" s="9"/>
      <c r="XDG469" s="9"/>
      <c r="XDH469" s="9"/>
      <c r="XDI469" s="9"/>
      <c r="XDJ469" s="9"/>
      <c r="XDK469" s="9"/>
      <c r="XDL469" s="9"/>
      <c r="XDM469" s="9"/>
      <c r="XDN469" s="9"/>
      <c r="XDO469" s="9"/>
      <c r="XDP469" s="9"/>
      <c r="XDQ469" s="9"/>
      <c r="XDR469" s="9"/>
      <c r="XDS469" s="9"/>
      <c r="XDT469" s="9"/>
      <c r="XDU469" s="9"/>
      <c r="XDV469" s="9"/>
      <c r="XDW469" s="9"/>
      <c r="XDX469" s="9"/>
      <c r="XDY469" s="9"/>
      <c r="XDZ469" s="9"/>
      <c r="XEA469" s="9"/>
      <c r="XEB469" s="9"/>
      <c r="XEC469" s="9"/>
      <c r="XED469" s="9"/>
      <c r="XEE469" s="9"/>
      <c r="XEF469" s="9"/>
      <c r="XEG469" s="9"/>
      <c r="XEH469" s="9"/>
      <c r="XEI469" s="9"/>
      <c r="XEJ469" s="9"/>
      <c r="XEK469" s="9"/>
      <c r="XEL469" s="9"/>
      <c r="XEM469" s="9"/>
      <c r="XEN469" s="9"/>
      <c r="XEO469" s="9"/>
      <c r="XEP469" s="9"/>
      <c r="XEQ469" s="9"/>
      <c r="XER469" s="9"/>
      <c r="XES469" s="9"/>
      <c r="XET469" s="9"/>
      <c r="XEU469" s="9"/>
      <c r="XEV469" s="9"/>
      <c r="XEW469" s="9"/>
      <c r="XEX469" s="9"/>
      <c r="XEY469" s="9"/>
      <c r="XEZ469" s="9"/>
      <c r="XFA469" s="9"/>
      <c r="XFB469" s="9"/>
      <c r="XFC469" s="9"/>
      <c r="XFD469" s="9"/>
    </row>
    <row r="470" spans="1:8 16325:16384" s="3" customFormat="1" ht="19.95" customHeight="1">
      <c r="A470" s="6" t="str">
        <f t="shared" si="18"/>
        <v>040019</v>
      </c>
      <c r="B470" s="6" t="s">
        <v>25</v>
      </c>
      <c r="C470" s="6" t="s">
        <v>24</v>
      </c>
      <c r="D470" s="6" t="str">
        <f>"512627312"</f>
        <v>512627312</v>
      </c>
      <c r="E470" s="7">
        <v>0</v>
      </c>
      <c r="F470" s="7">
        <v>0</v>
      </c>
      <c r="G470" s="7"/>
      <c r="H470" s="7">
        <v>0</v>
      </c>
      <c r="XCW470" s="9"/>
      <c r="XCX470" s="9"/>
      <c r="XCY470" s="9"/>
      <c r="XCZ470" s="9"/>
      <c r="XDA470" s="9"/>
      <c r="XDB470" s="9"/>
      <c r="XDC470" s="9"/>
      <c r="XDD470" s="9"/>
      <c r="XDE470" s="9"/>
      <c r="XDF470" s="9"/>
      <c r="XDG470" s="9"/>
      <c r="XDH470" s="9"/>
      <c r="XDI470" s="9"/>
      <c r="XDJ470" s="9"/>
      <c r="XDK470" s="9"/>
      <c r="XDL470" s="9"/>
      <c r="XDM470" s="9"/>
      <c r="XDN470" s="9"/>
      <c r="XDO470" s="9"/>
      <c r="XDP470" s="9"/>
      <c r="XDQ470" s="9"/>
      <c r="XDR470" s="9"/>
      <c r="XDS470" s="9"/>
      <c r="XDT470" s="9"/>
      <c r="XDU470" s="9"/>
      <c r="XDV470" s="9"/>
      <c r="XDW470" s="9"/>
      <c r="XDX470" s="9"/>
      <c r="XDY470" s="9"/>
      <c r="XDZ470" s="9"/>
      <c r="XEA470" s="9"/>
      <c r="XEB470" s="9"/>
      <c r="XEC470" s="9"/>
      <c r="XED470" s="9"/>
      <c r="XEE470" s="9"/>
      <c r="XEF470" s="9"/>
      <c r="XEG470" s="9"/>
      <c r="XEH470" s="9"/>
      <c r="XEI470" s="9"/>
      <c r="XEJ470" s="9"/>
      <c r="XEK470" s="9"/>
      <c r="XEL470" s="9"/>
      <c r="XEM470" s="9"/>
      <c r="XEN470" s="9"/>
      <c r="XEO470" s="9"/>
      <c r="XEP470" s="9"/>
      <c r="XEQ470" s="9"/>
      <c r="XER470" s="9"/>
      <c r="XES470" s="9"/>
      <c r="XET470" s="9"/>
      <c r="XEU470" s="9"/>
      <c r="XEV470" s="9"/>
      <c r="XEW470" s="9"/>
      <c r="XEX470" s="9"/>
      <c r="XEY470" s="9"/>
      <c r="XEZ470" s="9"/>
      <c r="XFA470" s="9"/>
      <c r="XFB470" s="9"/>
      <c r="XFC470" s="9"/>
      <c r="XFD470" s="9"/>
    </row>
    <row r="471" spans="1:8 16325:16384" s="3" customFormat="1" ht="19.95" customHeight="1">
      <c r="A471" s="6" t="str">
        <f t="shared" si="18"/>
        <v>040019</v>
      </c>
      <c r="B471" s="6" t="s">
        <v>25</v>
      </c>
      <c r="C471" s="6" t="s">
        <v>24</v>
      </c>
      <c r="D471" s="6" t="str">
        <f>"512627221"</f>
        <v>512627221</v>
      </c>
      <c r="E471" s="7">
        <v>95</v>
      </c>
      <c r="F471" s="7">
        <v>77</v>
      </c>
      <c r="G471" s="7"/>
      <c r="H471" s="7">
        <v>87.8</v>
      </c>
      <c r="XCW471" s="9"/>
      <c r="XCX471" s="9"/>
      <c r="XCY471" s="9"/>
      <c r="XCZ471" s="9"/>
      <c r="XDA471" s="9"/>
      <c r="XDB471" s="9"/>
      <c r="XDC471" s="9"/>
      <c r="XDD471" s="9"/>
      <c r="XDE471" s="9"/>
      <c r="XDF471" s="9"/>
      <c r="XDG471" s="9"/>
      <c r="XDH471" s="9"/>
      <c r="XDI471" s="9"/>
      <c r="XDJ471" s="9"/>
      <c r="XDK471" s="9"/>
      <c r="XDL471" s="9"/>
      <c r="XDM471" s="9"/>
      <c r="XDN471" s="9"/>
      <c r="XDO471" s="9"/>
      <c r="XDP471" s="9"/>
      <c r="XDQ471" s="9"/>
      <c r="XDR471" s="9"/>
      <c r="XDS471" s="9"/>
      <c r="XDT471" s="9"/>
      <c r="XDU471" s="9"/>
      <c r="XDV471" s="9"/>
      <c r="XDW471" s="9"/>
      <c r="XDX471" s="9"/>
      <c r="XDY471" s="9"/>
      <c r="XDZ471" s="9"/>
      <c r="XEA471" s="9"/>
      <c r="XEB471" s="9"/>
      <c r="XEC471" s="9"/>
      <c r="XED471" s="9"/>
      <c r="XEE471" s="9"/>
      <c r="XEF471" s="9"/>
      <c r="XEG471" s="9"/>
      <c r="XEH471" s="9"/>
      <c r="XEI471" s="9"/>
      <c r="XEJ471" s="9"/>
      <c r="XEK471" s="9"/>
      <c r="XEL471" s="9"/>
      <c r="XEM471" s="9"/>
      <c r="XEN471" s="9"/>
      <c r="XEO471" s="9"/>
      <c r="XEP471" s="9"/>
      <c r="XEQ471" s="9"/>
      <c r="XER471" s="9"/>
      <c r="XES471" s="9"/>
      <c r="XET471" s="9"/>
      <c r="XEU471" s="9"/>
      <c r="XEV471" s="9"/>
      <c r="XEW471" s="9"/>
      <c r="XEX471" s="9"/>
      <c r="XEY471" s="9"/>
      <c r="XEZ471" s="9"/>
      <c r="XFA471" s="9"/>
      <c r="XFB471" s="9"/>
      <c r="XFC471" s="9"/>
      <c r="XFD471" s="9"/>
    </row>
    <row r="472" spans="1:8 16325:16384" s="3" customFormat="1" ht="19.95" customHeight="1">
      <c r="A472" s="6" t="str">
        <f t="shared" si="18"/>
        <v>040019</v>
      </c>
      <c r="B472" s="6" t="s">
        <v>25</v>
      </c>
      <c r="C472" s="6" t="s">
        <v>24</v>
      </c>
      <c r="D472" s="6" t="str">
        <f>"512627315"</f>
        <v>512627315</v>
      </c>
      <c r="E472" s="7">
        <v>74.5</v>
      </c>
      <c r="F472" s="7">
        <v>50.5</v>
      </c>
      <c r="G472" s="7"/>
      <c r="H472" s="7">
        <v>64.900000000000006</v>
      </c>
      <c r="XCW472" s="9"/>
      <c r="XCX472" s="9"/>
      <c r="XCY472" s="9"/>
      <c r="XCZ472" s="9"/>
      <c r="XDA472" s="9"/>
      <c r="XDB472" s="9"/>
      <c r="XDC472" s="9"/>
      <c r="XDD472" s="9"/>
      <c r="XDE472" s="9"/>
      <c r="XDF472" s="9"/>
      <c r="XDG472" s="9"/>
      <c r="XDH472" s="9"/>
      <c r="XDI472" s="9"/>
      <c r="XDJ472" s="9"/>
      <c r="XDK472" s="9"/>
      <c r="XDL472" s="9"/>
      <c r="XDM472" s="9"/>
      <c r="XDN472" s="9"/>
      <c r="XDO472" s="9"/>
      <c r="XDP472" s="9"/>
      <c r="XDQ472" s="9"/>
      <c r="XDR472" s="9"/>
      <c r="XDS472" s="9"/>
      <c r="XDT472" s="9"/>
      <c r="XDU472" s="9"/>
      <c r="XDV472" s="9"/>
      <c r="XDW472" s="9"/>
      <c r="XDX472" s="9"/>
      <c r="XDY472" s="9"/>
      <c r="XDZ472" s="9"/>
      <c r="XEA472" s="9"/>
      <c r="XEB472" s="9"/>
      <c r="XEC472" s="9"/>
      <c r="XED472" s="9"/>
      <c r="XEE472" s="9"/>
      <c r="XEF472" s="9"/>
      <c r="XEG472" s="9"/>
      <c r="XEH472" s="9"/>
      <c r="XEI472" s="9"/>
      <c r="XEJ472" s="9"/>
      <c r="XEK472" s="9"/>
      <c r="XEL472" s="9"/>
      <c r="XEM472" s="9"/>
      <c r="XEN472" s="9"/>
      <c r="XEO472" s="9"/>
      <c r="XEP472" s="9"/>
      <c r="XEQ472" s="9"/>
      <c r="XER472" s="9"/>
      <c r="XES472" s="9"/>
      <c r="XET472" s="9"/>
      <c r="XEU472" s="9"/>
      <c r="XEV472" s="9"/>
      <c r="XEW472" s="9"/>
      <c r="XEX472" s="9"/>
      <c r="XEY472" s="9"/>
      <c r="XEZ472" s="9"/>
      <c r="XFA472" s="9"/>
      <c r="XFB472" s="9"/>
      <c r="XFC472" s="9"/>
      <c r="XFD472" s="9"/>
    </row>
    <row r="473" spans="1:8 16325:16384" s="3" customFormat="1" ht="19.95" customHeight="1">
      <c r="A473" s="6" t="str">
        <f t="shared" si="18"/>
        <v>040019</v>
      </c>
      <c r="B473" s="6" t="s">
        <v>25</v>
      </c>
      <c r="C473" s="6" t="s">
        <v>24</v>
      </c>
      <c r="D473" s="6" t="str">
        <f>"512627313"</f>
        <v>512627313</v>
      </c>
      <c r="E473" s="7">
        <v>0</v>
      </c>
      <c r="F473" s="7">
        <v>0</v>
      </c>
      <c r="G473" s="7"/>
      <c r="H473" s="7">
        <v>0</v>
      </c>
      <c r="XCW473" s="9"/>
      <c r="XCX473" s="9"/>
      <c r="XCY473" s="9"/>
      <c r="XCZ473" s="9"/>
      <c r="XDA473" s="9"/>
      <c r="XDB473" s="9"/>
      <c r="XDC473" s="9"/>
      <c r="XDD473" s="9"/>
      <c r="XDE473" s="9"/>
      <c r="XDF473" s="9"/>
      <c r="XDG473" s="9"/>
      <c r="XDH473" s="9"/>
      <c r="XDI473" s="9"/>
      <c r="XDJ473" s="9"/>
      <c r="XDK473" s="9"/>
      <c r="XDL473" s="9"/>
      <c r="XDM473" s="9"/>
      <c r="XDN473" s="9"/>
      <c r="XDO473" s="9"/>
      <c r="XDP473" s="9"/>
      <c r="XDQ473" s="9"/>
      <c r="XDR473" s="9"/>
      <c r="XDS473" s="9"/>
      <c r="XDT473" s="9"/>
      <c r="XDU473" s="9"/>
      <c r="XDV473" s="9"/>
      <c r="XDW473" s="9"/>
      <c r="XDX473" s="9"/>
      <c r="XDY473" s="9"/>
      <c r="XDZ473" s="9"/>
      <c r="XEA473" s="9"/>
      <c r="XEB473" s="9"/>
      <c r="XEC473" s="9"/>
      <c r="XED473" s="9"/>
      <c r="XEE473" s="9"/>
      <c r="XEF473" s="9"/>
      <c r="XEG473" s="9"/>
      <c r="XEH473" s="9"/>
      <c r="XEI473" s="9"/>
      <c r="XEJ473" s="9"/>
      <c r="XEK473" s="9"/>
      <c r="XEL473" s="9"/>
      <c r="XEM473" s="9"/>
      <c r="XEN473" s="9"/>
      <c r="XEO473" s="9"/>
      <c r="XEP473" s="9"/>
      <c r="XEQ473" s="9"/>
      <c r="XER473" s="9"/>
      <c r="XES473" s="9"/>
      <c r="XET473" s="9"/>
      <c r="XEU473" s="9"/>
      <c r="XEV473" s="9"/>
      <c r="XEW473" s="9"/>
      <c r="XEX473" s="9"/>
      <c r="XEY473" s="9"/>
      <c r="XEZ473" s="9"/>
      <c r="XFA473" s="9"/>
      <c r="XFB473" s="9"/>
      <c r="XFC473" s="9"/>
      <c r="XFD473" s="9"/>
    </row>
    <row r="474" spans="1:8 16325:16384" s="3" customFormat="1" ht="19.95" customHeight="1">
      <c r="A474" s="6" t="str">
        <f t="shared" si="18"/>
        <v>040019</v>
      </c>
      <c r="B474" s="6" t="s">
        <v>25</v>
      </c>
      <c r="C474" s="6" t="s">
        <v>24</v>
      </c>
      <c r="D474" s="6" t="str">
        <f>"512627226"</f>
        <v>512627226</v>
      </c>
      <c r="E474" s="7">
        <v>88.5</v>
      </c>
      <c r="F474" s="7">
        <v>0</v>
      </c>
      <c r="G474" s="7"/>
      <c r="H474" s="7">
        <v>53.1</v>
      </c>
      <c r="XCW474" s="9"/>
      <c r="XCX474" s="9"/>
      <c r="XCY474" s="9"/>
      <c r="XCZ474" s="9"/>
      <c r="XDA474" s="9"/>
      <c r="XDB474" s="9"/>
      <c r="XDC474" s="9"/>
      <c r="XDD474" s="9"/>
      <c r="XDE474" s="9"/>
      <c r="XDF474" s="9"/>
      <c r="XDG474" s="9"/>
      <c r="XDH474" s="9"/>
      <c r="XDI474" s="9"/>
      <c r="XDJ474" s="9"/>
      <c r="XDK474" s="9"/>
      <c r="XDL474" s="9"/>
      <c r="XDM474" s="9"/>
      <c r="XDN474" s="9"/>
      <c r="XDO474" s="9"/>
      <c r="XDP474" s="9"/>
      <c r="XDQ474" s="9"/>
      <c r="XDR474" s="9"/>
      <c r="XDS474" s="9"/>
      <c r="XDT474" s="9"/>
      <c r="XDU474" s="9"/>
      <c r="XDV474" s="9"/>
      <c r="XDW474" s="9"/>
      <c r="XDX474" s="9"/>
      <c r="XDY474" s="9"/>
      <c r="XDZ474" s="9"/>
      <c r="XEA474" s="9"/>
      <c r="XEB474" s="9"/>
      <c r="XEC474" s="9"/>
      <c r="XED474" s="9"/>
      <c r="XEE474" s="9"/>
      <c r="XEF474" s="9"/>
      <c r="XEG474" s="9"/>
      <c r="XEH474" s="9"/>
      <c r="XEI474" s="9"/>
      <c r="XEJ474" s="9"/>
      <c r="XEK474" s="9"/>
      <c r="XEL474" s="9"/>
      <c r="XEM474" s="9"/>
      <c r="XEN474" s="9"/>
      <c r="XEO474" s="9"/>
      <c r="XEP474" s="9"/>
      <c r="XEQ474" s="9"/>
      <c r="XER474" s="9"/>
      <c r="XES474" s="9"/>
      <c r="XET474" s="9"/>
      <c r="XEU474" s="9"/>
      <c r="XEV474" s="9"/>
      <c r="XEW474" s="9"/>
      <c r="XEX474" s="9"/>
      <c r="XEY474" s="9"/>
      <c r="XEZ474" s="9"/>
      <c r="XFA474" s="9"/>
      <c r="XFB474" s="9"/>
      <c r="XFC474" s="9"/>
      <c r="XFD474" s="9"/>
    </row>
    <row r="475" spans="1:8 16325:16384" s="3" customFormat="1" ht="19.95" customHeight="1">
      <c r="A475" s="6" t="str">
        <f t="shared" si="18"/>
        <v>040019</v>
      </c>
      <c r="B475" s="6" t="s">
        <v>25</v>
      </c>
      <c r="C475" s="6" t="s">
        <v>24</v>
      </c>
      <c r="D475" s="6" t="str">
        <f>"512627229"</f>
        <v>512627229</v>
      </c>
      <c r="E475" s="7">
        <v>89</v>
      </c>
      <c r="F475" s="7">
        <v>68</v>
      </c>
      <c r="G475" s="7"/>
      <c r="H475" s="7">
        <v>80.599999999999994</v>
      </c>
      <c r="XCW475" s="9"/>
      <c r="XCX475" s="9"/>
      <c r="XCY475" s="9"/>
      <c r="XCZ475" s="9"/>
      <c r="XDA475" s="9"/>
      <c r="XDB475" s="9"/>
      <c r="XDC475" s="9"/>
      <c r="XDD475" s="9"/>
      <c r="XDE475" s="9"/>
      <c r="XDF475" s="9"/>
      <c r="XDG475" s="9"/>
      <c r="XDH475" s="9"/>
      <c r="XDI475" s="9"/>
      <c r="XDJ475" s="9"/>
      <c r="XDK475" s="9"/>
      <c r="XDL475" s="9"/>
      <c r="XDM475" s="9"/>
      <c r="XDN475" s="9"/>
      <c r="XDO475" s="9"/>
      <c r="XDP475" s="9"/>
      <c r="XDQ475" s="9"/>
      <c r="XDR475" s="9"/>
      <c r="XDS475" s="9"/>
      <c r="XDT475" s="9"/>
      <c r="XDU475" s="9"/>
      <c r="XDV475" s="9"/>
      <c r="XDW475" s="9"/>
      <c r="XDX475" s="9"/>
      <c r="XDY475" s="9"/>
      <c r="XDZ475" s="9"/>
      <c r="XEA475" s="9"/>
      <c r="XEB475" s="9"/>
      <c r="XEC475" s="9"/>
      <c r="XED475" s="9"/>
      <c r="XEE475" s="9"/>
      <c r="XEF475" s="9"/>
      <c r="XEG475" s="9"/>
      <c r="XEH475" s="9"/>
      <c r="XEI475" s="9"/>
      <c r="XEJ475" s="9"/>
      <c r="XEK475" s="9"/>
      <c r="XEL475" s="9"/>
      <c r="XEM475" s="9"/>
      <c r="XEN475" s="9"/>
      <c r="XEO475" s="9"/>
      <c r="XEP475" s="9"/>
      <c r="XEQ475" s="9"/>
      <c r="XER475" s="9"/>
      <c r="XES475" s="9"/>
      <c r="XET475" s="9"/>
      <c r="XEU475" s="9"/>
      <c r="XEV475" s="9"/>
      <c r="XEW475" s="9"/>
      <c r="XEX475" s="9"/>
      <c r="XEY475" s="9"/>
      <c r="XEZ475" s="9"/>
      <c r="XFA475" s="9"/>
      <c r="XFB475" s="9"/>
      <c r="XFC475" s="9"/>
      <c r="XFD475" s="9"/>
    </row>
    <row r="476" spans="1:8 16325:16384" s="3" customFormat="1" ht="19.95" customHeight="1">
      <c r="A476" s="6" t="str">
        <f t="shared" si="18"/>
        <v>040019</v>
      </c>
      <c r="B476" s="6" t="s">
        <v>25</v>
      </c>
      <c r="C476" s="6" t="s">
        <v>24</v>
      </c>
      <c r="D476" s="6" t="str">
        <f>"512627227"</f>
        <v>512627227</v>
      </c>
      <c r="E476" s="7">
        <v>100</v>
      </c>
      <c r="F476" s="7">
        <v>84</v>
      </c>
      <c r="G476" s="7"/>
      <c r="H476" s="7">
        <v>93.6</v>
      </c>
      <c r="XCW476" s="9"/>
      <c r="XCX476" s="9"/>
      <c r="XCY476" s="9"/>
      <c r="XCZ476" s="9"/>
      <c r="XDA476" s="9"/>
      <c r="XDB476" s="9"/>
      <c r="XDC476" s="9"/>
      <c r="XDD476" s="9"/>
      <c r="XDE476" s="9"/>
      <c r="XDF476" s="9"/>
      <c r="XDG476" s="9"/>
      <c r="XDH476" s="9"/>
      <c r="XDI476" s="9"/>
      <c r="XDJ476" s="9"/>
      <c r="XDK476" s="9"/>
      <c r="XDL476" s="9"/>
      <c r="XDM476" s="9"/>
      <c r="XDN476" s="9"/>
      <c r="XDO476" s="9"/>
      <c r="XDP476" s="9"/>
      <c r="XDQ476" s="9"/>
      <c r="XDR476" s="9"/>
      <c r="XDS476" s="9"/>
      <c r="XDT476" s="9"/>
      <c r="XDU476" s="9"/>
      <c r="XDV476" s="9"/>
      <c r="XDW476" s="9"/>
      <c r="XDX476" s="9"/>
      <c r="XDY476" s="9"/>
      <c r="XDZ476" s="9"/>
      <c r="XEA476" s="9"/>
      <c r="XEB476" s="9"/>
      <c r="XEC476" s="9"/>
      <c r="XED476" s="9"/>
      <c r="XEE476" s="9"/>
      <c r="XEF476" s="9"/>
      <c r="XEG476" s="9"/>
      <c r="XEH476" s="9"/>
      <c r="XEI476" s="9"/>
      <c r="XEJ476" s="9"/>
      <c r="XEK476" s="9"/>
      <c r="XEL476" s="9"/>
      <c r="XEM476" s="9"/>
      <c r="XEN476" s="9"/>
      <c r="XEO476" s="9"/>
      <c r="XEP476" s="9"/>
      <c r="XEQ476" s="9"/>
      <c r="XER476" s="9"/>
      <c r="XES476" s="9"/>
      <c r="XET476" s="9"/>
      <c r="XEU476" s="9"/>
      <c r="XEV476" s="9"/>
      <c r="XEW476" s="9"/>
      <c r="XEX476" s="9"/>
      <c r="XEY476" s="9"/>
      <c r="XEZ476" s="9"/>
      <c r="XFA476" s="9"/>
      <c r="XFB476" s="9"/>
      <c r="XFC476" s="9"/>
      <c r="XFD476" s="9"/>
    </row>
    <row r="477" spans="1:8 16325:16384" s="3" customFormat="1" ht="19.95" customHeight="1">
      <c r="A477" s="6" t="str">
        <f t="shared" si="18"/>
        <v>040019</v>
      </c>
      <c r="B477" s="6" t="s">
        <v>25</v>
      </c>
      <c r="C477" s="6" t="s">
        <v>24</v>
      </c>
      <c r="D477" s="6" t="str">
        <f>"512627307"</f>
        <v>512627307</v>
      </c>
      <c r="E477" s="7">
        <v>0</v>
      </c>
      <c r="F477" s="7">
        <v>0</v>
      </c>
      <c r="G477" s="7"/>
      <c r="H477" s="7">
        <v>0</v>
      </c>
      <c r="XCW477" s="9"/>
      <c r="XCX477" s="9"/>
      <c r="XCY477" s="9"/>
      <c r="XCZ477" s="9"/>
      <c r="XDA477" s="9"/>
      <c r="XDB477" s="9"/>
      <c r="XDC477" s="9"/>
      <c r="XDD477" s="9"/>
      <c r="XDE477" s="9"/>
      <c r="XDF477" s="9"/>
      <c r="XDG477" s="9"/>
      <c r="XDH477" s="9"/>
      <c r="XDI477" s="9"/>
      <c r="XDJ477" s="9"/>
      <c r="XDK477" s="9"/>
      <c r="XDL477" s="9"/>
      <c r="XDM477" s="9"/>
      <c r="XDN477" s="9"/>
      <c r="XDO477" s="9"/>
      <c r="XDP477" s="9"/>
      <c r="XDQ477" s="9"/>
      <c r="XDR477" s="9"/>
      <c r="XDS477" s="9"/>
      <c r="XDT477" s="9"/>
      <c r="XDU477" s="9"/>
      <c r="XDV477" s="9"/>
      <c r="XDW477" s="9"/>
      <c r="XDX477" s="9"/>
      <c r="XDY477" s="9"/>
      <c r="XDZ477" s="9"/>
      <c r="XEA477" s="9"/>
      <c r="XEB477" s="9"/>
      <c r="XEC477" s="9"/>
      <c r="XED477" s="9"/>
      <c r="XEE477" s="9"/>
      <c r="XEF477" s="9"/>
      <c r="XEG477" s="9"/>
      <c r="XEH477" s="9"/>
      <c r="XEI477" s="9"/>
      <c r="XEJ477" s="9"/>
      <c r="XEK477" s="9"/>
      <c r="XEL477" s="9"/>
      <c r="XEM477" s="9"/>
      <c r="XEN477" s="9"/>
      <c r="XEO477" s="9"/>
      <c r="XEP477" s="9"/>
      <c r="XEQ477" s="9"/>
      <c r="XER477" s="9"/>
      <c r="XES477" s="9"/>
      <c r="XET477" s="9"/>
      <c r="XEU477" s="9"/>
      <c r="XEV477" s="9"/>
      <c r="XEW477" s="9"/>
      <c r="XEX477" s="9"/>
      <c r="XEY477" s="9"/>
      <c r="XEZ477" s="9"/>
      <c r="XFA477" s="9"/>
      <c r="XFB477" s="9"/>
      <c r="XFC477" s="9"/>
      <c r="XFD477" s="9"/>
    </row>
    <row r="478" spans="1:8 16325:16384" s="3" customFormat="1" ht="19.95" customHeight="1">
      <c r="A478" s="6" t="str">
        <f t="shared" si="18"/>
        <v>040019</v>
      </c>
      <c r="B478" s="6" t="s">
        <v>25</v>
      </c>
      <c r="C478" s="6" t="s">
        <v>24</v>
      </c>
      <c r="D478" s="6" t="str">
        <f>"512627223"</f>
        <v>512627223</v>
      </c>
      <c r="E478" s="7">
        <v>100.5</v>
      </c>
      <c r="F478" s="7">
        <v>72.5</v>
      </c>
      <c r="G478" s="7"/>
      <c r="H478" s="7">
        <v>89.3</v>
      </c>
      <c r="XCW478" s="9"/>
      <c r="XCX478" s="9"/>
      <c r="XCY478" s="9"/>
      <c r="XCZ478" s="9"/>
      <c r="XDA478" s="9"/>
      <c r="XDB478" s="9"/>
      <c r="XDC478" s="9"/>
      <c r="XDD478" s="9"/>
      <c r="XDE478" s="9"/>
      <c r="XDF478" s="9"/>
      <c r="XDG478" s="9"/>
      <c r="XDH478" s="9"/>
      <c r="XDI478" s="9"/>
      <c r="XDJ478" s="9"/>
      <c r="XDK478" s="9"/>
      <c r="XDL478" s="9"/>
      <c r="XDM478" s="9"/>
      <c r="XDN478" s="9"/>
      <c r="XDO478" s="9"/>
      <c r="XDP478" s="9"/>
      <c r="XDQ478" s="9"/>
      <c r="XDR478" s="9"/>
      <c r="XDS478" s="9"/>
      <c r="XDT478" s="9"/>
      <c r="XDU478" s="9"/>
      <c r="XDV478" s="9"/>
      <c r="XDW478" s="9"/>
      <c r="XDX478" s="9"/>
      <c r="XDY478" s="9"/>
      <c r="XDZ478" s="9"/>
      <c r="XEA478" s="9"/>
      <c r="XEB478" s="9"/>
      <c r="XEC478" s="9"/>
      <c r="XED478" s="9"/>
      <c r="XEE478" s="9"/>
      <c r="XEF478" s="9"/>
      <c r="XEG478" s="9"/>
      <c r="XEH478" s="9"/>
      <c r="XEI478" s="9"/>
      <c r="XEJ478" s="9"/>
      <c r="XEK478" s="9"/>
      <c r="XEL478" s="9"/>
      <c r="XEM478" s="9"/>
      <c r="XEN478" s="9"/>
      <c r="XEO478" s="9"/>
      <c r="XEP478" s="9"/>
      <c r="XEQ478" s="9"/>
      <c r="XER478" s="9"/>
      <c r="XES478" s="9"/>
      <c r="XET478" s="9"/>
      <c r="XEU478" s="9"/>
      <c r="XEV478" s="9"/>
      <c r="XEW478" s="9"/>
      <c r="XEX478" s="9"/>
      <c r="XEY478" s="9"/>
      <c r="XEZ478" s="9"/>
      <c r="XFA478" s="9"/>
      <c r="XFB478" s="9"/>
      <c r="XFC478" s="9"/>
      <c r="XFD478" s="9"/>
    </row>
    <row r="479" spans="1:8 16325:16384" s="3" customFormat="1" ht="19.95" customHeight="1">
      <c r="A479" s="6" t="str">
        <f t="shared" si="18"/>
        <v>040019</v>
      </c>
      <c r="B479" s="6" t="s">
        <v>25</v>
      </c>
      <c r="C479" s="6" t="s">
        <v>24</v>
      </c>
      <c r="D479" s="6" t="str">
        <f>"512627303"</f>
        <v>512627303</v>
      </c>
      <c r="E479" s="7">
        <v>109.5</v>
      </c>
      <c r="F479" s="7">
        <v>73.5</v>
      </c>
      <c r="G479" s="7"/>
      <c r="H479" s="7">
        <v>95.1</v>
      </c>
      <c r="XCW479" s="9"/>
      <c r="XCX479" s="9"/>
      <c r="XCY479" s="9"/>
      <c r="XCZ479" s="9"/>
      <c r="XDA479" s="9"/>
      <c r="XDB479" s="9"/>
      <c r="XDC479" s="9"/>
      <c r="XDD479" s="9"/>
      <c r="XDE479" s="9"/>
      <c r="XDF479" s="9"/>
      <c r="XDG479" s="9"/>
      <c r="XDH479" s="9"/>
      <c r="XDI479" s="9"/>
      <c r="XDJ479" s="9"/>
      <c r="XDK479" s="9"/>
      <c r="XDL479" s="9"/>
      <c r="XDM479" s="9"/>
      <c r="XDN479" s="9"/>
      <c r="XDO479" s="9"/>
      <c r="XDP479" s="9"/>
      <c r="XDQ479" s="9"/>
      <c r="XDR479" s="9"/>
      <c r="XDS479" s="9"/>
      <c r="XDT479" s="9"/>
      <c r="XDU479" s="9"/>
      <c r="XDV479" s="9"/>
      <c r="XDW479" s="9"/>
      <c r="XDX479" s="9"/>
      <c r="XDY479" s="9"/>
      <c r="XDZ479" s="9"/>
      <c r="XEA479" s="9"/>
      <c r="XEB479" s="9"/>
      <c r="XEC479" s="9"/>
      <c r="XED479" s="9"/>
      <c r="XEE479" s="9"/>
      <c r="XEF479" s="9"/>
      <c r="XEG479" s="9"/>
      <c r="XEH479" s="9"/>
      <c r="XEI479" s="9"/>
      <c r="XEJ479" s="9"/>
      <c r="XEK479" s="9"/>
      <c r="XEL479" s="9"/>
      <c r="XEM479" s="9"/>
      <c r="XEN479" s="9"/>
      <c r="XEO479" s="9"/>
      <c r="XEP479" s="9"/>
      <c r="XEQ479" s="9"/>
      <c r="XER479" s="9"/>
      <c r="XES479" s="9"/>
      <c r="XET479" s="9"/>
      <c r="XEU479" s="9"/>
      <c r="XEV479" s="9"/>
      <c r="XEW479" s="9"/>
      <c r="XEX479" s="9"/>
      <c r="XEY479" s="9"/>
      <c r="XEZ479" s="9"/>
      <c r="XFA479" s="9"/>
      <c r="XFB479" s="9"/>
      <c r="XFC479" s="9"/>
      <c r="XFD479" s="9"/>
    </row>
    <row r="480" spans="1:8 16325:16384" s="3" customFormat="1" ht="19.95" customHeight="1">
      <c r="A480" s="6" t="str">
        <f t="shared" si="18"/>
        <v>040019</v>
      </c>
      <c r="B480" s="6" t="s">
        <v>25</v>
      </c>
      <c r="C480" s="6" t="s">
        <v>24</v>
      </c>
      <c r="D480" s="6" t="str">
        <f>"512627224"</f>
        <v>512627224</v>
      </c>
      <c r="E480" s="7">
        <v>0</v>
      </c>
      <c r="F480" s="7">
        <v>0</v>
      </c>
      <c r="G480" s="7"/>
      <c r="H480" s="7">
        <v>0</v>
      </c>
      <c r="XCW480" s="9"/>
      <c r="XCX480" s="9"/>
      <c r="XCY480" s="9"/>
      <c r="XCZ480" s="9"/>
      <c r="XDA480" s="9"/>
      <c r="XDB480" s="9"/>
      <c r="XDC480" s="9"/>
      <c r="XDD480" s="9"/>
      <c r="XDE480" s="9"/>
      <c r="XDF480" s="9"/>
      <c r="XDG480" s="9"/>
      <c r="XDH480" s="9"/>
      <c r="XDI480" s="9"/>
      <c r="XDJ480" s="9"/>
      <c r="XDK480" s="9"/>
      <c r="XDL480" s="9"/>
      <c r="XDM480" s="9"/>
      <c r="XDN480" s="9"/>
      <c r="XDO480" s="9"/>
      <c r="XDP480" s="9"/>
      <c r="XDQ480" s="9"/>
      <c r="XDR480" s="9"/>
      <c r="XDS480" s="9"/>
      <c r="XDT480" s="9"/>
      <c r="XDU480" s="9"/>
      <c r="XDV480" s="9"/>
      <c r="XDW480" s="9"/>
      <c r="XDX480" s="9"/>
      <c r="XDY480" s="9"/>
      <c r="XDZ480" s="9"/>
      <c r="XEA480" s="9"/>
      <c r="XEB480" s="9"/>
      <c r="XEC480" s="9"/>
      <c r="XED480" s="9"/>
      <c r="XEE480" s="9"/>
      <c r="XEF480" s="9"/>
      <c r="XEG480" s="9"/>
      <c r="XEH480" s="9"/>
      <c r="XEI480" s="9"/>
      <c r="XEJ480" s="9"/>
      <c r="XEK480" s="9"/>
      <c r="XEL480" s="9"/>
      <c r="XEM480" s="9"/>
      <c r="XEN480" s="9"/>
      <c r="XEO480" s="9"/>
      <c r="XEP480" s="9"/>
      <c r="XEQ480" s="9"/>
      <c r="XER480" s="9"/>
      <c r="XES480" s="9"/>
      <c r="XET480" s="9"/>
      <c r="XEU480" s="9"/>
      <c r="XEV480" s="9"/>
      <c r="XEW480" s="9"/>
      <c r="XEX480" s="9"/>
      <c r="XEY480" s="9"/>
      <c r="XEZ480" s="9"/>
      <c r="XFA480" s="9"/>
      <c r="XFB480" s="9"/>
      <c r="XFC480" s="9"/>
      <c r="XFD480" s="9"/>
    </row>
    <row r="481" spans="1:8 16325:16384" s="3" customFormat="1" ht="19.95" customHeight="1">
      <c r="A481" s="6" t="str">
        <f t="shared" si="18"/>
        <v>040019</v>
      </c>
      <c r="B481" s="6" t="s">
        <v>25</v>
      </c>
      <c r="C481" s="6" t="s">
        <v>24</v>
      </c>
      <c r="D481" s="6" t="str">
        <f>"512627225"</f>
        <v>512627225</v>
      </c>
      <c r="E481" s="7">
        <v>98</v>
      </c>
      <c r="F481" s="7">
        <v>72.5</v>
      </c>
      <c r="G481" s="7"/>
      <c r="H481" s="7">
        <v>87.8</v>
      </c>
      <c r="XCW481" s="9"/>
      <c r="XCX481" s="9"/>
      <c r="XCY481" s="9"/>
      <c r="XCZ481" s="9"/>
      <c r="XDA481" s="9"/>
      <c r="XDB481" s="9"/>
      <c r="XDC481" s="9"/>
      <c r="XDD481" s="9"/>
      <c r="XDE481" s="9"/>
      <c r="XDF481" s="9"/>
      <c r="XDG481" s="9"/>
      <c r="XDH481" s="9"/>
      <c r="XDI481" s="9"/>
      <c r="XDJ481" s="9"/>
      <c r="XDK481" s="9"/>
      <c r="XDL481" s="9"/>
      <c r="XDM481" s="9"/>
      <c r="XDN481" s="9"/>
      <c r="XDO481" s="9"/>
      <c r="XDP481" s="9"/>
      <c r="XDQ481" s="9"/>
      <c r="XDR481" s="9"/>
      <c r="XDS481" s="9"/>
      <c r="XDT481" s="9"/>
      <c r="XDU481" s="9"/>
      <c r="XDV481" s="9"/>
      <c r="XDW481" s="9"/>
      <c r="XDX481" s="9"/>
      <c r="XDY481" s="9"/>
      <c r="XDZ481" s="9"/>
      <c r="XEA481" s="9"/>
      <c r="XEB481" s="9"/>
      <c r="XEC481" s="9"/>
      <c r="XED481" s="9"/>
      <c r="XEE481" s="9"/>
      <c r="XEF481" s="9"/>
      <c r="XEG481" s="9"/>
      <c r="XEH481" s="9"/>
      <c r="XEI481" s="9"/>
      <c r="XEJ481" s="9"/>
      <c r="XEK481" s="9"/>
      <c r="XEL481" s="9"/>
      <c r="XEM481" s="9"/>
      <c r="XEN481" s="9"/>
      <c r="XEO481" s="9"/>
      <c r="XEP481" s="9"/>
      <c r="XEQ481" s="9"/>
      <c r="XER481" s="9"/>
      <c r="XES481" s="9"/>
      <c r="XET481" s="9"/>
      <c r="XEU481" s="9"/>
      <c r="XEV481" s="9"/>
      <c r="XEW481" s="9"/>
      <c r="XEX481" s="9"/>
      <c r="XEY481" s="9"/>
      <c r="XEZ481" s="9"/>
      <c r="XFA481" s="9"/>
      <c r="XFB481" s="9"/>
      <c r="XFC481" s="9"/>
      <c r="XFD481" s="9"/>
    </row>
    <row r="482" spans="1:8 16325:16384" s="3" customFormat="1" ht="19.95" customHeight="1">
      <c r="A482" s="6" t="str">
        <f t="shared" si="18"/>
        <v>040019</v>
      </c>
      <c r="B482" s="6" t="s">
        <v>25</v>
      </c>
      <c r="C482" s="6" t="s">
        <v>24</v>
      </c>
      <c r="D482" s="6" t="str">
        <f>"512627216"</f>
        <v>512627216</v>
      </c>
      <c r="E482" s="7">
        <v>92</v>
      </c>
      <c r="F482" s="7">
        <v>74.5</v>
      </c>
      <c r="G482" s="7"/>
      <c r="H482" s="7">
        <v>85</v>
      </c>
      <c r="XCW482" s="9"/>
      <c r="XCX482" s="9"/>
      <c r="XCY482" s="9"/>
      <c r="XCZ482" s="9"/>
      <c r="XDA482" s="9"/>
      <c r="XDB482" s="9"/>
      <c r="XDC482" s="9"/>
      <c r="XDD482" s="9"/>
      <c r="XDE482" s="9"/>
      <c r="XDF482" s="9"/>
      <c r="XDG482" s="9"/>
      <c r="XDH482" s="9"/>
      <c r="XDI482" s="9"/>
      <c r="XDJ482" s="9"/>
      <c r="XDK482" s="9"/>
      <c r="XDL482" s="9"/>
      <c r="XDM482" s="9"/>
      <c r="XDN482" s="9"/>
      <c r="XDO482" s="9"/>
      <c r="XDP482" s="9"/>
      <c r="XDQ482" s="9"/>
      <c r="XDR482" s="9"/>
      <c r="XDS482" s="9"/>
      <c r="XDT482" s="9"/>
      <c r="XDU482" s="9"/>
      <c r="XDV482" s="9"/>
      <c r="XDW482" s="9"/>
      <c r="XDX482" s="9"/>
      <c r="XDY482" s="9"/>
      <c r="XDZ482" s="9"/>
      <c r="XEA482" s="9"/>
      <c r="XEB482" s="9"/>
      <c r="XEC482" s="9"/>
      <c r="XED482" s="9"/>
      <c r="XEE482" s="9"/>
      <c r="XEF482" s="9"/>
      <c r="XEG482" s="9"/>
      <c r="XEH482" s="9"/>
      <c r="XEI482" s="9"/>
      <c r="XEJ482" s="9"/>
      <c r="XEK482" s="9"/>
      <c r="XEL482" s="9"/>
      <c r="XEM482" s="9"/>
      <c r="XEN482" s="9"/>
      <c r="XEO482" s="9"/>
      <c r="XEP482" s="9"/>
      <c r="XEQ482" s="9"/>
      <c r="XER482" s="9"/>
      <c r="XES482" s="9"/>
      <c r="XET482" s="9"/>
      <c r="XEU482" s="9"/>
      <c r="XEV482" s="9"/>
      <c r="XEW482" s="9"/>
      <c r="XEX482" s="9"/>
      <c r="XEY482" s="9"/>
      <c r="XEZ482" s="9"/>
      <c r="XFA482" s="9"/>
      <c r="XFB482" s="9"/>
      <c r="XFC482" s="9"/>
      <c r="XFD482" s="9"/>
    </row>
    <row r="483" spans="1:8 16325:16384" s="3" customFormat="1" ht="19.95" customHeight="1">
      <c r="A483" s="6" t="str">
        <f t="shared" si="18"/>
        <v>040019</v>
      </c>
      <c r="B483" s="6" t="s">
        <v>25</v>
      </c>
      <c r="C483" s="6" t="s">
        <v>24</v>
      </c>
      <c r="D483" s="6" t="str">
        <f>"512627309"</f>
        <v>512627309</v>
      </c>
      <c r="E483" s="7">
        <v>0</v>
      </c>
      <c r="F483" s="7">
        <v>0</v>
      </c>
      <c r="G483" s="7"/>
      <c r="H483" s="7">
        <v>0</v>
      </c>
      <c r="XCW483" s="9"/>
      <c r="XCX483" s="9"/>
      <c r="XCY483" s="9"/>
      <c r="XCZ483" s="9"/>
      <c r="XDA483" s="9"/>
      <c r="XDB483" s="9"/>
      <c r="XDC483" s="9"/>
      <c r="XDD483" s="9"/>
      <c r="XDE483" s="9"/>
      <c r="XDF483" s="9"/>
      <c r="XDG483" s="9"/>
      <c r="XDH483" s="9"/>
      <c r="XDI483" s="9"/>
      <c r="XDJ483" s="9"/>
      <c r="XDK483" s="9"/>
      <c r="XDL483" s="9"/>
      <c r="XDM483" s="9"/>
      <c r="XDN483" s="9"/>
      <c r="XDO483" s="9"/>
      <c r="XDP483" s="9"/>
      <c r="XDQ483" s="9"/>
      <c r="XDR483" s="9"/>
      <c r="XDS483" s="9"/>
      <c r="XDT483" s="9"/>
      <c r="XDU483" s="9"/>
      <c r="XDV483" s="9"/>
      <c r="XDW483" s="9"/>
      <c r="XDX483" s="9"/>
      <c r="XDY483" s="9"/>
      <c r="XDZ483" s="9"/>
      <c r="XEA483" s="9"/>
      <c r="XEB483" s="9"/>
      <c r="XEC483" s="9"/>
      <c r="XED483" s="9"/>
      <c r="XEE483" s="9"/>
      <c r="XEF483" s="9"/>
      <c r="XEG483" s="9"/>
      <c r="XEH483" s="9"/>
      <c r="XEI483" s="9"/>
      <c r="XEJ483" s="9"/>
      <c r="XEK483" s="9"/>
      <c r="XEL483" s="9"/>
      <c r="XEM483" s="9"/>
      <c r="XEN483" s="9"/>
      <c r="XEO483" s="9"/>
      <c r="XEP483" s="9"/>
      <c r="XEQ483" s="9"/>
      <c r="XER483" s="9"/>
      <c r="XES483" s="9"/>
      <c r="XET483" s="9"/>
      <c r="XEU483" s="9"/>
      <c r="XEV483" s="9"/>
      <c r="XEW483" s="9"/>
      <c r="XEX483" s="9"/>
      <c r="XEY483" s="9"/>
      <c r="XEZ483" s="9"/>
      <c r="XFA483" s="9"/>
      <c r="XFB483" s="9"/>
      <c r="XFC483" s="9"/>
      <c r="XFD483" s="9"/>
    </row>
    <row r="484" spans="1:8 16325:16384" s="3" customFormat="1" ht="19.95" customHeight="1">
      <c r="A484" s="6" t="str">
        <f t="shared" si="18"/>
        <v>040019</v>
      </c>
      <c r="B484" s="6" t="s">
        <v>25</v>
      </c>
      <c r="C484" s="6" t="s">
        <v>24</v>
      </c>
      <c r="D484" s="6" t="str">
        <f>"512627228"</f>
        <v>512627228</v>
      </c>
      <c r="E484" s="7">
        <v>89</v>
      </c>
      <c r="F484" s="7">
        <v>60.5</v>
      </c>
      <c r="G484" s="7"/>
      <c r="H484" s="7">
        <v>77.599999999999994</v>
      </c>
      <c r="XCW484" s="9"/>
      <c r="XCX484" s="9"/>
      <c r="XCY484" s="9"/>
      <c r="XCZ484" s="9"/>
      <c r="XDA484" s="9"/>
      <c r="XDB484" s="9"/>
      <c r="XDC484" s="9"/>
      <c r="XDD484" s="9"/>
      <c r="XDE484" s="9"/>
      <c r="XDF484" s="9"/>
      <c r="XDG484" s="9"/>
      <c r="XDH484" s="9"/>
      <c r="XDI484" s="9"/>
      <c r="XDJ484" s="9"/>
      <c r="XDK484" s="9"/>
      <c r="XDL484" s="9"/>
      <c r="XDM484" s="9"/>
      <c r="XDN484" s="9"/>
      <c r="XDO484" s="9"/>
      <c r="XDP484" s="9"/>
      <c r="XDQ484" s="9"/>
      <c r="XDR484" s="9"/>
      <c r="XDS484" s="9"/>
      <c r="XDT484" s="9"/>
      <c r="XDU484" s="9"/>
      <c r="XDV484" s="9"/>
      <c r="XDW484" s="9"/>
      <c r="XDX484" s="9"/>
      <c r="XDY484" s="9"/>
      <c r="XDZ484" s="9"/>
      <c r="XEA484" s="9"/>
      <c r="XEB484" s="9"/>
      <c r="XEC484" s="9"/>
      <c r="XED484" s="9"/>
      <c r="XEE484" s="9"/>
      <c r="XEF484" s="9"/>
      <c r="XEG484" s="9"/>
      <c r="XEH484" s="9"/>
      <c r="XEI484" s="9"/>
      <c r="XEJ484" s="9"/>
      <c r="XEK484" s="9"/>
      <c r="XEL484" s="9"/>
      <c r="XEM484" s="9"/>
      <c r="XEN484" s="9"/>
      <c r="XEO484" s="9"/>
      <c r="XEP484" s="9"/>
      <c r="XEQ484" s="9"/>
      <c r="XER484" s="9"/>
      <c r="XES484" s="9"/>
      <c r="XET484" s="9"/>
      <c r="XEU484" s="9"/>
      <c r="XEV484" s="9"/>
      <c r="XEW484" s="9"/>
      <c r="XEX484" s="9"/>
      <c r="XEY484" s="9"/>
      <c r="XEZ484" s="9"/>
      <c r="XFA484" s="9"/>
      <c r="XFB484" s="9"/>
      <c r="XFC484" s="9"/>
      <c r="XFD484" s="9"/>
    </row>
    <row r="485" spans="1:8 16325:16384" s="3" customFormat="1" ht="19.95" customHeight="1">
      <c r="A485" s="6" t="str">
        <f t="shared" ref="A485:A490" si="19">"040020"</f>
        <v>040020</v>
      </c>
      <c r="B485" s="6" t="s">
        <v>12</v>
      </c>
      <c r="C485" s="6" t="s">
        <v>24</v>
      </c>
      <c r="D485" s="6" t="str">
        <f>"512421228"</f>
        <v>512421228</v>
      </c>
      <c r="E485" s="7">
        <v>78</v>
      </c>
      <c r="F485" s="7">
        <v>75.5</v>
      </c>
      <c r="G485" s="7"/>
      <c r="H485" s="7">
        <v>77</v>
      </c>
      <c r="XCW485" s="9"/>
      <c r="XCX485" s="9"/>
      <c r="XCY485" s="9"/>
      <c r="XCZ485" s="9"/>
      <c r="XDA485" s="9"/>
      <c r="XDB485" s="9"/>
      <c r="XDC485" s="9"/>
      <c r="XDD485" s="9"/>
      <c r="XDE485" s="9"/>
      <c r="XDF485" s="9"/>
      <c r="XDG485" s="9"/>
      <c r="XDH485" s="9"/>
      <c r="XDI485" s="9"/>
      <c r="XDJ485" s="9"/>
      <c r="XDK485" s="9"/>
      <c r="XDL485" s="9"/>
      <c r="XDM485" s="9"/>
      <c r="XDN485" s="9"/>
      <c r="XDO485" s="9"/>
      <c r="XDP485" s="9"/>
      <c r="XDQ485" s="9"/>
      <c r="XDR485" s="9"/>
      <c r="XDS485" s="9"/>
      <c r="XDT485" s="9"/>
      <c r="XDU485" s="9"/>
      <c r="XDV485" s="9"/>
      <c r="XDW485" s="9"/>
      <c r="XDX485" s="9"/>
      <c r="XDY485" s="9"/>
      <c r="XDZ485" s="9"/>
      <c r="XEA485" s="9"/>
      <c r="XEB485" s="9"/>
      <c r="XEC485" s="9"/>
      <c r="XED485" s="9"/>
      <c r="XEE485" s="9"/>
      <c r="XEF485" s="9"/>
      <c r="XEG485" s="9"/>
      <c r="XEH485" s="9"/>
      <c r="XEI485" s="9"/>
      <c r="XEJ485" s="9"/>
      <c r="XEK485" s="9"/>
      <c r="XEL485" s="9"/>
      <c r="XEM485" s="9"/>
      <c r="XEN485" s="9"/>
      <c r="XEO485" s="9"/>
      <c r="XEP485" s="9"/>
      <c r="XEQ485" s="9"/>
      <c r="XER485" s="9"/>
      <c r="XES485" s="9"/>
      <c r="XET485" s="9"/>
      <c r="XEU485" s="9"/>
      <c r="XEV485" s="9"/>
      <c r="XEW485" s="9"/>
      <c r="XEX485" s="9"/>
      <c r="XEY485" s="9"/>
      <c r="XEZ485" s="9"/>
      <c r="XFA485" s="9"/>
      <c r="XFB485" s="9"/>
      <c r="XFC485" s="9"/>
      <c r="XFD485" s="9"/>
    </row>
    <row r="486" spans="1:8 16325:16384" s="3" customFormat="1" ht="19.95" customHeight="1">
      <c r="A486" s="6" t="str">
        <f t="shared" si="19"/>
        <v>040020</v>
      </c>
      <c r="B486" s="6" t="s">
        <v>12</v>
      </c>
      <c r="C486" s="6" t="s">
        <v>24</v>
      </c>
      <c r="D486" s="6" t="str">
        <f>"512421229"</f>
        <v>512421229</v>
      </c>
      <c r="E486" s="7">
        <v>85.5</v>
      </c>
      <c r="F486" s="7">
        <v>65.5</v>
      </c>
      <c r="G486" s="7"/>
      <c r="H486" s="7">
        <v>77.5</v>
      </c>
      <c r="XCW486" s="9"/>
      <c r="XCX486" s="9"/>
      <c r="XCY486" s="9"/>
      <c r="XCZ486" s="9"/>
      <c r="XDA486" s="9"/>
      <c r="XDB486" s="9"/>
      <c r="XDC486" s="9"/>
      <c r="XDD486" s="9"/>
      <c r="XDE486" s="9"/>
      <c r="XDF486" s="9"/>
      <c r="XDG486" s="9"/>
      <c r="XDH486" s="9"/>
      <c r="XDI486" s="9"/>
      <c r="XDJ486" s="9"/>
      <c r="XDK486" s="9"/>
      <c r="XDL486" s="9"/>
      <c r="XDM486" s="9"/>
      <c r="XDN486" s="9"/>
      <c r="XDO486" s="9"/>
      <c r="XDP486" s="9"/>
      <c r="XDQ486" s="9"/>
      <c r="XDR486" s="9"/>
      <c r="XDS486" s="9"/>
      <c r="XDT486" s="9"/>
      <c r="XDU486" s="9"/>
      <c r="XDV486" s="9"/>
      <c r="XDW486" s="9"/>
      <c r="XDX486" s="9"/>
      <c r="XDY486" s="9"/>
      <c r="XDZ486" s="9"/>
      <c r="XEA486" s="9"/>
      <c r="XEB486" s="9"/>
      <c r="XEC486" s="9"/>
      <c r="XED486" s="9"/>
      <c r="XEE486" s="9"/>
      <c r="XEF486" s="9"/>
      <c r="XEG486" s="9"/>
      <c r="XEH486" s="9"/>
      <c r="XEI486" s="9"/>
      <c r="XEJ486" s="9"/>
      <c r="XEK486" s="9"/>
      <c r="XEL486" s="9"/>
      <c r="XEM486" s="9"/>
      <c r="XEN486" s="9"/>
      <c r="XEO486" s="9"/>
      <c r="XEP486" s="9"/>
      <c r="XEQ486" s="9"/>
      <c r="XER486" s="9"/>
      <c r="XES486" s="9"/>
      <c r="XET486" s="9"/>
      <c r="XEU486" s="9"/>
      <c r="XEV486" s="9"/>
      <c r="XEW486" s="9"/>
      <c r="XEX486" s="9"/>
      <c r="XEY486" s="9"/>
      <c r="XEZ486" s="9"/>
      <c r="XFA486" s="9"/>
      <c r="XFB486" s="9"/>
      <c r="XFC486" s="9"/>
      <c r="XFD486" s="9"/>
    </row>
    <row r="487" spans="1:8 16325:16384" s="3" customFormat="1" ht="19.95" customHeight="1">
      <c r="A487" s="6" t="str">
        <f t="shared" si="19"/>
        <v>040020</v>
      </c>
      <c r="B487" s="6" t="s">
        <v>12</v>
      </c>
      <c r="C487" s="6" t="s">
        <v>24</v>
      </c>
      <c r="D487" s="6" t="str">
        <f>"512421301"</f>
        <v>512421301</v>
      </c>
      <c r="E487" s="7">
        <v>88</v>
      </c>
      <c r="F487" s="7">
        <v>76.5</v>
      </c>
      <c r="G487" s="7"/>
      <c r="H487" s="7">
        <v>83.4</v>
      </c>
      <c r="XCW487" s="9"/>
      <c r="XCX487" s="9"/>
      <c r="XCY487" s="9"/>
      <c r="XCZ487" s="9"/>
      <c r="XDA487" s="9"/>
      <c r="XDB487" s="9"/>
      <c r="XDC487" s="9"/>
      <c r="XDD487" s="9"/>
      <c r="XDE487" s="9"/>
      <c r="XDF487" s="9"/>
      <c r="XDG487" s="9"/>
      <c r="XDH487" s="9"/>
      <c r="XDI487" s="9"/>
      <c r="XDJ487" s="9"/>
      <c r="XDK487" s="9"/>
      <c r="XDL487" s="9"/>
      <c r="XDM487" s="9"/>
      <c r="XDN487" s="9"/>
      <c r="XDO487" s="9"/>
      <c r="XDP487" s="9"/>
      <c r="XDQ487" s="9"/>
      <c r="XDR487" s="9"/>
      <c r="XDS487" s="9"/>
      <c r="XDT487" s="9"/>
      <c r="XDU487" s="9"/>
      <c r="XDV487" s="9"/>
      <c r="XDW487" s="9"/>
      <c r="XDX487" s="9"/>
      <c r="XDY487" s="9"/>
      <c r="XDZ487" s="9"/>
      <c r="XEA487" s="9"/>
      <c r="XEB487" s="9"/>
      <c r="XEC487" s="9"/>
      <c r="XED487" s="9"/>
      <c r="XEE487" s="9"/>
      <c r="XEF487" s="9"/>
      <c r="XEG487" s="9"/>
      <c r="XEH487" s="9"/>
      <c r="XEI487" s="9"/>
      <c r="XEJ487" s="9"/>
      <c r="XEK487" s="9"/>
      <c r="XEL487" s="9"/>
      <c r="XEM487" s="9"/>
      <c r="XEN487" s="9"/>
      <c r="XEO487" s="9"/>
      <c r="XEP487" s="9"/>
      <c r="XEQ487" s="9"/>
      <c r="XER487" s="9"/>
      <c r="XES487" s="9"/>
      <c r="XET487" s="9"/>
      <c r="XEU487" s="9"/>
      <c r="XEV487" s="9"/>
      <c r="XEW487" s="9"/>
      <c r="XEX487" s="9"/>
      <c r="XEY487" s="9"/>
      <c r="XEZ487" s="9"/>
      <c r="XFA487" s="9"/>
      <c r="XFB487" s="9"/>
      <c r="XFC487" s="9"/>
      <c r="XFD487" s="9"/>
    </row>
    <row r="488" spans="1:8 16325:16384" s="3" customFormat="1" ht="19.95" customHeight="1">
      <c r="A488" s="6" t="str">
        <f t="shared" si="19"/>
        <v>040020</v>
      </c>
      <c r="B488" s="6" t="s">
        <v>12</v>
      </c>
      <c r="C488" s="6" t="s">
        <v>24</v>
      </c>
      <c r="D488" s="6" t="str">
        <f>"512421230"</f>
        <v>512421230</v>
      </c>
      <c r="E488" s="7">
        <v>88</v>
      </c>
      <c r="F488" s="7">
        <v>74.5</v>
      </c>
      <c r="G488" s="7"/>
      <c r="H488" s="7">
        <v>82.6</v>
      </c>
      <c r="XCW488" s="9"/>
      <c r="XCX488" s="9"/>
      <c r="XCY488" s="9"/>
      <c r="XCZ488" s="9"/>
      <c r="XDA488" s="9"/>
      <c r="XDB488" s="9"/>
      <c r="XDC488" s="9"/>
      <c r="XDD488" s="9"/>
      <c r="XDE488" s="9"/>
      <c r="XDF488" s="9"/>
      <c r="XDG488" s="9"/>
      <c r="XDH488" s="9"/>
      <c r="XDI488" s="9"/>
      <c r="XDJ488" s="9"/>
      <c r="XDK488" s="9"/>
      <c r="XDL488" s="9"/>
      <c r="XDM488" s="9"/>
      <c r="XDN488" s="9"/>
      <c r="XDO488" s="9"/>
      <c r="XDP488" s="9"/>
      <c r="XDQ488" s="9"/>
      <c r="XDR488" s="9"/>
      <c r="XDS488" s="9"/>
      <c r="XDT488" s="9"/>
      <c r="XDU488" s="9"/>
      <c r="XDV488" s="9"/>
      <c r="XDW488" s="9"/>
      <c r="XDX488" s="9"/>
      <c r="XDY488" s="9"/>
      <c r="XDZ488" s="9"/>
      <c r="XEA488" s="9"/>
      <c r="XEB488" s="9"/>
      <c r="XEC488" s="9"/>
      <c r="XED488" s="9"/>
      <c r="XEE488" s="9"/>
      <c r="XEF488" s="9"/>
      <c r="XEG488" s="9"/>
      <c r="XEH488" s="9"/>
      <c r="XEI488" s="9"/>
      <c r="XEJ488" s="9"/>
      <c r="XEK488" s="9"/>
      <c r="XEL488" s="9"/>
      <c r="XEM488" s="9"/>
      <c r="XEN488" s="9"/>
      <c r="XEO488" s="9"/>
      <c r="XEP488" s="9"/>
      <c r="XEQ488" s="9"/>
      <c r="XER488" s="9"/>
      <c r="XES488" s="9"/>
      <c r="XET488" s="9"/>
      <c r="XEU488" s="9"/>
      <c r="XEV488" s="9"/>
      <c r="XEW488" s="9"/>
      <c r="XEX488" s="9"/>
      <c r="XEY488" s="9"/>
      <c r="XEZ488" s="9"/>
      <c r="XFA488" s="9"/>
      <c r="XFB488" s="9"/>
      <c r="XFC488" s="9"/>
      <c r="XFD488" s="9"/>
    </row>
    <row r="489" spans="1:8 16325:16384" s="3" customFormat="1" ht="19.95" customHeight="1">
      <c r="A489" s="6" t="str">
        <f t="shared" si="19"/>
        <v>040020</v>
      </c>
      <c r="B489" s="6" t="s">
        <v>12</v>
      </c>
      <c r="C489" s="6" t="s">
        <v>24</v>
      </c>
      <c r="D489" s="6" t="str">
        <f>"512421303"</f>
        <v>512421303</v>
      </c>
      <c r="E489" s="7">
        <v>96</v>
      </c>
      <c r="F489" s="7">
        <v>90</v>
      </c>
      <c r="G489" s="7"/>
      <c r="H489" s="7">
        <v>93.6</v>
      </c>
      <c r="XCW489" s="9"/>
      <c r="XCX489" s="9"/>
      <c r="XCY489" s="9"/>
      <c r="XCZ489" s="9"/>
      <c r="XDA489" s="9"/>
      <c r="XDB489" s="9"/>
      <c r="XDC489" s="9"/>
      <c r="XDD489" s="9"/>
      <c r="XDE489" s="9"/>
      <c r="XDF489" s="9"/>
      <c r="XDG489" s="9"/>
      <c r="XDH489" s="9"/>
      <c r="XDI489" s="9"/>
      <c r="XDJ489" s="9"/>
      <c r="XDK489" s="9"/>
      <c r="XDL489" s="9"/>
      <c r="XDM489" s="9"/>
      <c r="XDN489" s="9"/>
      <c r="XDO489" s="9"/>
      <c r="XDP489" s="9"/>
      <c r="XDQ489" s="9"/>
      <c r="XDR489" s="9"/>
      <c r="XDS489" s="9"/>
      <c r="XDT489" s="9"/>
      <c r="XDU489" s="9"/>
      <c r="XDV489" s="9"/>
      <c r="XDW489" s="9"/>
      <c r="XDX489" s="9"/>
      <c r="XDY489" s="9"/>
      <c r="XDZ489" s="9"/>
      <c r="XEA489" s="9"/>
      <c r="XEB489" s="9"/>
      <c r="XEC489" s="9"/>
      <c r="XED489" s="9"/>
      <c r="XEE489" s="9"/>
      <c r="XEF489" s="9"/>
      <c r="XEG489" s="9"/>
      <c r="XEH489" s="9"/>
      <c r="XEI489" s="9"/>
      <c r="XEJ489" s="9"/>
      <c r="XEK489" s="9"/>
      <c r="XEL489" s="9"/>
      <c r="XEM489" s="9"/>
      <c r="XEN489" s="9"/>
      <c r="XEO489" s="9"/>
      <c r="XEP489" s="9"/>
      <c r="XEQ489" s="9"/>
      <c r="XER489" s="9"/>
      <c r="XES489" s="9"/>
      <c r="XET489" s="9"/>
      <c r="XEU489" s="9"/>
      <c r="XEV489" s="9"/>
      <c r="XEW489" s="9"/>
      <c r="XEX489" s="9"/>
      <c r="XEY489" s="9"/>
      <c r="XEZ489" s="9"/>
      <c r="XFA489" s="9"/>
      <c r="XFB489" s="9"/>
      <c r="XFC489" s="9"/>
      <c r="XFD489" s="9"/>
    </row>
    <row r="490" spans="1:8 16325:16384" s="3" customFormat="1" ht="19.95" customHeight="1">
      <c r="A490" s="6" t="str">
        <f t="shared" si="19"/>
        <v>040020</v>
      </c>
      <c r="B490" s="6" t="s">
        <v>12</v>
      </c>
      <c r="C490" s="6" t="s">
        <v>24</v>
      </c>
      <c r="D490" s="6" t="str">
        <f>"512421302"</f>
        <v>512421302</v>
      </c>
      <c r="E490" s="7">
        <v>93.5</v>
      </c>
      <c r="F490" s="7">
        <v>76.5</v>
      </c>
      <c r="G490" s="7"/>
      <c r="H490" s="7">
        <v>86.7</v>
      </c>
      <c r="XCW490" s="9"/>
      <c r="XCX490" s="9"/>
      <c r="XCY490" s="9"/>
      <c r="XCZ490" s="9"/>
      <c r="XDA490" s="9"/>
      <c r="XDB490" s="9"/>
      <c r="XDC490" s="9"/>
      <c r="XDD490" s="9"/>
      <c r="XDE490" s="9"/>
      <c r="XDF490" s="9"/>
      <c r="XDG490" s="9"/>
      <c r="XDH490" s="9"/>
      <c r="XDI490" s="9"/>
      <c r="XDJ490" s="9"/>
      <c r="XDK490" s="9"/>
      <c r="XDL490" s="9"/>
      <c r="XDM490" s="9"/>
      <c r="XDN490" s="9"/>
      <c r="XDO490" s="9"/>
      <c r="XDP490" s="9"/>
      <c r="XDQ490" s="9"/>
      <c r="XDR490" s="9"/>
      <c r="XDS490" s="9"/>
      <c r="XDT490" s="9"/>
      <c r="XDU490" s="9"/>
      <c r="XDV490" s="9"/>
      <c r="XDW490" s="9"/>
      <c r="XDX490" s="9"/>
      <c r="XDY490" s="9"/>
      <c r="XDZ490" s="9"/>
      <c r="XEA490" s="9"/>
      <c r="XEB490" s="9"/>
      <c r="XEC490" s="9"/>
      <c r="XED490" s="9"/>
      <c r="XEE490" s="9"/>
      <c r="XEF490" s="9"/>
      <c r="XEG490" s="9"/>
      <c r="XEH490" s="9"/>
      <c r="XEI490" s="9"/>
      <c r="XEJ490" s="9"/>
      <c r="XEK490" s="9"/>
      <c r="XEL490" s="9"/>
      <c r="XEM490" s="9"/>
      <c r="XEN490" s="9"/>
      <c r="XEO490" s="9"/>
      <c r="XEP490" s="9"/>
      <c r="XEQ490" s="9"/>
      <c r="XER490" s="9"/>
      <c r="XES490" s="9"/>
      <c r="XET490" s="9"/>
      <c r="XEU490" s="9"/>
      <c r="XEV490" s="9"/>
      <c r="XEW490" s="9"/>
      <c r="XEX490" s="9"/>
      <c r="XEY490" s="9"/>
      <c r="XEZ490" s="9"/>
      <c r="XFA490" s="9"/>
      <c r="XFB490" s="9"/>
      <c r="XFC490" s="9"/>
      <c r="XFD490" s="9"/>
    </row>
    <row r="491" spans="1:8 16325:16384" s="3" customFormat="1" ht="19.95" customHeight="1">
      <c r="A491" s="6" t="str">
        <f t="shared" ref="A491:A501" si="20">"040021"</f>
        <v>040021</v>
      </c>
      <c r="B491" s="6" t="s">
        <v>13</v>
      </c>
      <c r="C491" s="6" t="s">
        <v>24</v>
      </c>
      <c r="D491" s="6" t="str">
        <f>"512732516"</f>
        <v>512732516</v>
      </c>
      <c r="E491" s="7">
        <v>0</v>
      </c>
      <c r="F491" s="7">
        <v>0</v>
      </c>
      <c r="G491" s="7"/>
      <c r="H491" s="7">
        <v>0</v>
      </c>
      <c r="XCW491" s="9"/>
      <c r="XCX491" s="9"/>
      <c r="XCY491" s="9"/>
      <c r="XCZ491" s="9"/>
      <c r="XDA491" s="9"/>
      <c r="XDB491" s="9"/>
      <c r="XDC491" s="9"/>
      <c r="XDD491" s="9"/>
      <c r="XDE491" s="9"/>
      <c r="XDF491" s="9"/>
      <c r="XDG491" s="9"/>
      <c r="XDH491" s="9"/>
      <c r="XDI491" s="9"/>
      <c r="XDJ491" s="9"/>
      <c r="XDK491" s="9"/>
      <c r="XDL491" s="9"/>
      <c r="XDM491" s="9"/>
      <c r="XDN491" s="9"/>
      <c r="XDO491" s="9"/>
      <c r="XDP491" s="9"/>
      <c r="XDQ491" s="9"/>
      <c r="XDR491" s="9"/>
      <c r="XDS491" s="9"/>
      <c r="XDT491" s="9"/>
      <c r="XDU491" s="9"/>
      <c r="XDV491" s="9"/>
      <c r="XDW491" s="9"/>
      <c r="XDX491" s="9"/>
      <c r="XDY491" s="9"/>
      <c r="XDZ491" s="9"/>
      <c r="XEA491" s="9"/>
      <c r="XEB491" s="9"/>
      <c r="XEC491" s="9"/>
      <c r="XED491" s="9"/>
      <c r="XEE491" s="9"/>
      <c r="XEF491" s="9"/>
      <c r="XEG491" s="9"/>
      <c r="XEH491" s="9"/>
      <c r="XEI491" s="9"/>
      <c r="XEJ491" s="9"/>
      <c r="XEK491" s="9"/>
      <c r="XEL491" s="9"/>
      <c r="XEM491" s="9"/>
      <c r="XEN491" s="9"/>
      <c r="XEO491" s="9"/>
      <c r="XEP491" s="9"/>
      <c r="XEQ491" s="9"/>
      <c r="XER491" s="9"/>
      <c r="XES491" s="9"/>
      <c r="XET491" s="9"/>
      <c r="XEU491" s="9"/>
      <c r="XEV491" s="9"/>
      <c r="XEW491" s="9"/>
      <c r="XEX491" s="9"/>
      <c r="XEY491" s="9"/>
      <c r="XEZ491" s="9"/>
      <c r="XFA491" s="9"/>
      <c r="XFB491" s="9"/>
      <c r="XFC491" s="9"/>
      <c r="XFD491" s="9"/>
    </row>
    <row r="492" spans="1:8 16325:16384" s="3" customFormat="1" ht="19.95" customHeight="1">
      <c r="A492" s="6" t="str">
        <f t="shared" si="20"/>
        <v>040021</v>
      </c>
      <c r="B492" s="6" t="s">
        <v>13</v>
      </c>
      <c r="C492" s="6" t="s">
        <v>24</v>
      </c>
      <c r="D492" s="6" t="str">
        <f>"512732509"</f>
        <v>512732509</v>
      </c>
      <c r="E492" s="7">
        <v>97</v>
      </c>
      <c r="F492" s="7">
        <v>73</v>
      </c>
      <c r="G492" s="7"/>
      <c r="H492" s="7">
        <v>87.4</v>
      </c>
      <c r="XCW492" s="9"/>
      <c r="XCX492" s="9"/>
      <c r="XCY492" s="9"/>
      <c r="XCZ492" s="9"/>
      <c r="XDA492" s="9"/>
      <c r="XDB492" s="9"/>
      <c r="XDC492" s="9"/>
      <c r="XDD492" s="9"/>
      <c r="XDE492" s="9"/>
      <c r="XDF492" s="9"/>
      <c r="XDG492" s="9"/>
      <c r="XDH492" s="9"/>
      <c r="XDI492" s="9"/>
      <c r="XDJ492" s="9"/>
      <c r="XDK492" s="9"/>
      <c r="XDL492" s="9"/>
      <c r="XDM492" s="9"/>
      <c r="XDN492" s="9"/>
      <c r="XDO492" s="9"/>
      <c r="XDP492" s="9"/>
      <c r="XDQ492" s="9"/>
      <c r="XDR492" s="9"/>
      <c r="XDS492" s="9"/>
      <c r="XDT492" s="9"/>
      <c r="XDU492" s="9"/>
      <c r="XDV492" s="9"/>
      <c r="XDW492" s="9"/>
      <c r="XDX492" s="9"/>
      <c r="XDY492" s="9"/>
      <c r="XDZ492" s="9"/>
      <c r="XEA492" s="9"/>
      <c r="XEB492" s="9"/>
      <c r="XEC492" s="9"/>
      <c r="XED492" s="9"/>
      <c r="XEE492" s="9"/>
      <c r="XEF492" s="9"/>
      <c r="XEG492" s="9"/>
      <c r="XEH492" s="9"/>
      <c r="XEI492" s="9"/>
      <c r="XEJ492" s="9"/>
      <c r="XEK492" s="9"/>
      <c r="XEL492" s="9"/>
      <c r="XEM492" s="9"/>
      <c r="XEN492" s="9"/>
      <c r="XEO492" s="9"/>
      <c r="XEP492" s="9"/>
      <c r="XEQ492" s="9"/>
      <c r="XER492" s="9"/>
      <c r="XES492" s="9"/>
      <c r="XET492" s="9"/>
      <c r="XEU492" s="9"/>
      <c r="XEV492" s="9"/>
      <c r="XEW492" s="9"/>
      <c r="XEX492" s="9"/>
      <c r="XEY492" s="9"/>
      <c r="XEZ492" s="9"/>
      <c r="XFA492" s="9"/>
      <c r="XFB492" s="9"/>
      <c r="XFC492" s="9"/>
      <c r="XFD492" s="9"/>
    </row>
    <row r="493" spans="1:8 16325:16384" s="3" customFormat="1" ht="19.95" customHeight="1">
      <c r="A493" s="6" t="str">
        <f t="shared" si="20"/>
        <v>040021</v>
      </c>
      <c r="B493" s="6" t="s">
        <v>13</v>
      </c>
      <c r="C493" s="6" t="s">
        <v>24</v>
      </c>
      <c r="D493" s="6" t="str">
        <f>"512732512"</f>
        <v>512732512</v>
      </c>
      <c r="E493" s="7">
        <v>71.5</v>
      </c>
      <c r="F493" s="7">
        <v>64.5</v>
      </c>
      <c r="G493" s="7"/>
      <c r="H493" s="7">
        <v>68.7</v>
      </c>
      <c r="XCW493" s="9"/>
      <c r="XCX493" s="9"/>
      <c r="XCY493" s="9"/>
      <c r="XCZ493" s="9"/>
      <c r="XDA493" s="9"/>
      <c r="XDB493" s="9"/>
      <c r="XDC493" s="9"/>
      <c r="XDD493" s="9"/>
      <c r="XDE493" s="9"/>
      <c r="XDF493" s="9"/>
      <c r="XDG493" s="9"/>
      <c r="XDH493" s="9"/>
      <c r="XDI493" s="9"/>
      <c r="XDJ493" s="9"/>
      <c r="XDK493" s="9"/>
      <c r="XDL493" s="9"/>
      <c r="XDM493" s="9"/>
      <c r="XDN493" s="9"/>
      <c r="XDO493" s="9"/>
      <c r="XDP493" s="9"/>
      <c r="XDQ493" s="9"/>
      <c r="XDR493" s="9"/>
      <c r="XDS493" s="9"/>
      <c r="XDT493" s="9"/>
      <c r="XDU493" s="9"/>
      <c r="XDV493" s="9"/>
      <c r="XDW493" s="9"/>
      <c r="XDX493" s="9"/>
      <c r="XDY493" s="9"/>
      <c r="XDZ493" s="9"/>
      <c r="XEA493" s="9"/>
      <c r="XEB493" s="9"/>
      <c r="XEC493" s="9"/>
      <c r="XED493" s="9"/>
      <c r="XEE493" s="9"/>
      <c r="XEF493" s="9"/>
      <c r="XEG493" s="9"/>
      <c r="XEH493" s="9"/>
      <c r="XEI493" s="9"/>
      <c r="XEJ493" s="9"/>
      <c r="XEK493" s="9"/>
      <c r="XEL493" s="9"/>
      <c r="XEM493" s="9"/>
      <c r="XEN493" s="9"/>
      <c r="XEO493" s="9"/>
      <c r="XEP493" s="9"/>
      <c r="XEQ493" s="9"/>
      <c r="XER493" s="9"/>
      <c r="XES493" s="9"/>
      <c r="XET493" s="9"/>
      <c r="XEU493" s="9"/>
      <c r="XEV493" s="9"/>
      <c r="XEW493" s="9"/>
      <c r="XEX493" s="9"/>
      <c r="XEY493" s="9"/>
      <c r="XEZ493" s="9"/>
      <c r="XFA493" s="9"/>
      <c r="XFB493" s="9"/>
      <c r="XFC493" s="9"/>
      <c r="XFD493" s="9"/>
    </row>
    <row r="494" spans="1:8 16325:16384" s="3" customFormat="1" ht="19.95" customHeight="1">
      <c r="A494" s="6" t="str">
        <f t="shared" si="20"/>
        <v>040021</v>
      </c>
      <c r="B494" s="6" t="s">
        <v>13</v>
      </c>
      <c r="C494" s="6" t="s">
        <v>24</v>
      </c>
      <c r="D494" s="6" t="str">
        <f>"512732510"</f>
        <v>512732510</v>
      </c>
      <c r="E494" s="7">
        <v>83</v>
      </c>
      <c r="F494" s="7">
        <v>63.5</v>
      </c>
      <c r="G494" s="7"/>
      <c r="H494" s="7">
        <v>75.2</v>
      </c>
      <c r="XCW494" s="9"/>
      <c r="XCX494" s="9"/>
      <c r="XCY494" s="9"/>
      <c r="XCZ494" s="9"/>
      <c r="XDA494" s="9"/>
      <c r="XDB494" s="9"/>
      <c r="XDC494" s="9"/>
      <c r="XDD494" s="9"/>
      <c r="XDE494" s="9"/>
      <c r="XDF494" s="9"/>
      <c r="XDG494" s="9"/>
      <c r="XDH494" s="9"/>
      <c r="XDI494" s="9"/>
      <c r="XDJ494" s="9"/>
      <c r="XDK494" s="9"/>
      <c r="XDL494" s="9"/>
      <c r="XDM494" s="9"/>
      <c r="XDN494" s="9"/>
      <c r="XDO494" s="9"/>
      <c r="XDP494" s="9"/>
      <c r="XDQ494" s="9"/>
      <c r="XDR494" s="9"/>
      <c r="XDS494" s="9"/>
      <c r="XDT494" s="9"/>
      <c r="XDU494" s="9"/>
      <c r="XDV494" s="9"/>
      <c r="XDW494" s="9"/>
      <c r="XDX494" s="9"/>
      <c r="XDY494" s="9"/>
      <c r="XDZ494" s="9"/>
      <c r="XEA494" s="9"/>
      <c r="XEB494" s="9"/>
      <c r="XEC494" s="9"/>
      <c r="XED494" s="9"/>
      <c r="XEE494" s="9"/>
      <c r="XEF494" s="9"/>
      <c r="XEG494" s="9"/>
      <c r="XEH494" s="9"/>
      <c r="XEI494" s="9"/>
      <c r="XEJ494" s="9"/>
      <c r="XEK494" s="9"/>
      <c r="XEL494" s="9"/>
      <c r="XEM494" s="9"/>
      <c r="XEN494" s="9"/>
      <c r="XEO494" s="9"/>
      <c r="XEP494" s="9"/>
      <c r="XEQ494" s="9"/>
      <c r="XER494" s="9"/>
      <c r="XES494" s="9"/>
      <c r="XET494" s="9"/>
      <c r="XEU494" s="9"/>
      <c r="XEV494" s="9"/>
      <c r="XEW494" s="9"/>
      <c r="XEX494" s="9"/>
      <c r="XEY494" s="9"/>
      <c r="XEZ494" s="9"/>
      <c r="XFA494" s="9"/>
      <c r="XFB494" s="9"/>
      <c r="XFC494" s="9"/>
      <c r="XFD494" s="9"/>
    </row>
    <row r="495" spans="1:8 16325:16384" s="3" customFormat="1" ht="19.95" customHeight="1">
      <c r="A495" s="6" t="str">
        <f t="shared" si="20"/>
        <v>040021</v>
      </c>
      <c r="B495" s="6" t="s">
        <v>13</v>
      </c>
      <c r="C495" s="6" t="s">
        <v>24</v>
      </c>
      <c r="D495" s="6" t="str">
        <f>"512732517"</f>
        <v>512732517</v>
      </c>
      <c r="E495" s="7">
        <v>88.5</v>
      </c>
      <c r="F495" s="7">
        <v>69.5</v>
      </c>
      <c r="G495" s="7"/>
      <c r="H495" s="7">
        <v>80.900000000000006</v>
      </c>
      <c r="XCW495" s="9"/>
      <c r="XCX495" s="9"/>
      <c r="XCY495" s="9"/>
      <c r="XCZ495" s="9"/>
      <c r="XDA495" s="9"/>
      <c r="XDB495" s="9"/>
      <c r="XDC495" s="9"/>
      <c r="XDD495" s="9"/>
      <c r="XDE495" s="9"/>
      <c r="XDF495" s="9"/>
      <c r="XDG495" s="9"/>
      <c r="XDH495" s="9"/>
      <c r="XDI495" s="9"/>
      <c r="XDJ495" s="9"/>
      <c r="XDK495" s="9"/>
      <c r="XDL495" s="9"/>
      <c r="XDM495" s="9"/>
      <c r="XDN495" s="9"/>
      <c r="XDO495" s="9"/>
      <c r="XDP495" s="9"/>
      <c r="XDQ495" s="9"/>
      <c r="XDR495" s="9"/>
      <c r="XDS495" s="9"/>
      <c r="XDT495" s="9"/>
      <c r="XDU495" s="9"/>
      <c r="XDV495" s="9"/>
      <c r="XDW495" s="9"/>
      <c r="XDX495" s="9"/>
      <c r="XDY495" s="9"/>
      <c r="XDZ495" s="9"/>
      <c r="XEA495" s="9"/>
      <c r="XEB495" s="9"/>
      <c r="XEC495" s="9"/>
      <c r="XED495" s="9"/>
      <c r="XEE495" s="9"/>
      <c r="XEF495" s="9"/>
      <c r="XEG495" s="9"/>
      <c r="XEH495" s="9"/>
      <c r="XEI495" s="9"/>
      <c r="XEJ495" s="9"/>
      <c r="XEK495" s="9"/>
      <c r="XEL495" s="9"/>
      <c r="XEM495" s="9"/>
      <c r="XEN495" s="9"/>
      <c r="XEO495" s="9"/>
      <c r="XEP495" s="9"/>
      <c r="XEQ495" s="9"/>
      <c r="XER495" s="9"/>
      <c r="XES495" s="9"/>
      <c r="XET495" s="9"/>
      <c r="XEU495" s="9"/>
      <c r="XEV495" s="9"/>
      <c r="XEW495" s="9"/>
      <c r="XEX495" s="9"/>
      <c r="XEY495" s="9"/>
      <c r="XEZ495" s="9"/>
      <c r="XFA495" s="9"/>
      <c r="XFB495" s="9"/>
      <c r="XFC495" s="9"/>
      <c r="XFD495" s="9"/>
    </row>
    <row r="496" spans="1:8 16325:16384" s="3" customFormat="1" ht="19.95" customHeight="1">
      <c r="A496" s="6" t="str">
        <f t="shared" si="20"/>
        <v>040021</v>
      </c>
      <c r="B496" s="6" t="s">
        <v>13</v>
      </c>
      <c r="C496" s="6" t="s">
        <v>24</v>
      </c>
      <c r="D496" s="6" t="str">
        <f>"512732515"</f>
        <v>512732515</v>
      </c>
      <c r="E496" s="7">
        <v>81.5</v>
      </c>
      <c r="F496" s="7">
        <v>61</v>
      </c>
      <c r="G496" s="7"/>
      <c r="H496" s="7">
        <v>73.3</v>
      </c>
      <c r="XCW496" s="9"/>
      <c r="XCX496" s="9"/>
      <c r="XCY496" s="9"/>
      <c r="XCZ496" s="9"/>
      <c r="XDA496" s="9"/>
      <c r="XDB496" s="9"/>
      <c r="XDC496" s="9"/>
      <c r="XDD496" s="9"/>
      <c r="XDE496" s="9"/>
      <c r="XDF496" s="9"/>
      <c r="XDG496" s="9"/>
      <c r="XDH496" s="9"/>
      <c r="XDI496" s="9"/>
      <c r="XDJ496" s="9"/>
      <c r="XDK496" s="9"/>
      <c r="XDL496" s="9"/>
      <c r="XDM496" s="9"/>
      <c r="XDN496" s="9"/>
      <c r="XDO496" s="9"/>
      <c r="XDP496" s="9"/>
      <c r="XDQ496" s="9"/>
      <c r="XDR496" s="9"/>
      <c r="XDS496" s="9"/>
      <c r="XDT496" s="9"/>
      <c r="XDU496" s="9"/>
      <c r="XDV496" s="9"/>
      <c r="XDW496" s="9"/>
      <c r="XDX496" s="9"/>
      <c r="XDY496" s="9"/>
      <c r="XDZ496" s="9"/>
      <c r="XEA496" s="9"/>
      <c r="XEB496" s="9"/>
      <c r="XEC496" s="9"/>
      <c r="XED496" s="9"/>
      <c r="XEE496" s="9"/>
      <c r="XEF496" s="9"/>
      <c r="XEG496" s="9"/>
      <c r="XEH496" s="9"/>
      <c r="XEI496" s="9"/>
      <c r="XEJ496" s="9"/>
      <c r="XEK496" s="9"/>
      <c r="XEL496" s="9"/>
      <c r="XEM496" s="9"/>
      <c r="XEN496" s="9"/>
      <c r="XEO496" s="9"/>
      <c r="XEP496" s="9"/>
      <c r="XEQ496" s="9"/>
      <c r="XER496" s="9"/>
      <c r="XES496" s="9"/>
      <c r="XET496" s="9"/>
      <c r="XEU496" s="9"/>
      <c r="XEV496" s="9"/>
      <c r="XEW496" s="9"/>
      <c r="XEX496" s="9"/>
      <c r="XEY496" s="9"/>
      <c r="XEZ496" s="9"/>
      <c r="XFA496" s="9"/>
      <c r="XFB496" s="9"/>
      <c r="XFC496" s="9"/>
      <c r="XFD496" s="9"/>
    </row>
    <row r="497" spans="1:8 16325:16384" s="3" customFormat="1" ht="19.95" customHeight="1">
      <c r="A497" s="6" t="str">
        <f t="shared" si="20"/>
        <v>040021</v>
      </c>
      <c r="B497" s="6" t="s">
        <v>13</v>
      </c>
      <c r="C497" s="6" t="s">
        <v>24</v>
      </c>
      <c r="D497" s="6" t="str">
        <f>"512732511"</f>
        <v>512732511</v>
      </c>
      <c r="E497" s="7">
        <v>78.5</v>
      </c>
      <c r="F497" s="7">
        <v>67</v>
      </c>
      <c r="G497" s="7"/>
      <c r="H497" s="7">
        <v>73.900000000000006</v>
      </c>
      <c r="XCW497" s="9"/>
      <c r="XCX497" s="9"/>
      <c r="XCY497" s="9"/>
      <c r="XCZ497" s="9"/>
      <c r="XDA497" s="9"/>
      <c r="XDB497" s="9"/>
      <c r="XDC497" s="9"/>
      <c r="XDD497" s="9"/>
      <c r="XDE497" s="9"/>
      <c r="XDF497" s="9"/>
      <c r="XDG497" s="9"/>
      <c r="XDH497" s="9"/>
      <c r="XDI497" s="9"/>
      <c r="XDJ497" s="9"/>
      <c r="XDK497" s="9"/>
      <c r="XDL497" s="9"/>
      <c r="XDM497" s="9"/>
      <c r="XDN497" s="9"/>
      <c r="XDO497" s="9"/>
      <c r="XDP497" s="9"/>
      <c r="XDQ497" s="9"/>
      <c r="XDR497" s="9"/>
      <c r="XDS497" s="9"/>
      <c r="XDT497" s="9"/>
      <c r="XDU497" s="9"/>
      <c r="XDV497" s="9"/>
      <c r="XDW497" s="9"/>
      <c r="XDX497" s="9"/>
      <c r="XDY497" s="9"/>
      <c r="XDZ497" s="9"/>
      <c r="XEA497" s="9"/>
      <c r="XEB497" s="9"/>
      <c r="XEC497" s="9"/>
      <c r="XED497" s="9"/>
      <c r="XEE497" s="9"/>
      <c r="XEF497" s="9"/>
      <c r="XEG497" s="9"/>
      <c r="XEH497" s="9"/>
      <c r="XEI497" s="9"/>
      <c r="XEJ497" s="9"/>
      <c r="XEK497" s="9"/>
      <c r="XEL497" s="9"/>
      <c r="XEM497" s="9"/>
      <c r="XEN497" s="9"/>
      <c r="XEO497" s="9"/>
      <c r="XEP497" s="9"/>
      <c r="XEQ497" s="9"/>
      <c r="XER497" s="9"/>
      <c r="XES497" s="9"/>
      <c r="XET497" s="9"/>
      <c r="XEU497" s="9"/>
      <c r="XEV497" s="9"/>
      <c r="XEW497" s="9"/>
      <c r="XEX497" s="9"/>
      <c r="XEY497" s="9"/>
      <c r="XEZ497" s="9"/>
      <c r="XFA497" s="9"/>
      <c r="XFB497" s="9"/>
      <c r="XFC497" s="9"/>
      <c r="XFD497" s="9"/>
    </row>
    <row r="498" spans="1:8 16325:16384" s="3" customFormat="1" ht="19.95" customHeight="1">
      <c r="A498" s="6" t="str">
        <f t="shared" si="20"/>
        <v>040021</v>
      </c>
      <c r="B498" s="6" t="s">
        <v>13</v>
      </c>
      <c r="C498" s="6" t="s">
        <v>24</v>
      </c>
      <c r="D498" s="6" t="str">
        <f>"512732508"</f>
        <v>512732508</v>
      </c>
      <c r="E498" s="7">
        <v>0</v>
      </c>
      <c r="F498" s="7">
        <v>0</v>
      </c>
      <c r="G498" s="7"/>
      <c r="H498" s="7">
        <v>0</v>
      </c>
      <c r="XCW498" s="9"/>
      <c r="XCX498" s="9"/>
      <c r="XCY498" s="9"/>
      <c r="XCZ498" s="9"/>
      <c r="XDA498" s="9"/>
      <c r="XDB498" s="9"/>
      <c r="XDC498" s="9"/>
      <c r="XDD498" s="9"/>
      <c r="XDE498" s="9"/>
      <c r="XDF498" s="9"/>
      <c r="XDG498" s="9"/>
      <c r="XDH498" s="9"/>
      <c r="XDI498" s="9"/>
      <c r="XDJ498" s="9"/>
      <c r="XDK498" s="9"/>
      <c r="XDL498" s="9"/>
      <c r="XDM498" s="9"/>
      <c r="XDN498" s="9"/>
      <c r="XDO498" s="9"/>
      <c r="XDP498" s="9"/>
      <c r="XDQ498" s="9"/>
      <c r="XDR498" s="9"/>
      <c r="XDS498" s="9"/>
      <c r="XDT498" s="9"/>
      <c r="XDU498" s="9"/>
      <c r="XDV498" s="9"/>
      <c r="XDW498" s="9"/>
      <c r="XDX498" s="9"/>
      <c r="XDY498" s="9"/>
      <c r="XDZ498" s="9"/>
      <c r="XEA498" s="9"/>
      <c r="XEB498" s="9"/>
      <c r="XEC498" s="9"/>
      <c r="XED498" s="9"/>
      <c r="XEE498" s="9"/>
      <c r="XEF498" s="9"/>
      <c r="XEG498" s="9"/>
      <c r="XEH498" s="9"/>
      <c r="XEI498" s="9"/>
      <c r="XEJ498" s="9"/>
      <c r="XEK498" s="9"/>
      <c r="XEL498" s="9"/>
      <c r="XEM498" s="9"/>
      <c r="XEN498" s="9"/>
      <c r="XEO498" s="9"/>
      <c r="XEP498" s="9"/>
      <c r="XEQ498" s="9"/>
      <c r="XER498" s="9"/>
      <c r="XES498" s="9"/>
      <c r="XET498" s="9"/>
      <c r="XEU498" s="9"/>
      <c r="XEV498" s="9"/>
      <c r="XEW498" s="9"/>
      <c r="XEX498" s="9"/>
      <c r="XEY498" s="9"/>
      <c r="XEZ498" s="9"/>
      <c r="XFA498" s="9"/>
      <c r="XFB498" s="9"/>
      <c r="XFC498" s="9"/>
      <c r="XFD498" s="9"/>
    </row>
    <row r="499" spans="1:8 16325:16384" s="3" customFormat="1" ht="19.95" customHeight="1">
      <c r="A499" s="6" t="str">
        <f t="shared" si="20"/>
        <v>040021</v>
      </c>
      <c r="B499" s="6" t="s">
        <v>13</v>
      </c>
      <c r="C499" s="6" t="s">
        <v>24</v>
      </c>
      <c r="D499" s="6" t="str">
        <f>"512732513"</f>
        <v>512732513</v>
      </c>
      <c r="E499" s="7">
        <v>86.5</v>
      </c>
      <c r="F499" s="7">
        <v>68</v>
      </c>
      <c r="G499" s="7"/>
      <c r="H499" s="7">
        <v>79.099999999999994</v>
      </c>
      <c r="XCW499" s="9"/>
      <c r="XCX499" s="9"/>
      <c r="XCY499" s="9"/>
      <c r="XCZ499" s="9"/>
      <c r="XDA499" s="9"/>
      <c r="XDB499" s="9"/>
      <c r="XDC499" s="9"/>
      <c r="XDD499" s="9"/>
      <c r="XDE499" s="9"/>
      <c r="XDF499" s="9"/>
      <c r="XDG499" s="9"/>
      <c r="XDH499" s="9"/>
      <c r="XDI499" s="9"/>
      <c r="XDJ499" s="9"/>
      <c r="XDK499" s="9"/>
      <c r="XDL499" s="9"/>
      <c r="XDM499" s="9"/>
      <c r="XDN499" s="9"/>
      <c r="XDO499" s="9"/>
      <c r="XDP499" s="9"/>
      <c r="XDQ499" s="9"/>
      <c r="XDR499" s="9"/>
      <c r="XDS499" s="9"/>
      <c r="XDT499" s="9"/>
      <c r="XDU499" s="9"/>
      <c r="XDV499" s="9"/>
      <c r="XDW499" s="9"/>
      <c r="XDX499" s="9"/>
      <c r="XDY499" s="9"/>
      <c r="XDZ499" s="9"/>
      <c r="XEA499" s="9"/>
      <c r="XEB499" s="9"/>
      <c r="XEC499" s="9"/>
      <c r="XED499" s="9"/>
      <c r="XEE499" s="9"/>
      <c r="XEF499" s="9"/>
      <c r="XEG499" s="9"/>
      <c r="XEH499" s="9"/>
      <c r="XEI499" s="9"/>
      <c r="XEJ499" s="9"/>
      <c r="XEK499" s="9"/>
      <c r="XEL499" s="9"/>
      <c r="XEM499" s="9"/>
      <c r="XEN499" s="9"/>
      <c r="XEO499" s="9"/>
      <c r="XEP499" s="9"/>
      <c r="XEQ499" s="9"/>
      <c r="XER499" s="9"/>
      <c r="XES499" s="9"/>
      <c r="XET499" s="9"/>
      <c r="XEU499" s="9"/>
      <c r="XEV499" s="9"/>
      <c r="XEW499" s="9"/>
      <c r="XEX499" s="9"/>
      <c r="XEY499" s="9"/>
      <c r="XEZ499" s="9"/>
      <c r="XFA499" s="9"/>
      <c r="XFB499" s="9"/>
      <c r="XFC499" s="9"/>
      <c r="XFD499" s="9"/>
    </row>
    <row r="500" spans="1:8 16325:16384" s="3" customFormat="1" ht="19.95" customHeight="1">
      <c r="A500" s="6" t="str">
        <f t="shared" si="20"/>
        <v>040021</v>
      </c>
      <c r="B500" s="6" t="s">
        <v>13</v>
      </c>
      <c r="C500" s="6" t="s">
        <v>24</v>
      </c>
      <c r="D500" s="6" t="str">
        <f>"512732514"</f>
        <v>512732514</v>
      </c>
      <c r="E500" s="7">
        <v>0</v>
      </c>
      <c r="F500" s="7">
        <v>0</v>
      </c>
      <c r="G500" s="7"/>
      <c r="H500" s="7">
        <v>0</v>
      </c>
      <c r="XCW500" s="9"/>
      <c r="XCX500" s="9"/>
      <c r="XCY500" s="9"/>
      <c r="XCZ500" s="9"/>
      <c r="XDA500" s="9"/>
      <c r="XDB500" s="9"/>
      <c r="XDC500" s="9"/>
      <c r="XDD500" s="9"/>
      <c r="XDE500" s="9"/>
      <c r="XDF500" s="9"/>
      <c r="XDG500" s="9"/>
      <c r="XDH500" s="9"/>
      <c r="XDI500" s="9"/>
      <c r="XDJ500" s="9"/>
      <c r="XDK500" s="9"/>
      <c r="XDL500" s="9"/>
      <c r="XDM500" s="9"/>
      <c r="XDN500" s="9"/>
      <c r="XDO500" s="9"/>
      <c r="XDP500" s="9"/>
      <c r="XDQ500" s="9"/>
      <c r="XDR500" s="9"/>
      <c r="XDS500" s="9"/>
      <c r="XDT500" s="9"/>
      <c r="XDU500" s="9"/>
      <c r="XDV500" s="9"/>
      <c r="XDW500" s="9"/>
      <c r="XDX500" s="9"/>
      <c r="XDY500" s="9"/>
      <c r="XDZ500" s="9"/>
      <c r="XEA500" s="9"/>
      <c r="XEB500" s="9"/>
      <c r="XEC500" s="9"/>
      <c r="XED500" s="9"/>
      <c r="XEE500" s="9"/>
      <c r="XEF500" s="9"/>
      <c r="XEG500" s="9"/>
      <c r="XEH500" s="9"/>
      <c r="XEI500" s="9"/>
      <c r="XEJ500" s="9"/>
      <c r="XEK500" s="9"/>
      <c r="XEL500" s="9"/>
      <c r="XEM500" s="9"/>
      <c r="XEN500" s="9"/>
      <c r="XEO500" s="9"/>
      <c r="XEP500" s="9"/>
      <c r="XEQ500" s="9"/>
      <c r="XER500" s="9"/>
      <c r="XES500" s="9"/>
      <c r="XET500" s="9"/>
      <c r="XEU500" s="9"/>
      <c r="XEV500" s="9"/>
      <c r="XEW500" s="9"/>
      <c r="XEX500" s="9"/>
      <c r="XEY500" s="9"/>
      <c r="XEZ500" s="9"/>
      <c r="XFA500" s="9"/>
      <c r="XFB500" s="9"/>
      <c r="XFC500" s="9"/>
      <c r="XFD500" s="9"/>
    </row>
    <row r="501" spans="1:8 16325:16384" s="3" customFormat="1" ht="19.95" customHeight="1">
      <c r="A501" s="6" t="str">
        <f t="shared" si="20"/>
        <v>040021</v>
      </c>
      <c r="B501" s="6" t="s">
        <v>13</v>
      </c>
      <c r="C501" s="6" t="s">
        <v>24</v>
      </c>
      <c r="D501" s="6" t="str">
        <f>"512732518"</f>
        <v>512732518</v>
      </c>
      <c r="E501" s="7">
        <v>85.5</v>
      </c>
      <c r="F501" s="7">
        <v>67</v>
      </c>
      <c r="G501" s="7"/>
      <c r="H501" s="7">
        <v>78.099999999999994</v>
      </c>
      <c r="XCW501" s="9"/>
      <c r="XCX501" s="9"/>
      <c r="XCY501" s="9"/>
      <c r="XCZ501" s="9"/>
      <c r="XDA501" s="9"/>
      <c r="XDB501" s="9"/>
      <c r="XDC501" s="9"/>
      <c r="XDD501" s="9"/>
      <c r="XDE501" s="9"/>
      <c r="XDF501" s="9"/>
      <c r="XDG501" s="9"/>
      <c r="XDH501" s="9"/>
      <c r="XDI501" s="9"/>
      <c r="XDJ501" s="9"/>
      <c r="XDK501" s="9"/>
      <c r="XDL501" s="9"/>
      <c r="XDM501" s="9"/>
      <c r="XDN501" s="9"/>
      <c r="XDO501" s="9"/>
      <c r="XDP501" s="9"/>
      <c r="XDQ501" s="9"/>
      <c r="XDR501" s="9"/>
      <c r="XDS501" s="9"/>
      <c r="XDT501" s="9"/>
      <c r="XDU501" s="9"/>
      <c r="XDV501" s="9"/>
      <c r="XDW501" s="9"/>
      <c r="XDX501" s="9"/>
      <c r="XDY501" s="9"/>
      <c r="XDZ501" s="9"/>
      <c r="XEA501" s="9"/>
      <c r="XEB501" s="9"/>
      <c r="XEC501" s="9"/>
      <c r="XED501" s="9"/>
      <c r="XEE501" s="9"/>
      <c r="XEF501" s="9"/>
      <c r="XEG501" s="9"/>
      <c r="XEH501" s="9"/>
      <c r="XEI501" s="9"/>
      <c r="XEJ501" s="9"/>
      <c r="XEK501" s="9"/>
      <c r="XEL501" s="9"/>
      <c r="XEM501" s="9"/>
      <c r="XEN501" s="9"/>
      <c r="XEO501" s="9"/>
      <c r="XEP501" s="9"/>
      <c r="XEQ501" s="9"/>
      <c r="XER501" s="9"/>
      <c r="XES501" s="9"/>
      <c r="XET501" s="9"/>
      <c r="XEU501" s="9"/>
      <c r="XEV501" s="9"/>
      <c r="XEW501" s="9"/>
      <c r="XEX501" s="9"/>
      <c r="XEY501" s="9"/>
      <c r="XEZ501" s="9"/>
      <c r="XFA501" s="9"/>
      <c r="XFB501" s="9"/>
      <c r="XFC501" s="9"/>
      <c r="XFD501" s="9"/>
    </row>
    <row r="502" spans="1:8 16325:16384" s="3" customFormat="1" ht="19.95" customHeight="1">
      <c r="A502" s="6" t="str">
        <f t="shared" ref="A502:A524" si="21">"040022"</f>
        <v>040022</v>
      </c>
      <c r="B502" s="6" t="s">
        <v>26</v>
      </c>
      <c r="C502" s="6" t="s">
        <v>24</v>
      </c>
      <c r="D502" s="6" t="str">
        <f>"512732906"</f>
        <v>512732906</v>
      </c>
      <c r="E502" s="7">
        <v>74.5</v>
      </c>
      <c r="F502" s="7">
        <v>77</v>
      </c>
      <c r="G502" s="7"/>
      <c r="H502" s="7">
        <v>75.5</v>
      </c>
      <c r="XCW502" s="9"/>
      <c r="XCX502" s="9"/>
      <c r="XCY502" s="9"/>
      <c r="XCZ502" s="9"/>
      <c r="XDA502" s="9"/>
      <c r="XDB502" s="9"/>
      <c r="XDC502" s="9"/>
      <c r="XDD502" s="9"/>
      <c r="XDE502" s="9"/>
      <c r="XDF502" s="9"/>
      <c r="XDG502" s="9"/>
      <c r="XDH502" s="9"/>
      <c r="XDI502" s="9"/>
      <c r="XDJ502" s="9"/>
      <c r="XDK502" s="9"/>
      <c r="XDL502" s="9"/>
      <c r="XDM502" s="9"/>
      <c r="XDN502" s="9"/>
      <c r="XDO502" s="9"/>
      <c r="XDP502" s="9"/>
      <c r="XDQ502" s="9"/>
      <c r="XDR502" s="9"/>
      <c r="XDS502" s="9"/>
      <c r="XDT502" s="9"/>
      <c r="XDU502" s="9"/>
      <c r="XDV502" s="9"/>
      <c r="XDW502" s="9"/>
      <c r="XDX502" s="9"/>
      <c r="XDY502" s="9"/>
      <c r="XDZ502" s="9"/>
      <c r="XEA502" s="9"/>
      <c r="XEB502" s="9"/>
      <c r="XEC502" s="9"/>
      <c r="XED502" s="9"/>
      <c r="XEE502" s="9"/>
      <c r="XEF502" s="9"/>
      <c r="XEG502" s="9"/>
      <c r="XEH502" s="9"/>
      <c r="XEI502" s="9"/>
      <c r="XEJ502" s="9"/>
      <c r="XEK502" s="9"/>
      <c r="XEL502" s="9"/>
      <c r="XEM502" s="9"/>
      <c r="XEN502" s="9"/>
      <c r="XEO502" s="9"/>
      <c r="XEP502" s="9"/>
      <c r="XEQ502" s="9"/>
      <c r="XER502" s="9"/>
      <c r="XES502" s="9"/>
      <c r="XET502" s="9"/>
      <c r="XEU502" s="9"/>
      <c r="XEV502" s="9"/>
      <c r="XEW502" s="9"/>
      <c r="XEX502" s="9"/>
      <c r="XEY502" s="9"/>
      <c r="XEZ502" s="9"/>
      <c r="XFA502" s="9"/>
      <c r="XFB502" s="9"/>
      <c r="XFC502" s="9"/>
      <c r="XFD502" s="9"/>
    </row>
    <row r="503" spans="1:8 16325:16384" s="3" customFormat="1" ht="19.95" customHeight="1">
      <c r="A503" s="6" t="str">
        <f t="shared" si="21"/>
        <v>040022</v>
      </c>
      <c r="B503" s="6" t="s">
        <v>26</v>
      </c>
      <c r="C503" s="6" t="s">
        <v>24</v>
      </c>
      <c r="D503" s="6" t="str">
        <f>"512732829"</f>
        <v>512732829</v>
      </c>
      <c r="E503" s="7">
        <v>77</v>
      </c>
      <c r="F503" s="7">
        <v>76.5</v>
      </c>
      <c r="G503" s="7"/>
      <c r="H503" s="7">
        <v>76.8</v>
      </c>
      <c r="XCW503" s="9"/>
      <c r="XCX503" s="9"/>
      <c r="XCY503" s="9"/>
      <c r="XCZ503" s="9"/>
      <c r="XDA503" s="9"/>
      <c r="XDB503" s="9"/>
      <c r="XDC503" s="9"/>
      <c r="XDD503" s="9"/>
      <c r="XDE503" s="9"/>
      <c r="XDF503" s="9"/>
      <c r="XDG503" s="9"/>
      <c r="XDH503" s="9"/>
      <c r="XDI503" s="9"/>
      <c r="XDJ503" s="9"/>
      <c r="XDK503" s="9"/>
      <c r="XDL503" s="9"/>
      <c r="XDM503" s="9"/>
      <c r="XDN503" s="9"/>
      <c r="XDO503" s="9"/>
      <c r="XDP503" s="9"/>
      <c r="XDQ503" s="9"/>
      <c r="XDR503" s="9"/>
      <c r="XDS503" s="9"/>
      <c r="XDT503" s="9"/>
      <c r="XDU503" s="9"/>
      <c r="XDV503" s="9"/>
      <c r="XDW503" s="9"/>
      <c r="XDX503" s="9"/>
      <c r="XDY503" s="9"/>
      <c r="XDZ503" s="9"/>
      <c r="XEA503" s="9"/>
      <c r="XEB503" s="9"/>
      <c r="XEC503" s="9"/>
      <c r="XED503" s="9"/>
      <c r="XEE503" s="9"/>
      <c r="XEF503" s="9"/>
      <c r="XEG503" s="9"/>
      <c r="XEH503" s="9"/>
      <c r="XEI503" s="9"/>
      <c r="XEJ503" s="9"/>
      <c r="XEK503" s="9"/>
      <c r="XEL503" s="9"/>
      <c r="XEM503" s="9"/>
      <c r="XEN503" s="9"/>
      <c r="XEO503" s="9"/>
      <c r="XEP503" s="9"/>
      <c r="XEQ503" s="9"/>
      <c r="XER503" s="9"/>
      <c r="XES503" s="9"/>
      <c r="XET503" s="9"/>
      <c r="XEU503" s="9"/>
      <c r="XEV503" s="9"/>
      <c r="XEW503" s="9"/>
      <c r="XEX503" s="9"/>
      <c r="XEY503" s="9"/>
      <c r="XEZ503" s="9"/>
      <c r="XFA503" s="9"/>
      <c r="XFB503" s="9"/>
      <c r="XFC503" s="9"/>
      <c r="XFD503" s="9"/>
    </row>
    <row r="504" spans="1:8 16325:16384" s="3" customFormat="1" ht="19.95" customHeight="1">
      <c r="A504" s="6" t="str">
        <f t="shared" si="21"/>
        <v>040022</v>
      </c>
      <c r="B504" s="6" t="s">
        <v>26</v>
      </c>
      <c r="C504" s="6" t="s">
        <v>24</v>
      </c>
      <c r="D504" s="6" t="str">
        <f>"512732909"</f>
        <v>512732909</v>
      </c>
      <c r="E504" s="7">
        <v>0</v>
      </c>
      <c r="F504" s="7">
        <v>0</v>
      </c>
      <c r="G504" s="7"/>
      <c r="H504" s="7">
        <v>0</v>
      </c>
      <c r="XCW504" s="9"/>
      <c r="XCX504" s="9"/>
      <c r="XCY504" s="9"/>
      <c r="XCZ504" s="9"/>
      <c r="XDA504" s="9"/>
      <c r="XDB504" s="9"/>
      <c r="XDC504" s="9"/>
      <c r="XDD504" s="9"/>
      <c r="XDE504" s="9"/>
      <c r="XDF504" s="9"/>
      <c r="XDG504" s="9"/>
      <c r="XDH504" s="9"/>
      <c r="XDI504" s="9"/>
      <c r="XDJ504" s="9"/>
      <c r="XDK504" s="9"/>
      <c r="XDL504" s="9"/>
      <c r="XDM504" s="9"/>
      <c r="XDN504" s="9"/>
      <c r="XDO504" s="9"/>
      <c r="XDP504" s="9"/>
      <c r="XDQ504" s="9"/>
      <c r="XDR504" s="9"/>
      <c r="XDS504" s="9"/>
      <c r="XDT504" s="9"/>
      <c r="XDU504" s="9"/>
      <c r="XDV504" s="9"/>
      <c r="XDW504" s="9"/>
      <c r="XDX504" s="9"/>
      <c r="XDY504" s="9"/>
      <c r="XDZ504" s="9"/>
      <c r="XEA504" s="9"/>
      <c r="XEB504" s="9"/>
      <c r="XEC504" s="9"/>
      <c r="XED504" s="9"/>
      <c r="XEE504" s="9"/>
      <c r="XEF504" s="9"/>
      <c r="XEG504" s="9"/>
      <c r="XEH504" s="9"/>
      <c r="XEI504" s="9"/>
      <c r="XEJ504" s="9"/>
      <c r="XEK504" s="9"/>
      <c r="XEL504" s="9"/>
      <c r="XEM504" s="9"/>
      <c r="XEN504" s="9"/>
      <c r="XEO504" s="9"/>
      <c r="XEP504" s="9"/>
      <c r="XEQ504" s="9"/>
      <c r="XER504" s="9"/>
      <c r="XES504" s="9"/>
      <c r="XET504" s="9"/>
      <c r="XEU504" s="9"/>
      <c r="XEV504" s="9"/>
      <c r="XEW504" s="9"/>
      <c r="XEX504" s="9"/>
      <c r="XEY504" s="9"/>
      <c r="XEZ504" s="9"/>
      <c r="XFA504" s="9"/>
      <c r="XFB504" s="9"/>
      <c r="XFC504" s="9"/>
      <c r="XFD504" s="9"/>
    </row>
    <row r="505" spans="1:8 16325:16384" s="3" customFormat="1" ht="19.95" customHeight="1">
      <c r="A505" s="6" t="str">
        <f t="shared" si="21"/>
        <v>040022</v>
      </c>
      <c r="B505" s="6" t="s">
        <v>26</v>
      </c>
      <c r="C505" s="6" t="s">
        <v>24</v>
      </c>
      <c r="D505" s="6" t="str">
        <f>"512732903"</f>
        <v>512732903</v>
      </c>
      <c r="E505" s="7">
        <v>94.5</v>
      </c>
      <c r="F505" s="7">
        <v>81.5</v>
      </c>
      <c r="G505" s="7"/>
      <c r="H505" s="7">
        <v>89.3</v>
      </c>
      <c r="XCW505" s="9"/>
      <c r="XCX505" s="9"/>
      <c r="XCY505" s="9"/>
      <c r="XCZ505" s="9"/>
      <c r="XDA505" s="9"/>
      <c r="XDB505" s="9"/>
      <c r="XDC505" s="9"/>
      <c r="XDD505" s="9"/>
      <c r="XDE505" s="9"/>
      <c r="XDF505" s="9"/>
      <c r="XDG505" s="9"/>
      <c r="XDH505" s="9"/>
      <c r="XDI505" s="9"/>
      <c r="XDJ505" s="9"/>
      <c r="XDK505" s="9"/>
      <c r="XDL505" s="9"/>
      <c r="XDM505" s="9"/>
      <c r="XDN505" s="9"/>
      <c r="XDO505" s="9"/>
      <c r="XDP505" s="9"/>
      <c r="XDQ505" s="9"/>
      <c r="XDR505" s="9"/>
      <c r="XDS505" s="9"/>
      <c r="XDT505" s="9"/>
      <c r="XDU505" s="9"/>
      <c r="XDV505" s="9"/>
      <c r="XDW505" s="9"/>
      <c r="XDX505" s="9"/>
      <c r="XDY505" s="9"/>
      <c r="XDZ505" s="9"/>
      <c r="XEA505" s="9"/>
      <c r="XEB505" s="9"/>
      <c r="XEC505" s="9"/>
      <c r="XED505" s="9"/>
      <c r="XEE505" s="9"/>
      <c r="XEF505" s="9"/>
      <c r="XEG505" s="9"/>
      <c r="XEH505" s="9"/>
      <c r="XEI505" s="9"/>
      <c r="XEJ505" s="9"/>
      <c r="XEK505" s="9"/>
      <c r="XEL505" s="9"/>
      <c r="XEM505" s="9"/>
      <c r="XEN505" s="9"/>
      <c r="XEO505" s="9"/>
      <c r="XEP505" s="9"/>
      <c r="XEQ505" s="9"/>
      <c r="XER505" s="9"/>
      <c r="XES505" s="9"/>
      <c r="XET505" s="9"/>
      <c r="XEU505" s="9"/>
      <c r="XEV505" s="9"/>
      <c r="XEW505" s="9"/>
      <c r="XEX505" s="9"/>
      <c r="XEY505" s="9"/>
      <c r="XEZ505" s="9"/>
      <c r="XFA505" s="9"/>
      <c r="XFB505" s="9"/>
      <c r="XFC505" s="9"/>
      <c r="XFD505" s="9"/>
    </row>
    <row r="506" spans="1:8 16325:16384" s="3" customFormat="1" ht="19.95" customHeight="1">
      <c r="A506" s="6" t="str">
        <f t="shared" si="21"/>
        <v>040022</v>
      </c>
      <c r="B506" s="6" t="s">
        <v>26</v>
      </c>
      <c r="C506" s="6" t="s">
        <v>24</v>
      </c>
      <c r="D506" s="6" t="str">
        <f>"512732901"</f>
        <v>512732901</v>
      </c>
      <c r="E506" s="7">
        <v>94</v>
      </c>
      <c r="F506" s="7">
        <v>66</v>
      </c>
      <c r="G506" s="7"/>
      <c r="H506" s="7">
        <v>82.8</v>
      </c>
      <c r="XCW506" s="9"/>
      <c r="XCX506" s="9"/>
      <c r="XCY506" s="9"/>
      <c r="XCZ506" s="9"/>
      <c r="XDA506" s="9"/>
      <c r="XDB506" s="9"/>
      <c r="XDC506" s="9"/>
      <c r="XDD506" s="9"/>
      <c r="XDE506" s="9"/>
      <c r="XDF506" s="9"/>
      <c r="XDG506" s="9"/>
      <c r="XDH506" s="9"/>
      <c r="XDI506" s="9"/>
      <c r="XDJ506" s="9"/>
      <c r="XDK506" s="9"/>
      <c r="XDL506" s="9"/>
      <c r="XDM506" s="9"/>
      <c r="XDN506" s="9"/>
      <c r="XDO506" s="9"/>
      <c r="XDP506" s="9"/>
      <c r="XDQ506" s="9"/>
      <c r="XDR506" s="9"/>
      <c r="XDS506" s="9"/>
      <c r="XDT506" s="9"/>
      <c r="XDU506" s="9"/>
      <c r="XDV506" s="9"/>
      <c r="XDW506" s="9"/>
      <c r="XDX506" s="9"/>
      <c r="XDY506" s="9"/>
      <c r="XDZ506" s="9"/>
      <c r="XEA506" s="9"/>
      <c r="XEB506" s="9"/>
      <c r="XEC506" s="9"/>
      <c r="XED506" s="9"/>
      <c r="XEE506" s="9"/>
      <c r="XEF506" s="9"/>
      <c r="XEG506" s="9"/>
      <c r="XEH506" s="9"/>
      <c r="XEI506" s="9"/>
      <c r="XEJ506" s="9"/>
      <c r="XEK506" s="9"/>
      <c r="XEL506" s="9"/>
      <c r="XEM506" s="9"/>
      <c r="XEN506" s="9"/>
      <c r="XEO506" s="9"/>
      <c r="XEP506" s="9"/>
      <c r="XEQ506" s="9"/>
      <c r="XER506" s="9"/>
      <c r="XES506" s="9"/>
      <c r="XET506" s="9"/>
      <c r="XEU506" s="9"/>
      <c r="XEV506" s="9"/>
      <c r="XEW506" s="9"/>
      <c r="XEX506" s="9"/>
      <c r="XEY506" s="9"/>
      <c r="XEZ506" s="9"/>
      <c r="XFA506" s="9"/>
      <c r="XFB506" s="9"/>
      <c r="XFC506" s="9"/>
      <c r="XFD506" s="9"/>
    </row>
    <row r="507" spans="1:8 16325:16384" s="3" customFormat="1" ht="19.95" customHeight="1">
      <c r="A507" s="6" t="str">
        <f t="shared" si="21"/>
        <v>040022</v>
      </c>
      <c r="B507" s="6" t="s">
        <v>26</v>
      </c>
      <c r="C507" s="6" t="s">
        <v>24</v>
      </c>
      <c r="D507" s="6" t="str">
        <f>"512732905"</f>
        <v>512732905</v>
      </c>
      <c r="E507" s="7">
        <v>80</v>
      </c>
      <c r="F507" s="7">
        <v>57.5</v>
      </c>
      <c r="G507" s="7"/>
      <c r="H507" s="7">
        <v>71</v>
      </c>
      <c r="XCW507" s="9"/>
      <c r="XCX507" s="9"/>
      <c r="XCY507" s="9"/>
      <c r="XCZ507" s="9"/>
      <c r="XDA507" s="9"/>
      <c r="XDB507" s="9"/>
      <c r="XDC507" s="9"/>
      <c r="XDD507" s="9"/>
      <c r="XDE507" s="9"/>
      <c r="XDF507" s="9"/>
      <c r="XDG507" s="9"/>
      <c r="XDH507" s="9"/>
      <c r="XDI507" s="9"/>
      <c r="XDJ507" s="9"/>
      <c r="XDK507" s="9"/>
      <c r="XDL507" s="9"/>
      <c r="XDM507" s="9"/>
      <c r="XDN507" s="9"/>
      <c r="XDO507" s="9"/>
      <c r="XDP507" s="9"/>
      <c r="XDQ507" s="9"/>
      <c r="XDR507" s="9"/>
      <c r="XDS507" s="9"/>
      <c r="XDT507" s="9"/>
      <c r="XDU507" s="9"/>
      <c r="XDV507" s="9"/>
      <c r="XDW507" s="9"/>
      <c r="XDX507" s="9"/>
      <c r="XDY507" s="9"/>
      <c r="XDZ507" s="9"/>
      <c r="XEA507" s="9"/>
      <c r="XEB507" s="9"/>
      <c r="XEC507" s="9"/>
      <c r="XED507" s="9"/>
      <c r="XEE507" s="9"/>
      <c r="XEF507" s="9"/>
      <c r="XEG507" s="9"/>
      <c r="XEH507" s="9"/>
      <c r="XEI507" s="9"/>
      <c r="XEJ507" s="9"/>
      <c r="XEK507" s="9"/>
      <c r="XEL507" s="9"/>
      <c r="XEM507" s="9"/>
      <c r="XEN507" s="9"/>
      <c r="XEO507" s="9"/>
      <c r="XEP507" s="9"/>
      <c r="XEQ507" s="9"/>
      <c r="XER507" s="9"/>
      <c r="XES507" s="9"/>
      <c r="XET507" s="9"/>
      <c r="XEU507" s="9"/>
      <c r="XEV507" s="9"/>
      <c r="XEW507" s="9"/>
      <c r="XEX507" s="9"/>
      <c r="XEY507" s="9"/>
      <c r="XEZ507" s="9"/>
      <c r="XFA507" s="9"/>
      <c r="XFB507" s="9"/>
      <c r="XFC507" s="9"/>
      <c r="XFD507" s="9"/>
    </row>
    <row r="508" spans="1:8 16325:16384" s="3" customFormat="1" ht="19.95" customHeight="1">
      <c r="A508" s="6" t="str">
        <f t="shared" si="21"/>
        <v>040022</v>
      </c>
      <c r="B508" s="6" t="s">
        <v>26</v>
      </c>
      <c r="C508" s="6" t="s">
        <v>24</v>
      </c>
      <c r="D508" s="6" t="str">
        <f>"512732907"</f>
        <v>512732907</v>
      </c>
      <c r="E508" s="7">
        <v>61</v>
      </c>
      <c r="F508" s="7">
        <v>59</v>
      </c>
      <c r="G508" s="7"/>
      <c r="H508" s="7">
        <v>60.2</v>
      </c>
      <c r="XCW508" s="9"/>
      <c r="XCX508" s="9"/>
      <c r="XCY508" s="9"/>
      <c r="XCZ508" s="9"/>
      <c r="XDA508" s="9"/>
      <c r="XDB508" s="9"/>
      <c r="XDC508" s="9"/>
      <c r="XDD508" s="9"/>
      <c r="XDE508" s="9"/>
      <c r="XDF508" s="9"/>
      <c r="XDG508" s="9"/>
      <c r="XDH508" s="9"/>
      <c r="XDI508" s="9"/>
      <c r="XDJ508" s="9"/>
      <c r="XDK508" s="9"/>
      <c r="XDL508" s="9"/>
      <c r="XDM508" s="9"/>
      <c r="XDN508" s="9"/>
      <c r="XDO508" s="9"/>
      <c r="XDP508" s="9"/>
      <c r="XDQ508" s="9"/>
      <c r="XDR508" s="9"/>
      <c r="XDS508" s="9"/>
      <c r="XDT508" s="9"/>
      <c r="XDU508" s="9"/>
      <c r="XDV508" s="9"/>
      <c r="XDW508" s="9"/>
      <c r="XDX508" s="9"/>
      <c r="XDY508" s="9"/>
      <c r="XDZ508" s="9"/>
      <c r="XEA508" s="9"/>
      <c r="XEB508" s="9"/>
      <c r="XEC508" s="9"/>
      <c r="XED508" s="9"/>
      <c r="XEE508" s="9"/>
      <c r="XEF508" s="9"/>
      <c r="XEG508" s="9"/>
      <c r="XEH508" s="9"/>
      <c r="XEI508" s="9"/>
      <c r="XEJ508" s="9"/>
      <c r="XEK508" s="9"/>
      <c r="XEL508" s="9"/>
      <c r="XEM508" s="9"/>
      <c r="XEN508" s="9"/>
      <c r="XEO508" s="9"/>
      <c r="XEP508" s="9"/>
      <c r="XEQ508" s="9"/>
      <c r="XER508" s="9"/>
      <c r="XES508" s="9"/>
      <c r="XET508" s="9"/>
      <c r="XEU508" s="9"/>
      <c r="XEV508" s="9"/>
      <c r="XEW508" s="9"/>
      <c r="XEX508" s="9"/>
      <c r="XEY508" s="9"/>
      <c r="XEZ508" s="9"/>
      <c r="XFA508" s="9"/>
      <c r="XFB508" s="9"/>
      <c r="XFC508" s="9"/>
      <c r="XFD508" s="9"/>
    </row>
    <row r="509" spans="1:8 16325:16384" s="3" customFormat="1" ht="19.95" customHeight="1">
      <c r="A509" s="6" t="str">
        <f t="shared" si="21"/>
        <v>040022</v>
      </c>
      <c r="B509" s="6" t="s">
        <v>26</v>
      </c>
      <c r="C509" s="6" t="s">
        <v>24</v>
      </c>
      <c r="D509" s="6" t="str">
        <f>"512732822"</f>
        <v>512732822</v>
      </c>
      <c r="E509" s="7">
        <v>77</v>
      </c>
      <c r="F509" s="7">
        <v>80</v>
      </c>
      <c r="G509" s="7"/>
      <c r="H509" s="7">
        <v>78.2</v>
      </c>
      <c r="XCW509" s="9"/>
      <c r="XCX509" s="9"/>
      <c r="XCY509" s="9"/>
      <c r="XCZ509" s="9"/>
      <c r="XDA509" s="9"/>
      <c r="XDB509" s="9"/>
      <c r="XDC509" s="9"/>
      <c r="XDD509" s="9"/>
      <c r="XDE509" s="9"/>
      <c r="XDF509" s="9"/>
      <c r="XDG509" s="9"/>
      <c r="XDH509" s="9"/>
      <c r="XDI509" s="9"/>
      <c r="XDJ509" s="9"/>
      <c r="XDK509" s="9"/>
      <c r="XDL509" s="9"/>
      <c r="XDM509" s="9"/>
      <c r="XDN509" s="9"/>
      <c r="XDO509" s="9"/>
      <c r="XDP509" s="9"/>
      <c r="XDQ509" s="9"/>
      <c r="XDR509" s="9"/>
      <c r="XDS509" s="9"/>
      <c r="XDT509" s="9"/>
      <c r="XDU509" s="9"/>
      <c r="XDV509" s="9"/>
      <c r="XDW509" s="9"/>
      <c r="XDX509" s="9"/>
      <c r="XDY509" s="9"/>
      <c r="XDZ509" s="9"/>
      <c r="XEA509" s="9"/>
      <c r="XEB509" s="9"/>
      <c r="XEC509" s="9"/>
      <c r="XED509" s="9"/>
      <c r="XEE509" s="9"/>
      <c r="XEF509" s="9"/>
      <c r="XEG509" s="9"/>
      <c r="XEH509" s="9"/>
      <c r="XEI509" s="9"/>
      <c r="XEJ509" s="9"/>
      <c r="XEK509" s="9"/>
      <c r="XEL509" s="9"/>
      <c r="XEM509" s="9"/>
      <c r="XEN509" s="9"/>
      <c r="XEO509" s="9"/>
      <c r="XEP509" s="9"/>
      <c r="XEQ509" s="9"/>
      <c r="XER509" s="9"/>
      <c r="XES509" s="9"/>
      <c r="XET509" s="9"/>
      <c r="XEU509" s="9"/>
      <c r="XEV509" s="9"/>
      <c r="XEW509" s="9"/>
      <c r="XEX509" s="9"/>
      <c r="XEY509" s="9"/>
      <c r="XEZ509" s="9"/>
      <c r="XFA509" s="9"/>
      <c r="XFB509" s="9"/>
      <c r="XFC509" s="9"/>
      <c r="XFD509" s="9"/>
    </row>
    <row r="510" spans="1:8 16325:16384" s="3" customFormat="1" ht="19.95" customHeight="1">
      <c r="A510" s="6" t="str">
        <f t="shared" si="21"/>
        <v>040022</v>
      </c>
      <c r="B510" s="6" t="s">
        <v>26</v>
      </c>
      <c r="C510" s="6" t="s">
        <v>24</v>
      </c>
      <c r="D510" s="6" t="str">
        <f>"512732902"</f>
        <v>512732902</v>
      </c>
      <c r="E510" s="7">
        <v>0</v>
      </c>
      <c r="F510" s="7">
        <v>0</v>
      </c>
      <c r="G510" s="7"/>
      <c r="H510" s="7">
        <v>0</v>
      </c>
      <c r="XCW510" s="9"/>
      <c r="XCX510" s="9"/>
      <c r="XCY510" s="9"/>
      <c r="XCZ510" s="9"/>
      <c r="XDA510" s="9"/>
      <c r="XDB510" s="9"/>
      <c r="XDC510" s="9"/>
      <c r="XDD510" s="9"/>
      <c r="XDE510" s="9"/>
      <c r="XDF510" s="9"/>
      <c r="XDG510" s="9"/>
      <c r="XDH510" s="9"/>
      <c r="XDI510" s="9"/>
      <c r="XDJ510" s="9"/>
      <c r="XDK510" s="9"/>
      <c r="XDL510" s="9"/>
      <c r="XDM510" s="9"/>
      <c r="XDN510" s="9"/>
      <c r="XDO510" s="9"/>
      <c r="XDP510" s="9"/>
      <c r="XDQ510" s="9"/>
      <c r="XDR510" s="9"/>
      <c r="XDS510" s="9"/>
      <c r="XDT510" s="9"/>
      <c r="XDU510" s="9"/>
      <c r="XDV510" s="9"/>
      <c r="XDW510" s="9"/>
      <c r="XDX510" s="9"/>
      <c r="XDY510" s="9"/>
      <c r="XDZ510" s="9"/>
      <c r="XEA510" s="9"/>
      <c r="XEB510" s="9"/>
      <c r="XEC510" s="9"/>
      <c r="XED510" s="9"/>
      <c r="XEE510" s="9"/>
      <c r="XEF510" s="9"/>
      <c r="XEG510" s="9"/>
      <c r="XEH510" s="9"/>
      <c r="XEI510" s="9"/>
      <c r="XEJ510" s="9"/>
      <c r="XEK510" s="9"/>
      <c r="XEL510" s="9"/>
      <c r="XEM510" s="9"/>
      <c r="XEN510" s="9"/>
      <c r="XEO510" s="9"/>
      <c r="XEP510" s="9"/>
      <c r="XEQ510" s="9"/>
      <c r="XER510" s="9"/>
      <c r="XES510" s="9"/>
      <c r="XET510" s="9"/>
      <c r="XEU510" s="9"/>
      <c r="XEV510" s="9"/>
      <c r="XEW510" s="9"/>
      <c r="XEX510" s="9"/>
      <c r="XEY510" s="9"/>
      <c r="XEZ510" s="9"/>
      <c r="XFA510" s="9"/>
      <c r="XFB510" s="9"/>
      <c r="XFC510" s="9"/>
      <c r="XFD510" s="9"/>
    </row>
    <row r="511" spans="1:8 16325:16384" s="3" customFormat="1" ht="19.95" customHeight="1">
      <c r="A511" s="6" t="str">
        <f t="shared" si="21"/>
        <v>040022</v>
      </c>
      <c r="B511" s="6" t="s">
        <v>26</v>
      </c>
      <c r="C511" s="6" t="s">
        <v>24</v>
      </c>
      <c r="D511" s="6" t="str">
        <f>"512732820"</f>
        <v>512732820</v>
      </c>
      <c r="E511" s="7">
        <v>78</v>
      </c>
      <c r="F511" s="7">
        <v>44</v>
      </c>
      <c r="G511" s="7"/>
      <c r="H511" s="7">
        <v>64.400000000000006</v>
      </c>
      <c r="XCW511" s="9"/>
      <c r="XCX511" s="9"/>
      <c r="XCY511" s="9"/>
      <c r="XCZ511" s="9"/>
      <c r="XDA511" s="9"/>
      <c r="XDB511" s="9"/>
      <c r="XDC511" s="9"/>
      <c r="XDD511" s="9"/>
      <c r="XDE511" s="9"/>
      <c r="XDF511" s="9"/>
      <c r="XDG511" s="9"/>
      <c r="XDH511" s="9"/>
      <c r="XDI511" s="9"/>
      <c r="XDJ511" s="9"/>
      <c r="XDK511" s="9"/>
      <c r="XDL511" s="9"/>
      <c r="XDM511" s="9"/>
      <c r="XDN511" s="9"/>
      <c r="XDO511" s="9"/>
      <c r="XDP511" s="9"/>
      <c r="XDQ511" s="9"/>
      <c r="XDR511" s="9"/>
      <c r="XDS511" s="9"/>
      <c r="XDT511" s="9"/>
      <c r="XDU511" s="9"/>
      <c r="XDV511" s="9"/>
      <c r="XDW511" s="9"/>
      <c r="XDX511" s="9"/>
      <c r="XDY511" s="9"/>
      <c r="XDZ511" s="9"/>
      <c r="XEA511" s="9"/>
      <c r="XEB511" s="9"/>
      <c r="XEC511" s="9"/>
      <c r="XED511" s="9"/>
      <c r="XEE511" s="9"/>
      <c r="XEF511" s="9"/>
      <c r="XEG511" s="9"/>
      <c r="XEH511" s="9"/>
      <c r="XEI511" s="9"/>
      <c r="XEJ511" s="9"/>
      <c r="XEK511" s="9"/>
      <c r="XEL511" s="9"/>
      <c r="XEM511" s="9"/>
      <c r="XEN511" s="9"/>
      <c r="XEO511" s="9"/>
      <c r="XEP511" s="9"/>
      <c r="XEQ511" s="9"/>
      <c r="XER511" s="9"/>
      <c r="XES511" s="9"/>
      <c r="XET511" s="9"/>
      <c r="XEU511" s="9"/>
      <c r="XEV511" s="9"/>
      <c r="XEW511" s="9"/>
      <c r="XEX511" s="9"/>
      <c r="XEY511" s="9"/>
      <c r="XEZ511" s="9"/>
      <c r="XFA511" s="9"/>
      <c r="XFB511" s="9"/>
      <c r="XFC511" s="9"/>
      <c r="XFD511" s="9"/>
    </row>
    <row r="512" spans="1:8 16325:16384" s="3" customFormat="1" ht="19.95" customHeight="1">
      <c r="A512" s="6" t="str">
        <f t="shared" si="21"/>
        <v>040022</v>
      </c>
      <c r="B512" s="6" t="s">
        <v>26</v>
      </c>
      <c r="C512" s="6" t="s">
        <v>24</v>
      </c>
      <c r="D512" s="6" t="str">
        <f>"512732826"</f>
        <v>512732826</v>
      </c>
      <c r="E512" s="7">
        <v>98</v>
      </c>
      <c r="F512" s="7">
        <v>63</v>
      </c>
      <c r="G512" s="7"/>
      <c r="H512" s="7">
        <v>84</v>
      </c>
      <c r="XCW512" s="9"/>
      <c r="XCX512" s="9"/>
      <c r="XCY512" s="9"/>
      <c r="XCZ512" s="9"/>
      <c r="XDA512" s="9"/>
      <c r="XDB512" s="9"/>
      <c r="XDC512" s="9"/>
      <c r="XDD512" s="9"/>
      <c r="XDE512" s="9"/>
      <c r="XDF512" s="9"/>
      <c r="XDG512" s="9"/>
      <c r="XDH512" s="9"/>
      <c r="XDI512" s="9"/>
      <c r="XDJ512" s="9"/>
      <c r="XDK512" s="9"/>
      <c r="XDL512" s="9"/>
      <c r="XDM512" s="9"/>
      <c r="XDN512" s="9"/>
      <c r="XDO512" s="9"/>
      <c r="XDP512" s="9"/>
      <c r="XDQ512" s="9"/>
      <c r="XDR512" s="9"/>
      <c r="XDS512" s="9"/>
      <c r="XDT512" s="9"/>
      <c r="XDU512" s="9"/>
      <c r="XDV512" s="9"/>
      <c r="XDW512" s="9"/>
      <c r="XDX512" s="9"/>
      <c r="XDY512" s="9"/>
      <c r="XDZ512" s="9"/>
      <c r="XEA512" s="9"/>
      <c r="XEB512" s="9"/>
      <c r="XEC512" s="9"/>
      <c r="XED512" s="9"/>
      <c r="XEE512" s="9"/>
      <c r="XEF512" s="9"/>
      <c r="XEG512" s="9"/>
      <c r="XEH512" s="9"/>
      <c r="XEI512" s="9"/>
      <c r="XEJ512" s="9"/>
      <c r="XEK512" s="9"/>
      <c r="XEL512" s="9"/>
      <c r="XEM512" s="9"/>
      <c r="XEN512" s="9"/>
      <c r="XEO512" s="9"/>
      <c r="XEP512" s="9"/>
      <c r="XEQ512" s="9"/>
      <c r="XER512" s="9"/>
      <c r="XES512" s="9"/>
      <c r="XET512" s="9"/>
      <c r="XEU512" s="9"/>
      <c r="XEV512" s="9"/>
      <c r="XEW512" s="9"/>
      <c r="XEX512" s="9"/>
      <c r="XEY512" s="9"/>
      <c r="XEZ512" s="9"/>
      <c r="XFA512" s="9"/>
      <c r="XFB512" s="9"/>
      <c r="XFC512" s="9"/>
      <c r="XFD512" s="9"/>
    </row>
    <row r="513" spans="1:8 16325:16384" s="3" customFormat="1" ht="19.95" customHeight="1">
      <c r="A513" s="6" t="str">
        <f t="shared" si="21"/>
        <v>040022</v>
      </c>
      <c r="B513" s="6" t="s">
        <v>26</v>
      </c>
      <c r="C513" s="6" t="s">
        <v>24</v>
      </c>
      <c r="D513" s="6" t="str">
        <f>"512732818"</f>
        <v>512732818</v>
      </c>
      <c r="E513" s="7">
        <v>89.5</v>
      </c>
      <c r="F513" s="7">
        <v>68.5</v>
      </c>
      <c r="G513" s="7"/>
      <c r="H513" s="7">
        <v>81.099999999999994</v>
      </c>
      <c r="XCW513" s="9"/>
      <c r="XCX513" s="9"/>
      <c r="XCY513" s="9"/>
      <c r="XCZ513" s="9"/>
      <c r="XDA513" s="9"/>
      <c r="XDB513" s="9"/>
      <c r="XDC513" s="9"/>
      <c r="XDD513" s="9"/>
      <c r="XDE513" s="9"/>
      <c r="XDF513" s="9"/>
      <c r="XDG513" s="9"/>
      <c r="XDH513" s="9"/>
      <c r="XDI513" s="9"/>
      <c r="XDJ513" s="9"/>
      <c r="XDK513" s="9"/>
      <c r="XDL513" s="9"/>
      <c r="XDM513" s="9"/>
      <c r="XDN513" s="9"/>
      <c r="XDO513" s="9"/>
      <c r="XDP513" s="9"/>
      <c r="XDQ513" s="9"/>
      <c r="XDR513" s="9"/>
      <c r="XDS513" s="9"/>
      <c r="XDT513" s="9"/>
      <c r="XDU513" s="9"/>
      <c r="XDV513" s="9"/>
      <c r="XDW513" s="9"/>
      <c r="XDX513" s="9"/>
      <c r="XDY513" s="9"/>
      <c r="XDZ513" s="9"/>
      <c r="XEA513" s="9"/>
      <c r="XEB513" s="9"/>
      <c r="XEC513" s="9"/>
      <c r="XED513" s="9"/>
      <c r="XEE513" s="9"/>
      <c r="XEF513" s="9"/>
      <c r="XEG513" s="9"/>
      <c r="XEH513" s="9"/>
      <c r="XEI513" s="9"/>
      <c r="XEJ513" s="9"/>
      <c r="XEK513" s="9"/>
      <c r="XEL513" s="9"/>
      <c r="XEM513" s="9"/>
      <c r="XEN513" s="9"/>
      <c r="XEO513" s="9"/>
      <c r="XEP513" s="9"/>
      <c r="XEQ513" s="9"/>
      <c r="XER513" s="9"/>
      <c r="XES513" s="9"/>
      <c r="XET513" s="9"/>
      <c r="XEU513" s="9"/>
      <c r="XEV513" s="9"/>
      <c r="XEW513" s="9"/>
      <c r="XEX513" s="9"/>
      <c r="XEY513" s="9"/>
      <c r="XEZ513" s="9"/>
      <c r="XFA513" s="9"/>
      <c r="XFB513" s="9"/>
      <c r="XFC513" s="9"/>
      <c r="XFD513" s="9"/>
    </row>
    <row r="514" spans="1:8 16325:16384" s="3" customFormat="1" ht="19.95" customHeight="1">
      <c r="A514" s="6" t="str">
        <f t="shared" si="21"/>
        <v>040022</v>
      </c>
      <c r="B514" s="6" t="s">
        <v>26</v>
      </c>
      <c r="C514" s="6" t="s">
        <v>24</v>
      </c>
      <c r="D514" s="6" t="str">
        <f>"512732824"</f>
        <v>512732824</v>
      </c>
      <c r="E514" s="7">
        <v>86.5</v>
      </c>
      <c r="F514" s="7">
        <v>68</v>
      </c>
      <c r="G514" s="7"/>
      <c r="H514" s="7">
        <v>79.099999999999994</v>
      </c>
      <c r="XCW514" s="9"/>
      <c r="XCX514" s="9"/>
      <c r="XCY514" s="9"/>
      <c r="XCZ514" s="9"/>
      <c r="XDA514" s="9"/>
      <c r="XDB514" s="9"/>
      <c r="XDC514" s="9"/>
      <c r="XDD514" s="9"/>
      <c r="XDE514" s="9"/>
      <c r="XDF514" s="9"/>
      <c r="XDG514" s="9"/>
      <c r="XDH514" s="9"/>
      <c r="XDI514" s="9"/>
      <c r="XDJ514" s="9"/>
      <c r="XDK514" s="9"/>
      <c r="XDL514" s="9"/>
      <c r="XDM514" s="9"/>
      <c r="XDN514" s="9"/>
      <c r="XDO514" s="9"/>
      <c r="XDP514" s="9"/>
      <c r="XDQ514" s="9"/>
      <c r="XDR514" s="9"/>
      <c r="XDS514" s="9"/>
      <c r="XDT514" s="9"/>
      <c r="XDU514" s="9"/>
      <c r="XDV514" s="9"/>
      <c r="XDW514" s="9"/>
      <c r="XDX514" s="9"/>
      <c r="XDY514" s="9"/>
      <c r="XDZ514" s="9"/>
      <c r="XEA514" s="9"/>
      <c r="XEB514" s="9"/>
      <c r="XEC514" s="9"/>
      <c r="XED514" s="9"/>
      <c r="XEE514" s="9"/>
      <c r="XEF514" s="9"/>
      <c r="XEG514" s="9"/>
      <c r="XEH514" s="9"/>
      <c r="XEI514" s="9"/>
      <c r="XEJ514" s="9"/>
      <c r="XEK514" s="9"/>
      <c r="XEL514" s="9"/>
      <c r="XEM514" s="9"/>
      <c r="XEN514" s="9"/>
      <c r="XEO514" s="9"/>
      <c r="XEP514" s="9"/>
      <c r="XEQ514" s="9"/>
      <c r="XER514" s="9"/>
      <c r="XES514" s="9"/>
      <c r="XET514" s="9"/>
      <c r="XEU514" s="9"/>
      <c r="XEV514" s="9"/>
      <c r="XEW514" s="9"/>
      <c r="XEX514" s="9"/>
      <c r="XEY514" s="9"/>
      <c r="XEZ514" s="9"/>
      <c r="XFA514" s="9"/>
      <c r="XFB514" s="9"/>
      <c r="XFC514" s="9"/>
      <c r="XFD514" s="9"/>
    </row>
    <row r="515" spans="1:8 16325:16384" s="3" customFormat="1" ht="19.95" customHeight="1">
      <c r="A515" s="6" t="str">
        <f t="shared" si="21"/>
        <v>040022</v>
      </c>
      <c r="B515" s="6" t="s">
        <v>26</v>
      </c>
      <c r="C515" s="6" t="s">
        <v>24</v>
      </c>
      <c r="D515" s="6" t="str">
        <f>"512732904"</f>
        <v>512732904</v>
      </c>
      <c r="E515" s="7">
        <v>50</v>
      </c>
      <c r="F515" s="7">
        <v>66</v>
      </c>
      <c r="G515" s="7"/>
      <c r="H515" s="7">
        <v>56.4</v>
      </c>
      <c r="XCW515" s="9"/>
      <c r="XCX515" s="9"/>
      <c r="XCY515" s="9"/>
      <c r="XCZ515" s="9"/>
      <c r="XDA515" s="9"/>
      <c r="XDB515" s="9"/>
      <c r="XDC515" s="9"/>
      <c r="XDD515" s="9"/>
      <c r="XDE515" s="9"/>
      <c r="XDF515" s="9"/>
      <c r="XDG515" s="9"/>
      <c r="XDH515" s="9"/>
      <c r="XDI515" s="9"/>
      <c r="XDJ515" s="9"/>
      <c r="XDK515" s="9"/>
      <c r="XDL515" s="9"/>
      <c r="XDM515" s="9"/>
      <c r="XDN515" s="9"/>
      <c r="XDO515" s="9"/>
      <c r="XDP515" s="9"/>
      <c r="XDQ515" s="9"/>
      <c r="XDR515" s="9"/>
      <c r="XDS515" s="9"/>
      <c r="XDT515" s="9"/>
      <c r="XDU515" s="9"/>
      <c r="XDV515" s="9"/>
      <c r="XDW515" s="9"/>
      <c r="XDX515" s="9"/>
      <c r="XDY515" s="9"/>
      <c r="XDZ515" s="9"/>
      <c r="XEA515" s="9"/>
      <c r="XEB515" s="9"/>
      <c r="XEC515" s="9"/>
      <c r="XED515" s="9"/>
      <c r="XEE515" s="9"/>
      <c r="XEF515" s="9"/>
      <c r="XEG515" s="9"/>
      <c r="XEH515" s="9"/>
      <c r="XEI515" s="9"/>
      <c r="XEJ515" s="9"/>
      <c r="XEK515" s="9"/>
      <c r="XEL515" s="9"/>
      <c r="XEM515" s="9"/>
      <c r="XEN515" s="9"/>
      <c r="XEO515" s="9"/>
      <c r="XEP515" s="9"/>
      <c r="XEQ515" s="9"/>
      <c r="XER515" s="9"/>
      <c r="XES515" s="9"/>
      <c r="XET515" s="9"/>
      <c r="XEU515" s="9"/>
      <c r="XEV515" s="9"/>
      <c r="XEW515" s="9"/>
      <c r="XEX515" s="9"/>
      <c r="XEY515" s="9"/>
      <c r="XEZ515" s="9"/>
      <c r="XFA515" s="9"/>
      <c r="XFB515" s="9"/>
      <c r="XFC515" s="9"/>
      <c r="XFD515" s="9"/>
    </row>
    <row r="516" spans="1:8 16325:16384" s="3" customFormat="1" ht="19.95" customHeight="1">
      <c r="A516" s="6" t="str">
        <f t="shared" si="21"/>
        <v>040022</v>
      </c>
      <c r="B516" s="6" t="s">
        <v>26</v>
      </c>
      <c r="C516" s="6" t="s">
        <v>24</v>
      </c>
      <c r="D516" s="6" t="str">
        <f>"512732819"</f>
        <v>512732819</v>
      </c>
      <c r="E516" s="7">
        <v>76</v>
      </c>
      <c r="F516" s="7">
        <v>70.5</v>
      </c>
      <c r="G516" s="7"/>
      <c r="H516" s="7">
        <v>73.8</v>
      </c>
      <c r="XCW516" s="9"/>
      <c r="XCX516" s="9"/>
      <c r="XCY516" s="9"/>
      <c r="XCZ516" s="9"/>
      <c r="XDA516" s="9"/>
      <c r="XDB516" s="9"/>
      <c r="XDC516" s="9"/>
      <c r="XDD516" s="9"/>
      <c r="XDE516" s="9"/>
      <c r="XDF516" s="9"/>
      <c r="XDG516" s="9"/>
      <c r="XDH516" s="9"/>
      <c r="XDI516" s="9"/>
      <c r="XDJ516" s="9"/>
      <c r="XDK516" s="9"/>
      <c r="XDL516" s="9"/>
      <c r="XDM516" s="9"/>
      <c r="XDN516" s="9"/>
      <c r="XDO516" s="9"/>
      <c r="XDP516" s="9"/>
      <c r="XDQ516" s="9"/>
      <c r="XDR516" s="9"/>
      <c r="XDS516" s="9"/>
      <c r="XDT516" s="9"/>
      <c r="XDU516" s="9"/>
      <c r="XDV516" s="9"/>
      <c r="XDW516" s="9"/>
      <c r="XDX516" s="9"/>
      <c r="XDY516" s="9"/>
      <c r="XDZ516" s="9"/>
      <c r="XEA516" s="9"/>
      <c r="XEB516" s="9"/>
      <c r="XEC516" s="9"/>
      <c r="XED516" s="9"/>
      <c r="XEE516" s="9"/>
      <c r="XEF516" s="9"/>
      <c r="XEG516" s="9"/>
      <c r="XEH516" s="9"/>
      <c r="XEI516" s="9"/>
      <c r="XEJ516" s="9"/>
      <c r="XEK516" s="9"/>
      <c r="XEL516" s="9"/>
      <c r="XEM516" s="9"/>
      <c r="XEN516" s="9"/>
      <c r="XEO516" s="9"/>
      <c r="XEP516" s="9"/>
      <c r="XEQ516" s="9"/>
      <c r="XER516" s="9"/>
      <c r="XES516" s="9"/>
      <c r="XET516" s="9"/>
      <c r="XEU516" s="9"/>
      <c r="XEV516" s="9"/>
      <c r="XEW516" s="9"/>
      <c r="XEX516" s="9"/>
      <c r="XEY516" s="9"/>
      <c r="XEZ516" s="9"/>
      <c r="XFA516" s="9"/>
      <c r="XFB516" s="9"/>
      <c r="XFC516" s="9"/>
      <c r="XFD516" s="9"/>
    </row>
    <row r="517" spans="1:8 16325:16384" s="3" customFormat="1" ht="19.95" customHeight="1">
      <c r="A517" s="6" t="str">
        <f t="shared" si="21"/>
        <v>040022</v>
      </c>
      <c r="B517" s="6" t="s">
        <v>26</v>
      </c>
      <c r="C517" s="6" t="s">
        <v>24</v>
      </c>
      <c r="D517" s="6" t="str">
        <f>"512732908"</f>
        <v>512732908</v>
      </c>
      <c r="E517" s="7">
        <v>0</v>
      </c>
      <c r="F517" s="7">
        <v>0</v>
      </c>
      <c r="G517" s="7"/>
      <c r="H517" s="7">
        <v>0</v>
      </c>
      <c r="XCW517" s="9"/>
      <c r="XCX517" s="9"/>
      <c r="XCY517" s="9"/>
      <c r="XCZ517" s="9"/>
      <c r="XDA517" s="9"/>
      <c r="XDB517" s="9"/>
      <c r="XDC517" s="9"/>
      <c r="XDD517" s="9"/>
      <c r="XDE517" s="9"/>
      <c r="XDF517" s="9"/>
      <c r="XDG517" s="9"/>
      <c r="XDH517" s="9"/>
      <c r="XDI517" s="9"/>
      <c r="XDJ517" s="9"/>
      <c r="XDK517" s="9"/>
      <c r="XDL517" s="9"/>
      <c r="XDM517" s="9"/>
      <c r="XDN517" s="9"/>
      <c r="XDO517" s="9"/>
      <c r="XDP517" s="9"/>
      <c r="XDQ517" s="9"/>
      <c r="XDR517" s="9"/>
      <c r="XDS517" s="9"/>
      <c r="XDT517" s="9"/>
      <c r="XDU517" s="9"/>
      <c r="XDV517" s="9"/>
      <c r="XDW517" s="9"/>
      <c r="XDX517" s="9"/>
      <c r="XDY517" s="9"/>
      <c r="XDZ517" s="9"/>
      <c r="XEA517" s="9"/>
      <c r="XEB517" s="9"/>
      <c r="XEC517" s="9"/>
      <c r="XED517" s="9"/>
      <c r="XEE517" s="9"/>
      <c r="XEF517" s="9"/>
      <c r="XEG517" s="9"/>
      <c r="XEH517" s="9"/>
      <c r="XEI517" s="9"/>
      <c r="XEJ517" s="9"/>
      <c r="XEK517" s="9"/>
      <c r="XEL517" s="9"/>
      <c r="XEM517" s="9"/>
      <c r="XEN517" s="9"/>
      <c r="XEO517" s="9"/>
      <c r="XEP517" s="9"/>
      <c r="XEQ517" s="9"/>
      <c r="XER517" s="9"/>
      <c r="XES517" s="9"/>
      <c r="XET517" s="9"/>
      <c r="XEU517" s="9"/>
      <c r="XEV517" s="9"/>
      <c r="XEW517" s="9"/>
      <c r="XEX517" s="9"/>
      <c r="XEY517" s="9"/>
      <c r="XEZ517" s="9"/>
      <c r="XFA517" s="9"/>
      <c r="XFB517" s="9"/>
      <c r="XFC517" s="9"/>
      <c r="XFD517" s="9"/>
    </row>
    <row r="518" spans="1:8 16325:16384" s="3" customFormat="1" ht="19.95" customHeight="1">
      <c r="A518" s="6" t="str">
        <f t="shared" si="21"/>
        <v>040022</v>
      </c>
      <c r="B518" s="6" t="s">
        <v>26</v>
      </c>
      <c r="C518" s="6" t="s">
        <v>24</v>
      </c>
      <c r="D518" s="6" t="str">
        <f>"512732825"</f>
        <v>512732825</v>
      </c>
      <c r="E518" s="7">
        <v>88</v>
      </c>
      <c r="F518" s="7">
        <v>71.5</v>
      </c>
      <c r="G518" s="7"/>
      <c r="H518" s="7">
        <v>81.400000000000006</v>
      </c>
      <c r="XCW518" s="9"/>
      <c r="XCX518" s="9"/>
      <c r="XCY518" s="9"/>
      <c r="XCZ518" s="9"/>
      <c r="XDA518" s="9"/>
      <c r="XDB518" s="9"/>
      <c r="XDC518" s="9"/>
      <c r="XDD518" s="9"/>
      <c r="XDE518" s="9"/>
      <c r="XDF518" s="9"/>
      <c r="XDG518" s="9"/>
      <c r="XDH518" s="9"/>
      <c r="XDI518" s="9"/>
      <c r="XDJ518" s="9"/>
      <c r="XDK518" s="9"/>
      <c r="XDL518" s="9"/>
      <c r="XDM518" s="9"/>
      <c r="XDN518" s="9"/>
      <c r="XDO518" s="9"/>
      <c r="XDP518" s="9"/>
      <c r="XDQ518" s="9"/>
      <c r="XDR518" s="9"/>
      <c r="XDS518" s="9"/>
      <c r="XDT518" s="9"/>
      <c r="XDU518" s="9"/>
      <c r="XDV518" s="9"/>
      <c r="XDW518" s="9"/>
      <c r="XDX518" s="9"/>
      <c r="XDY518" s="9"/>
      <c r="XDZ518" s="9"/>
      <c r="XEA518" s="9"/>
      <c r="XEB518" s="9"/>
      <c r="XEC518" s="9"/>
      <c r="XED518" s="9"/>
      <c r="XEE518" s="9"/>
      <c r="XEF518" s="9"/>
      <c r="XEG518" s="9"/>
      <c r="XEH518" s="9"/>
      <c r="XEI518" s="9"/>
      <c r="XEJ518" s="9"/>
      <c r="XEK518" s="9"/>
      <c r="XEL518" s="9"/>
      <c r="XEM518" s="9"/>
      <c r="XEN518" s="9"/>
      <c r="XEO518" s="9"/>
      <c r="XEP518" s="9"/>
      <c r="XEQ518" s="9"/>
      <c r="XER518" s="9"/>
      <c r="XES518" s="9"/>
      <c r="XET518" s="9"/>
      <c r="XEU518" s="9"/>
      <c r="XEV518" s="9"/>
      <c r="XEW518" s="9"/>
      <c r="XEX518" s="9"/>
      <c r="XEY518" s="9"/>
      <c r="XEZ518" s="9"/>
      <c r="XFA518" s="9"/>
      <c r="XFB518" s="9"/>
      <c r="XFC518" s="9"/>
      <c r="XFD518" s="9"/>
    </row>
    <row r="519" spans="1:8 16325:16384" s="3" customFormat="1" ht="19.95" customHeight="1">
      <c r="A519" s="6" t="str">
        <f t="shared" si="21"/>
        <v>040022</v>
      </c>
      <c r="B519" s="6" t="s">
        <v>26</v>
      </c>
      <c r="C519" s="6" t="s">
        <v>24</v>
      </c>
      <c r="D519" s="6" t="str">
        <f>"512732910"</f>
        <v>512732910</v>
      </c>
      <c r="E519" s="7">
        <v>0</v>
      </c>
      <c r="F519" s="7">
        <v>0</v>
      </c>
      <c r="G519" s="7"/>
      <c r="H519" s="7">
        <v>0</v>
      </c>
      <c r="XCW519" s="9"/>
      <c r="XCX519" s="9"/>
      <c r="XCY519" s="9"/>
      <c r="XCZ519" s="9"/>
      <c r="XDA519" s="9"/>
      <c r="XDB519" s="9"/>
      <c r="XDC519" s="9"/>
      <c r="XDD519" s="9"/>
      <c r="XDE519" s="9"/>
      <c r="XDF519" s="9"/>
      <c r="XDG519" s="9"/>
      <c r="XDH519" s="9"/>
      <c r="XDI519" s="9"/>
      <c r="XDJ519" s="9"/>
      <c r="XDK519" s="9"/>
      <c r="XDL519" s="9"/>
      <c r="XDM519" s="9"/>
      <c r="XDN519" s="9"/>
      <c r="XDO519" s="9"/>
      <c r="XDP519" s="9"/>
      <c r="XDQ519" s="9"/>
      <c r="XDR519" s="9"/>
      <c r="XDS519" s="9"/>
      <c r="XDT519" s="9"/>
      <c r="XDU519" s="9"/>
      <c r="XDV519" s="9"/>
      <c r="XDW519" s="9"/>
      <c r="XDX519" s="9"/>
      <c r="XDY519" s="9"/>
      <c r="XDZ519" s="9"/>
      <c r="XEA519" s="9"/>
      <c r="XEB519" s="9"/>
      <c r="XEC519" s="9"/>
      <c r="XED519" s="9"/>
      <c r="XEE519" s="9"/>
      <c r="XEF519" s="9"/>
      <c r="XEG519" s="9"/>
      <c r="XEH519" s="9"/>
      <c r="XEI519" s="9"/>
      <c r="XEJ519" s="9"/>
      <c r="XEK519" s="9"/>
      <c r="XEL519" s="9"/>
      <c r="XEM519" s="9"/>
      <c r="XEN519" s="9"/>
      <c r="XEO519" s="9"/>
      <c r="XEP519" s="9"/>
      <c r="XEQ519" s="9"/>
      <c r="XER519" s="9"/>
      <c r="XES519" s="9"/>
      <c r="XET519" s="9"/>
      <c r="XEU519" s="9"/>
      <c r="XEV519" s="9"/>
      <c r="XEW519" s="9"/>
      <c r="XEX519" s="9"/>
      <c r="XEY519" s="9"/>
      <c r="XEZ519" s="9"/>
      <c r="XFA519" s="9"/>
      <c r="XFB519" s="9"/>
      <c r="XFC519" s="9"/>
      <c r="XFD519" s="9"/>
    </row>
    <row r="520" spans="1:8 16325:16384" s="3" customFormat="1" ht="19.95" customHeight="1">
      <c r="A520" s="6" t="str">
        <f t="shared" si="21"/>
        <v>040022</v>
      </c>
      <c r="B520" s="6" t="s">
        <v>26</v>
      </c>
      <c r="C520" s="6" t="s">
        <v>24</v>
      </c>
      <c r="D520" s="6" t="str">
        <f>"512732823"</f>
        <v>512732823</v>
      </c>
      <c r="E520" s="7">
        <v>101</v>
      </c>
      <c r="F520" s="7">
        <v>64</v>
      </c>
      <c r="G520" s="7"/>
      <c r="H520" s="7">
        <v>86.2</v>
      </c>
      <c r="XCW520" s="9"/>
      <c r="XCX520" s="9"/>
      <c r="XCY520" s="9"/>
      <c r="XCZ520" s="9"/>
      <c r="XDA520" s="9"/>
      <c r="XDB520" s="9"/>
      <c r="XDC520" s="9"/>
      <c r="XDD520" s="9"/>
      <c r="XDE520" s="9"/>
      <c r="XDF520" s="9"/>
      <c r="XDG520" s="9"/>
      <c r="XDH520" s="9"/>
      <c r="XDI520" s="9"/>
      <c r="XDJ520" s="9"/>
      <c r="XDK520" s="9"/>
      <c r="XDL520" s="9"/>
      <c r="XDM520" s="9"/>
      <c r="XDN520" s="9"/>
      <c r="XDO520" s="9"/>
      <c r="XDP520" s="9"/>
      <c r="XDQ520" s="9"/>
      <c r="XDR520" s="9"/>
      <c r="XDS520" s="9"/>
      <c r="XDT520" s="9"/>
      <c r="XDU520" s="9"/>
      <c r="XDV520" s="9"/>
      <c r="XDW520" s="9"/>
      <c r="XDX520" s="9"/>
      <c r="XDY520" s="9"/>
      <c r="XDZ520" s="9"/>
      <c r="XEA520" s="9"/>
      <c r="XEB520" s="9"/>
      <c r="XEC520" s="9"/>
      <c r="XED520" s="9"/>
      <c r="XEE520" s="9"/>
      <c r="XEF520" s="9"/>
      <c r="XEG520" s="9"/>
      <c r="XEH520" s="9"/>
      <c r="XEI520" s="9"/>
      <c r="XEJ520" s="9"/>
      <c r="XEK520" s="9"/>
      <c r="XEL520" s="9"/>
      <c r="XEM520" s="9"/>
      <c r="XEN520" s="9"/>
      <c r="XEO520" s="9"/>
      <c r="XEP520" s="9"/>
      <c r="XEQ520" s="9"/>
      <c r="XER520" s="9"/>
      <c r="XES520" s="9"/>
      <c r="XET520" s="9"/>
      <c r="XEU520" s="9"/>
      <c r="XEV520" s="9"/>
      <c r="XEW520" s="9"/>
      <c r="XEX520" s="9"/>
      <c r="XEY520" s="9"/>
      <c r="XEZ520" s="9"/>
      <c r="XFA520" s="9"/>
      <c r="XFB520" s="9"/>
      <c r="XFC520" s="9"/>
      <c r="XFD520" s="9"/>
    </row>
    <row r="521" spans="1:8 16325:16384" s="3" customFormat="1" ht="19.95" customHeight="1">
      <c r="A521" s="6" t="str">
        <f t="shared" si="21"/>
        <v>040022</v>
      </c>
      <c r="B521" s="6" t="s">
        <v>26</v>
      </c>
      <c r="C521" s="6" t="s">
        <v>24</v>
      </c>
      <c r="D521" s="6" t="str">
        <f>"512732827"</f>
        <v>512732827</v>
      </c>
      <c r="E521" s="7">
        <v>75.5</v>
      </c>
      <c r="F521" s="7">
        <v>55.5</v>
      </c>
      <c r="G521" s="7"/>
      <c r="H521" s="7">
        <v>67.5</v>
      </c>
      <c r="XCW521" s="9"/>
      <c r="XCX521" s="9"/>
      <c r="XCY521" s="9"/>
      <c r="XCZ521" s="9"/>
      <c r="XDA521" s="9"/>
      <c r="XDB521" s="9"/>
      <c r="XDC521" s="9"/>
      <c r="XDD521" s="9"/>
      <c r="XDE521" s="9"/>
      <c r="XDF521" s="9"/>
      <c r="XDG521" s="9"/>
      <c r="XDH521" s="9"/>
      <c r="XDI521" s="9"/>
      <c r="XDJ521" s="9"/>
      <c r="XDK521" s="9"/>
      <c r="XDL521" s="9"/>
      <c r="XDM521" s="9"/>
      <c r="XDN521" s="9"/>
      <c r="XDO521" s="9"/>
      <c r="XDP521" s="9"/>
      <c r="XDQ521" s="9"/>
      <c r="XDR521" s="9"/>
      <c r="XDS521" s="9"/>
      <c r="XDT521" s="9"/>
      <c r="XDU521" s="9"/>
      <c r="XDV521" s="9"/>
      <c r="XDW521" s="9"/>
      <c r="XDX521" s="9"/>
      <c r="XDY521" s="9"/>
      <c r="XDZ521" s="9"/>
      <c r="XEA521" s="9"/>
      <c r="XEB521" s="9"/>
      <c r="XEC521" s="9"/>
      <c r="XED521" s="9"/>
      <c r="XEE521" s="9"/>
      <c r="XEF521" s="9"/>
      <c r="XEG521" s="9"/>
      <c r="XEH521" s="9"/>
      <c r="XEI521" s="9"/>
      <c r="XEJ521" s="9"/>
      <c r="XEK521" s="9"/>
      <c r="XEL521" s="9"/>
      <c r="XEM521" s="9"/>
      <c r="XEN521" s="9"/>
      <c r="XEO521" s="9"/>
      <c r="XEP521" s="9"/>
      <c r="XEQ521" s="9"/>
      <c r="XER521" s="9"/>
      <c r="XES521" s="9"/>
      <c r="XET521" s="9"/>
      <c r="XEU521" s="9"/>
      <c r="XEV521" s="9"/>
      <c r="XEW521" s="9"/>
      <c r="XEX521" s="9"/>
      <c r="XEY521" s="9"/>
      <c r="XEZ521" s="9"/>
      <c r="XFA521" s="9"/>
      <c r="XFB521" s="9"/>
      <c r="XFC521" s="9"/>
      <c r="XFD521" s="9"/>
    </row>
    <row r="522" spans="1:8 16325:16384" s="3" customFormat="1" ht="19.95" customHeight="1">
      <c r="A522" s="6" t="str">
        <f t="shared" si="21"/>
        <v>040022</v>
      </c>
      <c r="B522" s="6" t="s">
        <v>26</v>
      </c>
      <c r="C522" s="6" t="s">
        <v>24</v>
      </c>
      <c r="D522" s="6" t="str">
        <f>"512732828"</f>
        <v>512732828</v>
      </c>
      <c r="E522" s="7">
        <v>71.5</v>
      </c>
      <c r="F522" s="7">
        <v>66.5</v>
      </c>
      <c r="G522" s="7"/>
      <c r="H522" s="7">
        <v>69.5</v>
      </c>
      <c r="XCW522" s="9"/>
      <c r="XCX522" s="9"/>
      <c r="XCY522" s="9"/>
      <c r="XCZ522" s="9"/>
      <c r="XDA522" s="9"/>
      <c r="XDB522" s="9"/>
      <c r="XDC522" s="9"/>
      <c r="XDD522" s="9"/>
      <c r="XDE522" s="9"/>
      <c r="XDF522" s="9"/>
      <c r="XDG522" s="9"/>
      <c r="XDH522" s="9"/>
      <c r="XDI522" s="9"/>
      <c r="XDJ522" s="9"/>
      <c r="XDK522" s="9"/>
      <c r="XDL522" s="9"/>
      <c r="XDM522" s="9"/>
      <c r="XDN522" s="9"/>
      <c r="XDO522" s="9"/>
      <c r="XDP522" s="9"/>
      <c r="XDQ522" s="9"/>
      <c r="XDR522" s="9"/>
      <c r="XDS522" s="9"/>
      <c r="XDT522" s="9"/>
      <c r="XDU522" s="9"/>
      <c r="XDV522" s="9"/>
      <c r="XDW522" s="9"/>
      <c r="XDX522" s="9"/>
      <c r="XDY522" s="9"/>
      <c r="XDZ522" s="9"/>
      <c r="XEA522" s="9"/>
      <c r="XEB522" s="9"/>
      <c r="XEC522" s="9"/>
      <c r="XED522" s="9"/>
      <c r="XEE522" s="9"/>
      <c r="XEF522" s="9"/>
      <c r="XEG522" s="9"/>
      <c r="XEH522" s="9"/>
      <c r="XEI522" s="9"/>
      <c r="XEJ522" s="9"/>
      <c r="XEK522" s="9"/>
      <c r="XEL522" s="9"/>
      <c r="XEM522" s="9"/>
      <c r="XEN522" s="9"/>
      <c r="XEO522" s="9"/>
      <c r="XEP522" s="9"/>
      <c r="XEQ522" s="9"/>
      <c r="XER522" s="9"/>
      <c r="XES522" s="9"/>
      <c r="XET522" s="9"/>
      <c r="XEU522" s="9"/>
      <c r="XEV522" s="9"/>
      <c r="XEW522" s="9"/>
      <c r="XEX522" s="9"/>
      <c r="XEY522" s="9"/>
      <c r="XEZ522" s="9"/>
      <c r="XFA522" s="9"/>
      <c r="XFB522" s="9"/>
      <c r="XFC522" s="9"/>
      <c r="XFD522" s="9"/>
    </row>
    <row r="523" spans="1:8 16325:16384" s="3" customFormat="1" ht="19.95" customHeight="1">
      <c r="A523" s="6" t="str">
        <f t="shared" si="21"/>
        <v>040022</v>
      </c>
      <c r="B523" s="6" t="s">
        <v>26</v>
      </c>
      <c r="C523" s="6" t="s">
        <v>24</v>
      </c>
      <c r="D523" s="6" t="str">
        <f>"512732830"</f>
        <v>512732830</v>
      </c>
      <c r="E523" s="7">
        <v>67.5</v>
      </c>
      <c r="F523" s="7">
        <v>64.5</v>
      </c>
      <c r="G523" s="7"/>
      <c r="H523" s="7">
        <v>66.3</v>
      </c>
      <c r="XCW523" s="9"/>
      <c r="XCX523" s="9"/>
      <c r="XCY523" s="9"/>
      <c r="XCZ523" s="9"/>
      <c r="XDA523" s="9"/>
      <c r="XDB523" s="9"/>
      <c r="XDC523" s="9"/>
      <c r="XDD523" s="9"/>
      <c r="XDE523" s="9"/>
      <c r="XDF523" s="9"/>
      <c r="XDG523" s="9"/>
      <c r="XDH523" s="9"/>
      <c r="XDI523" s="9"/>
      <c r="XDJ523" s="9"/>
      <c r="XDK523" s="9"/>
      <c r="XDL523" s="9"/>
      <c r="XDM523" s="9"/>
      <c r="XDN523" s="9"/>
      <c r="XDO523" s="9"/>
      <c r="XDP523" s="9"/>
      <c r="XDQ523" s="9"/>
      <c r="XDR523" s="9"/>
      <c r="XDS523" s="9"/>
      <c r="XDT523" s="9"/>
      <c r="XDU523" s="9"/>
      <c r="XDV523" s="9"/>
      <c r="XDW523" s="9"/>
      <c r="XDX523" s="9"/>
      <c r="XDY523" s="9"/>
      <c r="XDZ523" s="9"/>
      <c r="XEA523" s="9"/>
      <c r="XEB523" s="9"/>
      <c r="XEC523" s="9"/>
      <c r="XED523" s="9"/>
      <c r="XEE523" s="9"/>
      <c r="XEF523" s="9"/>
      <c r="XEG523" s="9"/>
      <c r="XEH523" s="9"/>
      <c r="XEI523" s="9"/>
      <c r="XEJ523" s="9"/>
      <c r="XEK523" s="9"/>
      <c r="XEL523" s="9"/>
      <c r="XEM523" s="9"/>
      <c r="XEN523" s="9"/>
      <c r="XEO523" s="9"/>
      <c r="XEP523" s="9"/>
      <c r="XEQ523" s="9"/>
      <c r="XER523" s="9"/>
      <c r="XES523" s="9"/>
      <c r="XET523" s="9"/>
      <c r="XEU523" s="9"/>
      <c r="XEV523" s="9"/>
      <c r="XEW523" s="9"/>
      <c r="XEX523" s="9"/>
      <c r="XEY523" s="9"/>
      <c r="XEZ523" s="9"/>
      <c r="XFA523" s="9"/>
      <c r="XFB523" s="9"/>
      <c r="XFC523" s="9"/>
      <c r="XFD523" s="9"/>
    </row>
    <row r="524" spans="1:8 16325:16384" s="3" customFormat="1" ht="19.95" customHeight="1">
      <c r="A524" s="6" t="str">
        <f t="shared" si="21"/>
        <v>040022</v>
      </c>
      <c r="B524" s="6" t="s">
        <v>26</v>
      </c>
      <c r="C524" s="6" t="s">
        <v>24</v>
      </c>
      <c r="D524" s="6" t="str">
        <f>"512732821"</f>
        <v>512732821</v>
      </c>
      <c r="E524" s="7">
        <v>84.5</v>
      </c>
      <c r="F524" s="7">
        <v>57.5</v>
      </c>
      <c r="G524" s="7"/>
      <c r="H524" s="7">
        <v>73.7</v>
      </c>
      <c r="XCW524" s="9"/>
      <c r="XCX524" s="9"/>
      <c r="XCY524" s="9"/>
      <c r="XCZ524" s="9"/>
      <c r="XDA524" s="9"/>
      <c r="XDB524" s="9"/>
      <c r="XDC524" s="9"/>
      <c r="XDD524" s="9"/>
      <c r="XDE524" s="9"/>
      <c r="XDF524" s="9"/>
      <c r="XDG524" s="9"/>
      <c r="XDH524" s="9"/>
      <c r="XDI524" s="9"/>
      <c r="XDJ524" s="9"/>
      <c r="XDK524" s="9"/>
      <c r="XDL524" s="9"/>
      <c r="XDM524" s="9"/>
      <c r="XDN524" s="9"/>
      <c r="XDO524" s="9"/>
      <c r="XDP524" s="9"/>
      <c r="XDQ524" s="9"/>
      <c r="XDR524" s="9"/>
      <c r="XDS524" s="9"/>
      <c r="XDT524" s="9"/>
      <c r="XDU524" s="9"/>
      <c r="XDV524" s="9"/>
      <c r="XDW524" s="9"/>
      <c r="XDX524" s="9"/>
      <c r="XDY524" s="9"/>
      <c r="XDZ524" s="9"/>
      <c r="XEA524" s="9"/>
      <c r="XEB524" s="9"/>
      <c r="XEC524" s="9"/>
      <c r="XED524" s="9"/>
      <c r="XEE524" s="9"/>
      <c r="XEF524" s="9"/>
      <c r="XEG524" s="9"/>
      <c r="XEH524" s="9"/>
      <c r="XEI524" s="9"/>
      <c r="XEJ524" s="9"/>
      <c r="XEK524" s="9"/>
      <c r="XEL524" s="9"/>
      <c r="XEM524" s="9"/>
      <c r="XEN524" s="9"/>
      <c r="XEO524" s="9"/>
      <c r="XEP524" s="9"/>
      <c r="XEQ524" s="9"/>
      <c r="XER524" s="9"/>
      <c r="XES524" s="9"/>
      <c r="XET524" s="9"/>
      <c r="XEU524" s="9"/>
      <c r="XEV524" s="9"/>
      <c r="XEW524" s="9"/>
      <c r="XEX524" s="9"/>
      <c r="XEY524" s="9"/>
      <c r="XEZ524" s="9"/>
      <c r="XFA524" s="9"/>
      <c r="XFB524" s="9"/>
      <c r="XFC524" s="9"/>
      <c r="XFD524" s="9"/>
    </row>
    <row r="525" spans="1:8 16325:16384" s="3" customFormat="1" ht="19.95" customHeight="1">
      <c r="A525" s="6" t="str">
        <f t="shared" ref="A525:A567" si="22">"040023"</f>
        <v>040023</v>
      </c>
      <c r="B525" s="6" t="s">
        <v>27</v>
      </c>
      <c r="C525" s="6" t="s">
        <v>28</v>
      </c>
      <c r="D525" s="6" t="str">
        <f>"512417915"</f>
        <v>512417915</v>
      </c>
      <c r="E525" s="7">
        <v>70</v>
      </c>
      <c r="F525" s="7">
        <v>49</v>
      </c>
      <c r="G525" s="7"/>
      <c r="H525" s="7">
        <v>61.6</v>
      </c>
      <c r="XCW525" s="9"/>
      <c r="XCX525" s="9"/>
      <c r="XCY525" s="9"/>
      <c r="XCZ525" s="9"/>
      <c r="XDA525" s="9"/>
      <c r="XDB525" s="9"/>
      <c r="XDC525" s="9"/>
      <c r="XDD525" s="9"/>
      <c r="XDE525" s="9"/>
      <c r="XDF525" s="9"/>
      <c r="XDG525" s="9"/>
      <c r="XDH525" s="9"/>
      <c r="XDI525" s="9"/>
      <c r="XDJ525" s="9"/>
      <c r="XDK525" s="9"/>
      <c r="XDL525" s="9"/>
      <c r="XDM525" s="9"/>
      <c r="XDN525" s="9"/>
      <c r="XDO525" s="9"/>
      <c r="XDP525" s="9"/>
      <c r="XDQ525" s="9"/>
      <c r="XDR525" s="9"/>
      <c r="XDS525" s="9"/>
      <c r="XDT525" s="9"/>
      <c r="XDU525" s="9"/>
      <c r="XDV525" s="9"/>
      <c r="XDW525" s="9"/>
      <c r="XDX525" s="9"/>
      <c r="XDY525" s="9"/>
      <c r="XDZ525" s="9"/>
      <c r="XEA525" s="9"/>
      <c r="XEB525" s="9"/>
      <c r="XEC525" s="9"/>
      <c r="XED525" s="9"/>
      <c r="XEE525" s="9"/>
      <c r="XEF525" s="9"/>
      <c r="XEG525" s="9"/>
      <c r="XEH525" s="9"/>
      <c r="XEI525" s="9"/>
      <c r="XEJ525" s="9"/>
      <c r="XEK525" s="9"/>
      <c r="XEL525" s="9"/>
      <c r="XEM525" s="9"/>
      <c r="XEN525" s="9"/>
      <c r="XEO525" s="9"/>
      <c r="XEP525" s="9"/>
      <c r="XEQ525" s="9"/>
      <c r="XER525" s="9"/>
      <c r="XES525" s="9"/>
      <c r="XET525" s="9"/>
      <c r="XEU525" s="9"/>
      <c r="XEV525" s="9"/>
      <c r="XEW525" s="9"/>
      <c r="XEX525" s="9"/>
      <c r="XEY525" s="9"/>
      <c r="XEZ525" s="9"/>
      <c r="XFA525" s="9"/>
      <c r="XFB525" s="9"/>
      <c r="XFC525" s="9"/>
      <c r="XFD525" s="9"/>
    </row>
    <row r="526" spans="1:8 16325:16384" s="3" customFormat="1" ht="19.95" customHeight="1">
      <c r="A526" s="6" t="str">
        <f t="shared" si="22"/>
        <v>040023</v>
      </c>
      <c r="B526" s="6" t="s">
        <v>27</v>
      </c>
      <c r="C526" s="6" t="s">
        <v>28</v>
      </c>
      <c r="D526" s="6" t="str">
        <f>"512418012"</f>
        <v>512418012</v>
      </c>
      <c r="E526" s="7">
        <v>79.5</v>
      </c>
      <c r="F526" s="7">
        <v>77</v>
      </c>
      <c r="G526" s="7"/>
      <c r="H526" s="7">
        <v>78.5</v>
      </c>
      <c r="XCW526" s="9"/>
      <c r="XCX526" s="9"/>
      <c r="XCY526" s="9"/>
      <c r="XCZ526" s="9"/>
      <c r="XDA526" s="9"/>
      <c r="XDB526" s="9"/>
      <c r="XDC526" s="9"/>
      <c r="XDD526" s="9"/>
      <c r="XDE526" s="9"/>
      <c r="XDF526" s="9"/>
      <c r="XDG526" s="9"/>
      <c r="XDH526" s="9"/>
      <c r="XDI526" s="9"/>
      <c r="XDJ526" s="9"/>
      <c r="XDK526" s="9"/>
      <c r="XDL526" s="9"/>
      <c r="XDM526" s="9"/>
      <c r="XDN526" s="9"/>
      <c r="XDO526" s="9"/>
      <c r="XDP526" s="9"/>
      <c r="XDQ526" s="9"/>
      <c r="XDR526" s="9"/>
      <c r="XDS526" s="9"/>
      <c r="XDT526" s="9"/>
      <c r="XDU526" s="9"/>
      <c r="XDV526" s="9"/>
      <c r="XDW526" s="9"/>
      <c r="XDX526" s="9"/>
      <c r="XDY526" s="9"/>
      <c r="XDZ526" s="9"/>
      <c r="XEA526" s="9"/>
      <c r="XEB526" s="9"/>
      <c r="XEC526" s="9"/>
      <c r="XED526" s="9"/>
      <c r="XEE526" s="9"/>
      <c r="XEF526" s="9"/>
      <c r="XEG526" s="9"/>
      <c r="XEH526" s="9"/>
      <c r="XEI526" s="9"/>
      <c r="XEJ526" s="9"/>
      <c r="XEK526" s="9"/>
      <c r="XEL526" s="9"/>
      <c r="XEM526" s="9"/>
      <c r="XEN526" s="9"/>
      <c r="XEO526" s="9"/>
      <c r="XEP526" s="9"/>
      <c r="XEQ526" s="9"/>
      <c r="XER526" s="9"/>
      <c r="XES526" s="9"/>
      <c r="XET526" s="9"/>
      <c r="XEU526" s="9"/>
      <c r="XEV526" s="9"/>
      <c r="XEW526" s="9"/>
      <c r="XEX526" s="9"/>
      <c r="XEY526" s="9"/>
      <c r="XEZ526" s="9"/>
      <c r="XFA526" s="9"/>
      <c r="XFB526" s="9"/>
      <c r="XFC526" s="9"/>
      <c r="XFD526" s="9"/>
    </row>
    <row r="527" spans="1:8 16325:16384" s="3" customFormat="1" ht="19.95" customHeight="1">
      <c r="A527" s="6" t="str">
        <f t="shared" si="22"/>
        <v>040023</v>
      </c>
      <c r="B527" s="6" t="s">
        <v>27</v>
      </c>
      <c r="C527" s="6" t="s">
        <v>28</v>
      </c>
      <c r="D527" s="6" t="str">
        <f>"512417914"</f>
        <v>512417914</v>
      </c>
      <c r="E527" s="7">
        <v>0</v>
      </c>
      <c r="F527" s="7">
        <v>0</v>
      </c>
      <c r="G527" s="7"/>
      <c r="H527" s="7">
        <v>0</v>
      </c>
      <c r="XCW527" s="9"/>
      <c r="XCX527" s="9"/>
      <c r="XCY527" s="9"/>
      <c r="XCZ527" s="9"/>
      <c r="XDA527" s="9"/>
      <c r="XDB527" s="9"/>
      <c r="XDC527" s="9"/>
      <c r="XDD527" s="9"/>
      <c r="XDE527" s="9"/>
      <c r="XDF527" s="9"/>
      <c r="XDG527" s="9"/>
      <c r="XDH527" s="9"/>
      <c r="XDI527" s="9"/>
      <c r="XDJ527" s="9"/>
      <c r="XDK527" s="9"/>
      <c r="XDL527" s="9"/>
      <c r="XDM527" s="9"/>
      <c r="XDN527" s="9"/>
      <c r="XDO527" s="9"/>
      <c r="XDP527" s="9"/>
      <c r="XDQ527" s="9"/>
      <c r="XDR527" s="9"/>
      <c r="XDS527" s="9"/>
      <c r="XDT527" s="9"/>
      <c r="XDU527" s="9"/>
      <c r="XDV527" s="9"/>
      <c r="XDW527" s="9"/>
      <c r="XDX527" s="9"/>
      <c r="XDY527" s="9"/>
      <c r="XDZ527" s="9"/>
      <c r="XEA527" s="9"/>
      <c r="XEB527" s="9"/>
      <c r="XEC527" s="9"/>
      <c r="XED527" s="9"/>
      <c r="XEE527" s="9"/>
      <c r="XEF527" s="9"/>
      <c r="XEG527" s="9"/>
      <c r="XEH527" s="9"/>
      <c r="XEI527" s="9"/>
      <c r="XEJ527" s="9"/>
      <c r="XEK527" s="9"/>
      <c r="XEL527" s="9"/>
      <c r="XEM527" s="9"/>
      <c r="XEN527" s="9"/>
      <c r="XEO527" s="9"/>
      <c r="XEP527" s="9"/>
      <c r="XEQ527" s="9"/>
      <c r="XER527" s="9"/>
      <c r="XES527" s="9"/>
      <c r="XET527" s="9"/>
      <c r="XEU527" s="9"/>
      <c r="XEV527" s="9"/>
      <c r="XEW527" s="9"/>
      <c r="XEX527" s="9"/>
      <c r="XEY527" s="9"/>
      <c r="XEZ527" s="9"/>
      <c r="XFA527" s="9"/>
      <c r="XFB527" s="9"/>
      <c r="XFC527" s="9"/>
      <c r="XFD527" s="9"/>
    </row>
    <row r="528" spans="1:8 16325:16384" s="3" customFormat="1" ht="19.95" customHeight="1">
      <c r="A528" s="6" t="str">
        <f t="shared" si="22"/>
        <v>040023</v>
      </c>
      <c r="B528" s="6" t="s">
        <v>27</v>
      </c>
      <c r="C528" s="6" t="s">
        <v>28</v>
      </c>
      <c r="D528" s="6" t="str">
        <f>"512418004"</f>
        <v>512418004</v>
      </c>
      <c r="E528" s="7">
        <v>68</v>
      </c>
      <c r="F528" s="7">
        <v>78</v>
      </c>
      <c r="G528" s="7"/>
      <c r="H528" s="7">
        <v>72</v>
      </c>
      <c r="XCW528" s="9"/>
      <c r="XCX528" s="9"/>
      <c r="XCY528" s="9"/>
      <c r="XCZ528" s="9"/>
      <c r="XDA528" s="9"/>
      <c r="XDB528" s="9"/>
      <c r="XDC528" s="9"/>
      <c r="XDD528" s="9"/>
      <c r="XDE528" s="9"/>
      <c r="XDF528" s="9"/>
      <c r="XDG528" s="9"/>
      <c r="XDH528" s="9"/>
      <c r="XDI528" s="9"/>
      <c r="XDJ528" s="9"/>
      <c r="XDK528" s="9"/>
      <c r="XDL528" s="9"/>
      <c r="XDM528" s="9"/>
      <c r="XDN528" s="9"/>
      <c r="XDO528" s="9"/>
      <c r="XDP528" s="9"/>
      <c r="XDQ528" s="9"/>
      <c r="XDR528" s="9"/>
      <c r="XDS528" s="9"/>
      <c r="XDT528" s="9"/>
      <c r="XDU528" s="9"/>
      <c r="XDV528" s="9"/>
      <c r="XDW528" s="9"/>
      <c r="XDX528" s="9"/>
      <c r="XDY528" s="9"/>
      <c r="XDZ528" s="9"/>
      <c r="XEA528" s="9"/>
      <c r="XEB528" s="9"/>
      <c r="XEC528" s="9"/>
      <c r="XED528" s="9"/>
      <c r="XEE528" s="9"/>
      <c r="XEF528" s="9"/>
      <c r="XEG528" s="9"/>
      <c r="XEH528" s="9"/>
      <c r="XEI528" s="9"/>
      <c r="XEJ528" s="9"/>
      <c r="XEK528" s="9"/>
      <c r="XEL528" s="9"/>
      <c r="XEM528" s="9"/>
      <c r="XEN528" s="9"/>
      <c r="XEO528" s="9"/>
      <c r="XEP528" s="9"/>
      <c r="XEQ528" s="9"/>
      <c r="XER528" s="9"/>
      <c r="XES528" s="9"/>
      <c r="XET528" s="9"/>
      <c r="XEU528" s="9"/>
      <c r="XEV528" s="9"/>
      <c r="XEW528" s="9"/>
      <c r="XEX528" s="9"/>
      <c r="XEY528" s="9"/>
      <c r="XEZ528" s="9"/>
      <c r="XFA528" s="9"/>
      <c r="XFB528" s="9"/>
      <c r="XFC528" s="9"/>
      <c r="XFD528" s="9"/>
    </row>
    <row r="529" spans="1:8 16325:16384" s="3" customFormat="1" ht="19.95" customHeight="1">
      <c r="A529" s="6" t="str">
        <f t="shared" si="22"/>
        <v>040023</v>
      </c>
      <c r="B529" s="6" t="s">
        <v>27</v>
      </c>
      <c r="C529" s="6" t="s">
        <v>28</v>
      </c>
      <c r="D529" s="6" t="str">
        <f>"512418016"</f>
        <v>512418016</v>
      </c>
      <c r="E529" s="7">
        <v>48</v>
      </c>
      <c r="F529" s="7">
        <v>51.5</v>
      </c>
      <c r="G529" s="7"/>
      <c r="H529" s="7">
        <v>49.4</v>
      </c>
      <c r="XCW529" s="9"/>
      <c r="XCX529" s="9"/>
      <c r="XCY529" s="9"/>
      <c r="XCZ529" s="9"/>
      <c r="XDA529" s="9"/>
      <c r="XDB529" s="9"/>
      <c r="XDC529" s="9"/>
      <c r="XDD529" s="9"/>
      <c r="XDE529" s="9"/>
      <c r="XDF529" s="9"/>
      <c r="XDG529" s="9"/>
      <c r="XDH529" s="9"/>
      <c r="XDI529" s="9"/>
      <c r="XDJ529" s="9"/>
      <c r="XDK529" s="9"/>
      <c r="XDL529" s="9"/>
      <c r="XDM529" s="9"/>
      <c r="XDN529" s="9"/>
      <c r="XDO529" s="9"/>
      <c r="XDP529" s="9"/>
      <c r="XDQ529" s="9"/>
      <c r="XDR529" s="9"/>
      <c r="XDS529" s="9"/>
      <c r="XDT529" s="9"/>
      <c r="XDU529" s="9"/>
      <c r="XDV529" s="9"/>
      <c r="XDW529" s="9"/>
      <c r="XDX529" s="9"/>
      <c r="XDY529" s="9"/>
      <c r="XDZ529" s="9"/>
      <c r="XEA529" s="9"/>
      <c r="XEB529" s="9"/>
      <c r="XEC529" s="9"/>
      <c r="XED529" s="9"/>
      <c r="XEE529" s="9"/>
      <c r="XEF529" s="9"/>
      <c r="XEG529" s="9"/>
      <c r="XEH529" s="9"/>
      <c r="XEI529" s="9"/>
      <c r="XEJ529" s="9"/>
      <c r="XEK529" s="9"/>
      <c r="XEL529" s="9"/>
      <c r="XEM529" s="9"/>
      <c r="XEN529" s="9"/>
      <c r="XEO529" s="9"/>
      <c r="XEP529" s="9"/>
      <c r="XEQ529" s="9"/>
      <c r="XER529" s="9"/>
      <c r="XES529" s="9"/>
      <c r="XET529" s="9"/>
      <c r="XEU529" s="9"/>
      <c r="XEV529" s="9"/>
      <c r="XEW529" s="9"/>
      <c r="XEX529" s="9"/>
      <c r="XEY529" s="9"/>
      <c r="XEZ529" s="9"/>
      <c r="XFA529" s="9"/>
      <c r="XFB529" s="9"/>
      <c r="XFC529" s="9"/>
      <c r="XFD529" s="9"/>
    </row>
    <row r="530" spans="1:8 16325:16384" s="3" customFormat="1" ht="19.95" customHeight="1">
      <c r="A530" s="6" t="str">
        <f t="shared" si="22"/>
        <v>040023</v>
      </c>
      <c r="B530" s="6" t="s">
        <v>27</v>
      </c>
      <c r="C530" s="6" t="s">
        <v>28</v>
      </c>
      <c r="D530" s="6" t="str">
        <f>"512417923"</f>
        <v>512417923</v>
      </c>
      <c r="E530" s="7">
        <v>76</v>
      </c>
      <c r="F530" s="7">
        <v>85</v>
      </c>
      <c r="G530" s="7"/>
      <c r="H530" s="7">
        <v>79.599999999999994</v>
      </c>
      <c r="XCW530" s="9"/>
      <c r="XCX530" s="9"/>
      <c r="XCY530" s="9"/>
      <c r="XCZ530" s="9"/>
      <c r="XDA530" s="9"/>
      <c r="XDB530" s="9"/>
      <c r="XDC530" s="9"/>
      <c r="XDD530" s="9"/>
      <c r="XDE530" s="9"/>
      <c r="XDF530" s="9"/>
      <c r="XDG530" s="9"/>
      <c r="XDH530" s="9"/>
      <c r="XDI530" s="9"/>
      <c r="XDJ530" s="9"/>
      <c r="XDK530" s="9"/>
      <c r="XDL530" s="9"/>
      <c r="XDM530" s="9"/>
      <c r="XDN530" s="9"/>
      <c r="XDO530" s="9"/>
      <c r="XDP530" s="9"/>
      <c r="XDQ530" s="9"/>
      <c r="XDR530" s="9"/>
      <c r="XDS530" s="9"/>
      <c r="XDT530" s="9"/>
      <c r="XDU530" s="9"/>
      <c r="XDV530" s="9"/>
      <c r="XDW530" s="9"/>
      <c r="XDX530" s="9"/>
      <c r="XDY530" s="9"/>
      <c r="XDZ530" s="9"/>
      <c r="XEA530" s="9"/>
      <c r="XEB530" s="9"/>
      <c r="XEC530" s="9"/>
      <c r="XED530" s="9"/>
      <c r="XEE530" s="9"/>
      <c r="XEF530" s="9"/>
      <c r="XEG530" s="9"/>
      <c r="XEH530" s="9"/>
      <c r="XEI530" s="9"/>
      <c r="XEJ530" s="9"/>
      <c r="XEK530" s="9"/>
      <c r="XEL530" s="9"/>
      <c r="XEM530" s="9"/>
      <c r="XEN530" s="9"/>
      <c r="XEO530" s="9"/>
      <c r="XEP530" s="9"/>
      <c r="XEQ530" s="9"/>
      <c r="XER530" s="9"/>
      <c r="XES530" s="9"/>
      <c r="XET530" s="9"/>
      <c r="XEU530" s="9"/>
      <c r="XEV530" s="9"/>
      <c r="XEW530" s="9"/>
      <c r="XEX530" s="9"/>
      <c r="XEY530" s="9"/>
      <c r="XEZ530" s="9"/>
      <c r="XFA530" s="9"/>
      <c r="XFB530" s="9"/>
      <c r="XFC530" s="9"/>
      <c r="XFD530" s="9"/>
    </row>
    <row r="531" spans="1:8 16325:16384" s="3" customFormat="1" ht="19.95" customHeight="1">
      <c r="A531" s="6" t="str">
        <f t="shared" si="22"/>
        <v>040023</v>
      </c>
      <c r="B531" s="6" t="s">
        <v>27</v>
      </c>
      <c r="C531" s="6" t="s">
        <v>28</v>
      </c>
      <c r="D531" s="6" t="str">
        <f>"512417911"</f>
        <v>512417911</v>
      </c>
      <c r="E531" s="7">
        <v>77.5</v>
      </c>
      <c r="F531" s="7">
        <v>69</v>
      </c>
      <c r="G531" s="7"/>
      <c r="H531" s="7">
        <v>74.099999999999994</v>
      </c>
      <c r="XCW531" s="9"/>
      <c r="XCX531" s="9"/>
      <c r="XCY531" s="9"/>
      <c r="XCZ531" s="9"/>
      <c r="XDA531" s="9"/>
      <c r="XDB531" s="9"/>
      <c r="XDC531" s="9"/>
      <c r="XDD531" s="9"/>
      <c r="XDE531" s="9"/>
      <c r="XDF531" s="9"/>
      <c r="XDG531" s="9"/>
      <c r="XDH531" s="9"/>
      <c r="XDI531" s="9"/>
      <c r="XDJ531" s="9"/>
      <c r="XDK531" s="9"/>
      <c r="XDL531" s="9"/>
      <c r="XDM531" s="9"/>
      <c r="XDN531" s="9"/>
      <c r="XDO531" s="9"/>
      <c r="XDP531" s="9"/>
      <c r="XDQ531" s="9"/>
      <c r="XDR531" s="9"/>
      <c r="XDS531" s="9"/>
      <c r="XDT531" s="9"/>
      <c r="XDU531" s="9"/>
      <c r="XDV531" s="9"/>
      <c r="XDW531" s="9"/>
      <c r="XDX531" s="9"/>
      <c r="XDY531" s="9"/>
      <c r="XDZ531" s="9"/>
      <c r="XEA531" s="9"/>
      <c r="XEB531" s="9"/>
      <c r="XEC531" s="9"/>
      <c r="XED531" s="9"/>
      <c r="XEE531" s="9"/>
      <c r="XEF531" s="9"/>
      <c r="XEG531" s="9"/>
      <c r="XEH531" s="9"/>
      <c r="XEI531" s="9"/>
      <c r="XEJ531" s="9"/>
      <c r="XEK531" s="9"/>
      <c r="XEL531" s="9"/>
      <c r="XEM531" s="9"/>
      <c r="XEN531" s="9"/>
      <c r="XEO531" s="9"/>
      <c r="XEP531" s="9"/>
      <c r="XEQ531" s="9"/>
      <c r="XER531" s="9"/>
      <c r="XES531" s="9"/>
      <c r="XET531" s="9"/>
      <c r="XEU531" s="9"/>
      <c r="XEV531" s="9"/>
      <c r="XEW531" s="9"/>
      <c r="XEX531" s="9"/>
      <c r="XEY531" s="9"/>
      <c r="XEZ531" s="9"/>
      <c r="XFA531" s="9"/>
      <c r="XFB531" s="9"/>
      <c r="XFC531" s="9"/>
      <c r="XFD531" s="9"/>
    </row>
    <row r="532" spans="1:8 16325:16384" s="3" customFormat="1" ht="19.95" customHeight="1">
      <c r="A532" s="6" t="str">
        <f t="shared" si="22"/>
        <v>040023</v>
      </c>
      <c r="B532" s="6" t="s">
        <v>27</v>
      </c>
      <c r="C532" s="6" t="s">
        <v>28</v>
      </c>
      <c r="D532" s="6" t="str">
        <f>"512417926"</f>
        <v>512417926</v>
      </c>
      <c r="E532" s="7">
        <v>70.5</v>
      </c>
      <c r="F532" s="7">
        <v>62</v>
      </c>
      <c r="G532" s="7"/>
      <c r="H532" s="7">
        <v>67.099999999999994</v>
      </c>
      <c r="XCW532" s="9"/>
      <c r="XCX532" s="9"/>
      <c r="XCY532" s="9"/>
      <c r="XCZ532" s="9"/>
      <c r="XDA532" s="9"/>
      <c r="XDB532" s="9"/>
      <c r="XDC532" s="9"/>
      <c r="XDD532" s="9"/>
      <c r="XDE532" s="9"/>
      <c r="XDF532" s="9"/>
      <c r="XDG532" s="9"/>
      <c r="XDH532" s="9"/>
      <c r="XDI532" s="9"/>
      <c r="XDJ532" s="9"/>
      <c r="XDK532" s="9"/>
      <c r="XDL532" s="9"/>
      <c r="XDM532" s="9"/>
      <c r="XDN532" s="9"/>
      <c r="XDO532" s="9"/>
      <c r="XDP532" s="9"/>
      <c r="XDQ532" s="9"/>
      <c r="XDR532" s="9"/>
      <c r="XDS532" s="9"/>
      <c r="XDT532" s="9"/>
      <c r="XDU532" s="9"/>
      <c r="XDV532" s="9"/>
      <c r="XDW532" s="9"/>
      <c r="XDX532" s="9"/>
      <c r="XDY532" s="9"/>
      <c r="XDZ532" s="9"/>
      <c r="XEA532" s="9"/>
      <c r="XEB532" s="9"/>
      <c r="XEC532" s="9"/>
      <c r="XED532" s="9"/>
      <c r="XEE532" s="9"/>
      <c r="XEF532" s="9"/>
      <c r="XEG532" s="9"/>
      <c r="XEH532" s="9"/>
      <c r="XEI532" s="9"/>
      <c r="XEJ532" s="9"/>
      <c r="XEK532" s="9"/>
      <c r="XEL532" s="9"/>
      <c r="XEM532" s="9"/>
      <c r="XEN532" s="9"/>
      <c r="XEO532" s="9"/>
      <c r="XEP532" s="9"/>
      <c r="XEQ532" s="9"/>
      <c r="XER532" s="9"/>
      <c r="XES532" s="9"/>
      <c r="XET532" s="9"/>
      <c r="XEU532" s="9"/>
      <c r="XEV532" s="9"/>
      <c r="XEW532" s="9"/>
      <c r="XEX532" s="9"/>
      <c r="XEY532" s="9"/>
      <c r="XEZ532" s="9"/>
      <c r="XFA532" s="9"/>
      <c r="XFB532" s="9"/>
      <c r="XFC532" s="9"/>
      <c r="XFD532" s="9"/>
    </row>
    <row r="533" spans="1:8 16325:16384" s="3" customFormat="1" ht="19.95" customHeight="1">
      <c r="A533" s="6" t="str">
        <f t="shared" si="22"/>
        <v>040023</v>
      </c>
      <c r="B533" s="6" t="s">
        <v>27</v>
      </c>
      <c r="C533" s="6" t="s">
        <v>28</v>
      </c>
      <c r="D533" s="6" t="str">
        <f>"512417913"</f>
        <v>512417913</v>
      </c>
      <c r="E533" s="7">
        <v>78.5</v>
      </c>
      <c r="F533" s="7">
        <v>73</v>
      </c>
      <c r="G533" s="7"/>
      <c r="H533" s="7">
        <v>76.3</v>
      </c>
      <c r="XCW533" s="9"/>
      <c r="XCX533" s="9"/>
      <c r="XCY533" s="9"/>
      <c r="XCZ533" s="9"/>
      <c r="XDA533" s="9"/>
      <c r="XDB533" s="9"/>
      <c r="XDC533" s="9"/>
      <c r="XDD533" s="9"/>
      <c r="XDE533" s="9"/>
      <c r="XDF533" s="9"/>
      <c r="XDG533" s="9"/>
      <c r="XDH533" s="9"/>
      <c r="XDI533" s="9"/>
      <c r="XDJ533" s="9"/>
      <c r="XDK533" s="9"/>
      <c r="XDL533" s="9"/>
      <c r="XDM533" s="9"/>
      <c r="XDN533" s="9"/>
      <c r="XDO533" s="9"/>
      <c r="XDP533" s="9"/>
      <c r="XDQ533" s="9"/>
      <c r="XDR533" s="9"/>
      <c r="XDS533" s="9"/>
      <c r="XDT533" s="9"/>
      <c r="XDU533" s="9"/>
      <c r="XDV533" s="9"/>
      <c r="XDW533" s="9"/>
      <c r="XDX533" s="9"/>
      <c r="XDY533" s="9"/>
      <c r="XDZ533" s="9"/>
      <c r="XEA533" s="9"/>
      <c r="XEB533" s="9"/>
      <c r="XEC533" s="9"/>
      <c r="XED533" s="9"/>
      <c r="XEE533" s="9"/>
      <c r="XEF533" s="9"/>
      <c r="XEG533" s="9"/>
      <c r="XEH533" s="9"/>
      <c r="XEI533" s="9"/>
      <c r="XEJ533" s="9"/>
      <c r="XEK533" s="9"/>
      <c r="XEL533" s="9"/>
      <c r="XEM533" s="9"/>
      <c r="XEN533" s="9"/>
      <c r="XEO533" s="9"/>
      <c r="XEP533" s="9"/>
      <c r="XEQ533" s="9"/>
      <c r="XER533" s="9"/>
      <c r="XES533" s="9"/>
      <c r="XET533" s="9"/>
      <c r="XEU533" s="9"/>
      <c r="XEV533" s="9"/>
      <c r="XEW533" s="9"/>
      <c r="XEX533" s="9"/>
      <c r="XEY533" s="9"/>
      <c r="XEZ533" s="9"/>
      <c r="XFA533" s="9"/>
      <c r="XFB533" s="9"/>
      <c r="XFC533" s="9"/>
      <c r="XFD533" s="9"/>
    </row>
    <row r="534" spans="1:8 16325:16384" s="3" customFormat="1" ht="19.95" customHeight="1">
      <c r="A534" s="6" t="str">
        <f t="shared" si="22"/>
        <v>040023</v>
      </c>
      <c r="B534" s="6" t="s">
        <v>27</v>
      </c>
      <c r="C534" s="6" t="s">
        <v>28</v>
      </c>
      <c r="D534" s="6" t="str">
        <f>"512417908"</f>
        <v>512417908</v>
      </c>
      <c r="E534" s="7">
        <v>80</v>
      </c>
      <c r="F534" s="7">
        <v>92.5</v>
      </c>
      <c r="G534" s="7"/>
      <c r="H534" s="7">
        <v>85</v>
      </c>
      <c r="XCW534" s="9"/>
      <c r="XCX534" s="9"/>
      <c r="XCY534" s="9"/>
      <c r="XCZ534" s="9"/>
      <c r="XDA534" s="9"/>
      <c r="XDB534" s="9"/>
      <c r="XDC534" s="9"/>
      <c r="XDD534" s="9"/>
      <c r="XDE534" s="9"/>
      <c r="XDF534" s="9"/>
      <c r="XDG534" s="9"/>
      <c r="XDH534" s="9"/>
      <c r="XDI534" s="9"/>
      <c r="XDJ534" s="9"/>
      <c r="XDK534" s="9"/>
      <c r="XDL534" s="9"/>
      <c r="XDM534" s="9"/>
      <c r="XDN534" s="9"/>
      <c r="XDO534" s="9"/>
      <c r="XDP534" s="9"/>
      <c r="XDQ534" s="9"/>
      <c r="XDR534" s="9"/>
      <c r="XDS534" s="9"/>
      <c r="XDT534" s="9"/>
      <c r="XDU534" s="9"/>
      <c r="XDV534" s="9"/>
      <c r="XDW534" s="9"/>
      <c r="XDX534" s="9"/>
      <c r="XDY534" s="9"/>
      <c r="XDZ534" s="9"/>
      <c r="XEA534" s="9"/>
      <c r="XEB534" s="9"/>
      <c r="XEC534" s="9"/>
      <c r="XED534" s="9"/>
      <c r="XEE534" s="9"/>
      <c r="XEF534" s="9"/>
      <c r="XEG534" s="9"/>
      <c r="XEH534" s="9"/>
      <c r="XEI534" s="9"/>
      <c r="XEJ534" s="9"/>
      <c r="XEK534" s="9"/>
      <c r="XEL534" s="9"/>
      <c r="XEM534" s="9"/>
      <c r="XEN534" s="9"/>
      <c r="XEO534" s="9"/>
      <c r="XEP534" s="9"/>
      <c r="XEQ534" s="9"/>
      <c r="XER534" s="9"/>
      <c r="XES534" s="9"/>
      <c r="XET534" s="9"/>
      <c r="XEU534" s="9"/>
      <c r="XEV534" s="9"/>
      <c r="XEW534" s="9"/>
      <c r="XEX534" s="9"/>
      <c r="XEY534" s="9"/>
      <c r="XEZ534" s="9"/>
      <c r="XFA534" s="9"/>
      <c r="XFB534" s="9"/>
      <c r="XFC534" s="9"/>
      <c r="XFD534" s="9"/>
    </row>
    <row r="535" spans="1:8 16325:16384" s="3" customFormat="1" ht="19.95" customHeight="1">
      <c r="A535" s="6" t="str">
        <f t="shared" si="22"/>
        <v>040023</v>
      </c>
      <c r="B535" s="6" t="s">
        <v>27</v>
      </c>
      <c r="C535" s="6" t="s">
        <v>28</v>
      </c>
      <c r="D535" s="6" t="str">
        <f>"512417929"</f>
        <v>512417929</v>
      </c>
      <c r="E535" s="7">
        <v>69</v>
      </c>
      <c r="F535" s="7">
        <v>81</v>
      </c>
      <c r="G535" s="7"/>
      <c r="H535" s="7">
        <v>73.8</v>
      </c>
      <c r="XCW535" s="9"/>
      <c r="XCX535" s="9"/>
      <c r="XCY535" s="9"/>
      <c r="XCZ535" s="9"/>
      <c r="XDA535" s="9"/>
      <c r="XDB535" s="9"/>
      <c r="XDC535" s="9"/>
      <c r="XDD535" s="9"/>
      <c r="XDE535" s="9"/>
      <c r="XDF535" s="9"/>
      <c r="XDG535" s="9"/>
      <c r="XDH535" s="9"/>
      <c r="XDI535" s="9"/>
      <c r="XDJ535" s="9"/>
      <c r="XDK535" s="9"/>
      <c r="XDL535" s="9"/>
      <c r="XDM535" s="9"/>
      <c r="XDN535" s="9"/>
      <c r="XDO535" s="9"/>
      <c r="XDP535" s="9"/>
      <c r="XDQ535" s="9"/>
      <c r="XDR535" s="9"/>
      <c r="XDS535" s="9"/>
      <c r="XDT535" s="9"/>
      <c r="XDU535" s="9"/>
      <c r="XDV535" s="9"/>
      <c r="XDW535" s="9"/>
      <c r="XDX535" s="9"/>
      <c r="XDY535" s="9"/>
      <c r="XDZ535" s="9"/>
      <c r="XEA535" s="9"/>
      <c r="XEB535" s="9"/>
      <c r="XEC535" s="9"/>
      <c r="XED535" s="9"/>
      <c r="XEE535" s="9"/>
      <c r="XEF535" s="9"/>
      <c r="XEG535" s="9"/>
      <c r="XEH535" s="9"/>
      <c r="XEI535" s="9"/>
      <c r="XEJ535" s="9"/>
      <c r="XEK535" s="9"/>
      <c r="XEL535" s="9"/>
      <c r="XEM535" s="9"/>
      <c r="XEN535" s="9"/>
      <c r="XEO535" s="9"/>
      <c r="XEP535" s="9"/>
      <c r="XEQ535" s="9"/>
      <c r="XER535" s="9"/>
      <c r="XES535" s="9"/>
      <c r="XET535" s="9"/>
      <c r="XEU535" s="9"/>
      <c r="XEV535" s="9"/>
      <c r="XEW535" s="9"/>
      <c r="XEX535" s="9"/>
      <c r="XEY535" s="9"/>
      <c r="XEZ535" s="9"/>
      <c r="XFA535" s="9"/>
      <c r="XFB535" s="9"/>
      <c r="XFC535" s="9"/>
      <c r="XFD535" s="9"/>
    </row>
    <row r="536" spans="1:8 16325:16384" s="3" customFormat="1" ht="19.95" customHeight="1">
      <c r="A536" s="6" t="str">
        <f t="shared" si="22"/>
        <v>040023</v>
      </c>
      <c r="B536" s="6" t="s">
        <v>27</v>
      </c>
      <c r="C536" s="6" t="s">
        <v>28</v>
      </c>
      <c r="D536" s="6" t="str">
        <f>"512418008"</f>
        <v>512418008</v>
      </c>
      <c r="E536" s="7">
        <v>78</v>
      </c>
      <c r="F536" s="7">
        <v>61.5</v>
      </c>
      <c r="G536" s="7"/>
      <c r="H536" s="7">
        <v>71.400000000000006</v>
      </c>
      <c r="XCW536" s="9"/>
      <c r="XCX536" s="9"/>
      <c r="XCY536" s="9"/>
      <c r="XCZ536" s="9"/>
      <c r="XDA536" s="9"/>
      <c r="XDB536" s="9"/>
      <c r="XDC536" s="9"/>
      <c r="XDD536" s="9"/>
      <c r="XDE536" s="9"/>
      <c r="XDF536" s="9"/>
      <c r="XDG536" s="9"/>
      <c r="XDH536" s="9"/>
      <c r="XDI536" s="9"/>
      <c r="XDJ536" s="9"/>
      <c r="XDK536" s="9"/>
      <c r="XDL536" s="9"/>
      <c r="XDM536" s="9"/>
      <c r="XDN536" s="9"/>
      <c r="XDO536" s="9"/>
      <c r="XDP536" s="9"/>
      <c r="XDQ536" s="9"/>
      <c r="XDR536" s="9"/>
      <c r="XDS536" s="9"/>
      <c r="XDT536" s="9"/>
      <c r="XDU536" s="9"/>
      <c r="XDV536" s="9"/>
      <c r="XDW536" s="9"/>
      <c r="XDX536" s="9"/>
      <c r="XDY536" s="9"/>
      <c r="XDZ536" s="9"/>
      <c r="XEA536" s="9"/>
      <c r="XEB536" s="9"/>
      <c r="XEC536" s="9"/>
      <c r="XED536" s="9"/>
      <c r="XEE536" s="9"/>
      <c r="XEF536" s="9"/>
      <c r="XEG536" s="9"/>
      <c r="XEH536" s="9"/>
      <c r="XEI536" s="9"/>
      <c r="XEJ536" s="9"/>
      <c r="XEK536" s="9"/>
      <c r="XEL536" s="9"/>
      <c r="XEM536" s="9"/>
      <c r="XEN536" s="9"/>
      <c r="XEO536" s="9"/>
      <c r="XEP536" s="9"/>
      <c r="XEQ536" s="9"/>
      <c r="XER536" s="9"/>
      <c r="XES536" s="9"/>
      <c r="XET536" s="9"/>
      <c r="XEU536" s="9"/>
      <c r="XEV536" s="9"/>
      <c r="XEW536" s="9"/>
      <c r="XEX536" s="9"/>
      <c r="XEY536" s="9"/>
      <c r="XEZ536" s="9"/>
      <c r="XFA536" s="9"/>
      <c r="XFB536" s="9"/>
      <c r="XFC536" s="9"/>
      <c r="XFD536" s="9"/>
    </row>
    <row r="537" spans="1:8 16325:16384" s="3" customFormat="1" ht="19.95" customHeight="1">
      <c r="A537" s="6" t="str">
        <f t="shared" si="22"/>
        <v>040023</v>
      </c>
      <c r="B537" s="6" t="s">
        <v>27</v>
      </c>
      <c r="C537" s="6" t="s">
        <v>28</v>
      </c>
      <c r="D537" s="6" t="str">
        <f>"512417927"</f>
        <v>512417927</v>
      </c>
      <c r="E537" s="7">
        <v>71</v>
      </c>
      <c r="F537" s="7">
        <v>86.5</v>
      </c>
      <c r="G537" s="7"/>
      <c r="H537" s="7">
        <v>77.2</v>
      </c>
      <c r="XCW537" s="9"/>
      <c r="XCX537" s="9"/>
      <c r="XCY537" s="9"/>
      <c r="XCZ537" s="9"/>
      <c r="XDA537" s="9"/>
      <c r="XDB537" s="9"/>
      <c r="XDC537" s="9"/>
      <c r="XDD537" s="9"/>
      <c r="XDE537" s="9"/>
      <c r="XDF537" s="9"/>
      <c r="XDG537" s="9"/>
      <c r="XDH537" s="9"/>
      <c r="XDI537" s="9"/>
      <c r="XDJ537" s="9"/>
      <c r="XDK537" s="9"/>
      <c r="XDL537" s="9"/>
      <c r="XDM537" s="9"/>
      <c r="XDN537" s="9"/>
      <c r="XDO537" s="9"/>
      <c r="XDP537" s="9"/>
      <c r="XDQ537" s="9"/>
      <c r="XDR537" s="9"/>
      <c r="XDS537" s="9"/>
      <c r="XDT537" s="9"/>
      <c r="XDU537" s="9"/>
      <c r="XDV537" s="9"/>
      <c r="XDW537" s="9"/>
      <c r="XDX537" s="9"/>
      <c r="XDY537" s="9"/>
      <c r="XDZ537" s="9"/>
      <c r="XEA537" s="9"/>
      <c r="XEB537" s="9"/>
      <c r="XEC537" s="9"/>
      <c r="XED537" s="9"/>
      <c r="XEE537" s="9"/>
      <c r="XEF537" s="9"/>
      <c r="XEG537" s="9"/>
      <c r="XEH537" s="9"/>
      <c r="XEI537" s="9"/>
      <c r="XEJ537" s="9"/>
      <c r="XEK537" s="9"/>
      <c r="XEL537" s="9"/>
      <c r="XEM537" s="9"/>
      <c r="XEN537" s="9"/>
      <c r="XEO537" s="9"/>
      <c r="XEP537" s="9"/>
      <c r="XEQ537" s="9"/>
      <c r="XER537" s="9"/>
      <c r="XES537" s="9"/>
      <c r="XET537" s="9"/>
      <c r="XEU537" s="9"/>
      <c r="XEV537" s="9"/>
      <c r="XEW537" s="9"/>
      <c r="XEX537" s="9"/>
      <c r="XEY537" s="9"/>
      <c r="XEZ537" s="9"/>
      <c r="XFA537" s="9"/>
      <c r="XFB537" s="9"/>
      <c r="XFC537" s="9"/>
      <c r="XFD537" s="9"/>
    </row>
    <row r="538" spans="1:8 16325:16384" s="3" customFormat="1" ht="19.95" customHeight="1">
      <c r="A538" s="6" t="str">
        <f t="shared" si="22"/>
        <v>040023</v>
      </c>
      <c r="B538" s="6" t="s">
        <v>27</v>
      </c>
      <c r="C538" s="6" t="s">
        <v>28</v>
      </c>
      <c r="D538" s="6" t="str">
        <f>"512418007"</f>
        <v>512418007</v>
      </c>
      <c r="E538" s="7">
        <v>81.5</v>
      </c>
      <c r="F538" s="7">
        <v>70.5</v>
      </c>
      <c r="G538" s="7"/>
      <c r="H538" s="7">
        <v>77.099999999999994</v>
      </c>
      <c r="XCW538" s="9"/>
      <c r="XCX538" s="9"/>
      <c r="XCY538" s="9"/>
      <c r="XCZ538" s="9"/>
      <c r="XDA538" s="9"/>
      <c r="XDB538" s="9"/>
      <c r="XDC538" s="9"/>
      <c r="XDD538" s="9"/>
      <c r="XDE538" s="9"/>
      <c r="XDF538" s="9"/>
      <c r="XDG538" s="9"/>
      <c r="XDH538" s="9"/>
      <c r="XDI538" s="9"/>
      <c r="XDJ538" s="9"/>
      <c r="XDK538" s="9"/>
      <c r="XDL538" s="9"/>
      <c r="XDM538" s="9"/>
      <c r="XDN538" s="9"/>
      <c r="XDO538" s="9"/>
      <c r="XDP538" s="9"/>
      <c r="XDQ538" s="9"/>
      <c r="XDR538" s="9"/>
      <c r="XDS538" s="9"/>
      <c r="XDT538" s="9"/>
      <c r="XDU538" s="9"/>
      <c r="XDV538" s="9"/>
      <c r="XDW538" s="9"/>
      <c r="XDX538" s="9"/>
      <c r="XDY538" s="9"/>
      <c r="XDZ538" s="9"/>
      <c r="XEA538" s="9"/>
      <c r="XEB538" s="9"/>
      <c r="XEC538" s="9"/>
      <c r="XED538" s="9"/>
      <c r="XEE538" s="9"/>
      <c r="XEF538" s="9"/>
      <c r="XEG538" s="9"/>
      <c r="XEH538" s="9"/>
      <c r="XEI538" s="9"/>
      <c r="XEJ538" s="9"/>
      <c r="XEK538" s="9"/>
      <c r="XEL538" s="9"/>
      <c r="XEM538" s="9"/>
      <c r="XEN538" s="9"/>
      <c r="XEO538" s="9"/>
      <c r="XEP538" s="9"/>
      <c r="XEQ538" s="9"/>
      <c r="XER538" s="9"/>
      <c r="XES538" s="9"/>
      <c r="XET538" s="9"/>
      <c r="XEU538" s="9"/>
      <c r="XEV538" s="9"/>
      <c r="XEW538" s="9"/>
      <c r="XEX538" s="9"/>
      <c r="XEY538" s="9"/>
      <c r="XEZ538" s="9"/>
      <c r="XFA538" s="9"/>
      <c r="XFB538" s="9"/>
      <c r="XFC538" s="9"/>
      <c r="XFD538" s="9"/>
    </row>
    <row r="539" spans="1:8 16325:16384" s="3" customFormat="1" ht="19.95" customHeight="1">
      <c r="A539" s="6" t="str">
        <f t="shared" si="22"/>
        <v>040023</v>
      </c>
      <c r="B539" s="6" t="s">
        <v>27</v>
      </c>
      <c r="C539" s="6" t="s">
        <v>28</v>
      </c>
      <c r="D539" s="6" t="str">
        <f>"512418005"</f>
        <v>512418005</v>
      </c>
      <c r="E539" s="7">
        <v>46</v>
      </c>
      <c r="F539" s="7">
        <v>40.5</v>
      </c>
      <c r="G539" s="7"/>
      <c r="H539" s="7">
        <v>43.8</v>
      </c>
      <c r="XCW539" s="9"/>
      <c r="XCX539" s="9"/>
      <c r="XCY539" s="9"/>
      <c r="XCZ539" s="9"/>
      <c r="XDA539" s="9"/>
      <c r="XDB539" s="9"/>
      <c r="XDC539" s="9"/>
      <c r="XDD539" s="9"/>
      <c r="XDE539" s="9"/>
      <c r="XDF539" s="9"/>
      <c r="XDG539" s="9"/>
      <c r="XDH539" s="9"/>
      <c r="XDI539" s="9"/>
      <c r="XDJ539" s="9"/>
      <c r="XDK539" s="9"/>
      <c r="XDL539" s="9"/>
      <c r="XDM539" s="9"/>
      <c r="XDN539" s="9"/>
      <c r="XDO539" s="9"/>
      <c r="XDP539" s="9"/>
      <c r="XDQ539" s="9"/>
      <c r="XDR539" s="9"/>
      <c r="XDS539" s="9"/>
      <c r="XDT539" s="9"/>
      <c r="XDU539" s="9"/>
      <c r="XDV539" s="9"/>
      <c r="XDW539" s="9"/>
      <c r="XDX539" s="9"/>
      <c r="XDY539" s="9"/>
      <c r="XDZ539" s="9"/>
      <c r="XEA539" s="9"/>
      <c r="XEB539" s="9"/>
      <c r="XEC539" s="9"/>
      <c r="XED539" s="9"/>
      <c r="XEE539" s="9"/>
      <c r="XEF539" s="9"/>
      <c r="XEG539" s="9"/>
      <c r="XEH539" s="9"/>
      <c r="XEI539" s="9"/>
      <c r="XEJ539" s="9"/>
      <c r="XEK539" s="9"/>
      <c r="XEL539" s="9"/>
      <c r="XEM539" s="9"/>
      <c r="XEN539" s="9"/>
      <c r="XEO539" s="9"/>
      <c r="XEP539" s="9"/>
      <c r="XEQ539" s="9"/>
      <c r="XER539" s="9"/>
      <c r="XES539" s="9"/>
      <c r="XET539" s="9"/>
      <c r="XEU539" s="9"/>
      <c r="XEV539" s="9"/>
      <c r="XEW539" s="9"/>
      <c r="XEX539" s="9"/>
      <c r="XEY539" s="9"/>
      <c r="XEZ539" s="9"/>
      <c r="XFA539" s="9"/>
      <c r="XFB539" s="9"/>
      <c r="XFC539" s="9"/>
      <c r="XFD539" s="9"/>
    </row>
    <row r="540" spans="1:8 16325:16384" s="3" customFormat="1" ht="19.95" customHeight="1">
      <c r="A540" s="6" t="str">
        <f t="shared" si="22"/>
        <v>040023</v>
      </c>
      <c r="B540" s="6" t="s">
        <v>27</v>
      </c>
      <c r="C540" s="6" t="s">
        <v>28</v>
      </c>
      <c r="D540" s="6" t="str">
        <f>"512417909"</f>
        <v>512417909</v>
      </c>
      <c r="E540" s="7">
        <v>91</v>
      </c>
      <c r="F540" s="7">
        <v>82</v>
      </c>
      <c r="G540" s="7"/>
      <c r="H540" s="7">
        <v>87.4</v>
      </c>
      <c r="XCW540" s="9"/>
      <c r="XCX540" s="9"/>
      <c r="XCY540" s="9"/>
      <c r="XCZ540" s="9"/>
      <c r="XDA540" s="9"/>
      <c r="XDB540" s="9"/>
      <c r="XDC540" s="9"/>
      <c r="XDD540" s="9"/>
      <c r="XDE540" s="9"/>
      <c r="XDF540" s="9"/>
      <c r="XDG540" s="9"/>
      <c r="XDH540" s="9"/>
      <c r="XDI540" s="9"/>
      <c r="XDJ540" s="9"/>
      <c r="XDK540" s="9"/>
      <c r="XDL540" s="9"/>
      <c r="XDM540" s="9"/>
      <c r="XDN540" s="9"/>
      <c r="XDO540" s="9"/>
      <c r="XDP540" s="9"/>
      <c r="XDQ540" s="9"/>
      <c r="XDR540" s="9"/>
      <c r="XDS540" s="9"/>
      <c r="XDT540" s="9"/>
      <c r="XDU540" s="9"/>
      <c r="XDV540" s="9"/>
      <c r="XDW540" s="9"/>
      <c r="XDX540" s="9"/>
      <c r="XDY540" s="9"/>
      <c r="XDZ540" s="9"/>
      <c r="XEA540" s="9"/>
      <c r="XEB540" s="9"/>
      <c r="XEC540" s="9"/>
      <c r="XED540" s="9"/>
      <c r="XEE540" s="9"/>
      <c r="XEF540" s="9"/>
      <c r="XEG540" s="9"/>
      <c r="XEH540" s="9"/>
      <c r="XEI540" s="9"/>
      <c r="XEJ540" s="9"/>
      <c r="XEK540" s="9"/>
      <c r="XEL540" s="9"/>
      <c r="XEM540" s="9"/>
      <c r="XEN540" s="9"/>
      <c r="XEO540" s="9"/>
      <c r="XEP540" s="9"/>
      <c r="XEQ540" s="9"/>
      <c r="XER540" s="9"/>
      <c r="XES540" s="9"/>
      <c r="XET540" s="9"/>
      <c r="XEU540" s="9"/>
      <c r="XEV540" s="9"/>
      <c r="XEW540" s="9"/>
      <c r="XEX540" s="9"/>
      <c r="XEY540" s="9"/>
      <c r="XEZ540" s="9"/>
      <c r="XFA540" s="9"/>
      <c r="XFB540" s="9"/>
      <c r="XFC540" s="9"/>
      <c r="XFD540" s="9"/>
    </row>
    <row r="541" spans="1:8 16325:16384" s="3" customFormat="1" ht="19.95" customHeight="1">
      <c r="A541" s="6" t="str">
        <f t="shared" si="22"/>
        <v>040023</v>
      </c>
      <c r="B541" s="6" t="s">
        <v>27</v>
      </c>
      <c r="C541" s="6" t="s">
        <v>28</v>
      </c>
      <c r="D541" s="6" t="str">
        <f>"512417920"</f>
        <v>512417920</v>
      </c>
      <c r="E541" s="7">
        <v>0</v>
      </c>
      <c r="F541" s="7">
        <v>0</v>
      </c>
      <c r="G541" s="7"/>
      <c r="H541" s="7">
        <v>0</v>
      </c>
      <c r="XCW541" s="9"/>
      <c r="XCX541" s="9"/>
      <c r="XCY541" s="9"/>
      <c r="XCZ541" s="9"/>
      <c r="XDA541" s="9"/>
      <c r="XDB541" s="9"/>
      <c r="XDC541" s="9"/>
      <c r="XDD541" s="9"/>
      <c r="XDE541" s="9"/>
      <c r="XDF541" s="9"/>
      <c r="XDG541" s="9"/>
      <c r="XDH541" s="9"/>
      <c r="XDI541" s="9"/>
      <c r="XDJ541" s="9"/>
      <c r="XDK541" s="9"/>
      <c r="XDL541" s="9"/>
      <c r="XDM541" s="9"/>
      <c r="XDN541" s="9"/>
      <c r="XDO541" s="9"/>
      <c r="XDP541" s="9"/>
      <c r="XDQ541" s="9"/>
      <c r="XDR541" s="9"/>
      <c r="XDS541" s="9"/>
      <c r="XDT541" s="9"/>
      <c r="XDU541" s="9"/>
      <c r="XDV541" s="9"/>
      <c r="XDW541" s="9"/>
      <c r="XDX541" s="9"/>
      <c r="XDY541" s="9"/>
      <c r="XDZ541" s="9"/>
      <c r="XEA541" s="9"/>
      <c r="XEB541" s="9"/>
      <c r="XEC541" s="9"/>
      <c r="XED541" s="9"/>
      <c r="XEE541" s="9"/>
      <c r="XEF541" s="9"/>
      <c r="XEG541" s="9"/>
      <c r="XEH541" s="9"/>
      <c r="XEI541" s="9"/>
      <c r="XEJ541" s="9"/>
      <c r="XEK541" s="9"/>
      <c r="XEL541" s="9"/>
      <c r="XEM541" s="9"/>
      <c r="XEN541" s="9"/>
      <c r="XEO541" s="9"/>
      <c r="XEP541" s="9"/>
      <c r="XEQ541" s="9"/>
      <c r="XER541" s="9"/>
      <c r="XES541" s="9"/>
      <c r="XET541" s="9"/>
      <c r="XEU541" s="9"/>
      <c r="XEV541" s="9"/>
      <c r="XEW541" s="9"/>
      <c r="XEX541" s="9"/>
      <c r="XEY541" s="9"/>
      <c r="XEZ541" s="9"/>
      <c r="XFA541" s="9"/>
      <c r="XFB541" s="9"/>
      <c r="XFC541" s="9"/>
      <c r="XFD541" s="9"/>
    </row>
    <row r="542" spans="1:8 16325:16384" s="3" customFormat="1" ht="19.95" customHeight="1">
      <c r="A542" s="6" t="str">
        <f t="shared" si="22"/>
        <v>040023</v>
      </c>
      <c r="B542" s="6" t="s">
        <v>27</v>
      </c>
      <c r="C542" s="6" t="s">
        <v>28</v>
      </c>
      <c r="D542" s="6" t="str">
        <f>"512418018"</f>
        <v>512418018</v>
      </c>
      <c r="E542" s="7">
        <v>72</v>
      </c>
      <c r="F542" s="7">
        <v>73.5</v>
      </c>
      <c r="G542" s="7"/>
      <c r="H542" s="7">
        <v>72.599999999999994</v>
      </c>
      <c r="XCW542" s="9"/>
      <c r="XCX542" s="9"/>
      <c r="XCY542" s="9"/>
      <c r="XCZ542" s="9"/>
      <c r="XDA542" s="9"/>
      <c r="XDB542" s="9"/>
      <c r="XDC542" s="9"/>
      <c r="XDD542" s="9"/>
      <c r="XDE542" s="9"/>
      <c r="XDF542" s="9"/>
      <c r="XDG542" s="9"/>
      <c r="XDH542" s="9"/>
      <c r="XDI542" s="9"/>
      <c r="XDJ542" s="9"/>
      <c r="XDK542" s="9"/>
      <c r="XDL542" s="9"/>
      <c r="XDM542" s="9"/>
      <c r="XDN542" s="9"/>
      <c r="XDO542" s="9"/>
      <c r="XDP542" s="9"/>
      <c r="XDQ542" s="9"/>
      <c r="XDR542" s="9"/>
      <c r="XDS542" s="9"/>
      <c r="XDT542" s="9"/>
      <c r="XDU542" s="9"/>
      <c r="XDV542" s="9"/>
      <c r="XDW542" s="9"/>
      <c r="XDX542" s="9"/>
      <c r="XDY542" s="9"/>
      <c r="XDZ542" s="9"/>
      <c r="XEA542" s="9"/>
      <c r="XEB542" s="9"/>
      <c r="XEC542" s="9"/>
      <c r="XED542" s="9"/>
      <c r="XEE542" s="9"/>
      <c r="XEF542" s="9"/>
      <c r="XEG542" s="9"/>
      <c r="XEH542" s="9"/>
      <c r="XEI542" s="9"/>
      <c r="XEJ542" s="9"/>
      <c r="XEK542" s="9"/>
      <c r="XEL542" s="9"/>
      <c r="XEM542" s="9"/>
      <c r="XEN542" s="9"/>
      <c r="XEO542" s="9"/>
      <c r="XEP542" s="9"/>
      <c r="XEQ542" s="9"/>
      <c r="XER542" s="9"/>
      <c r="XES542" s="9"/>
      <c r="XET542" s="9"/>
      <c r="XEU542" s="9"/>
      <c r="XEV542" s="9"/>
      <c r="XEW542" s="9"/>
      <c r="XEX542" s="9"/>
      <c r="XEY542" s="9"/>
      <c r="XEZ542" s="9"/>
      <c r="XFA542" s="9"/>
      <c r="XFB542" s="9"/>
      <c r="XFC542" s="9"/>
      <c r="XFD542" s="9"/>
    </row>
    <row r="543" spans="1:8 16325:16384" s="3" customFormat="1" ht="19.95" customHeight="1">
      <c r="A543" s="6" t="str">
        <f t="shared" si="22"/>
        <v>040023</v>
      </c>
      <c r="B543" s="6" t="s">
        <v>27</v>
      </c>
      <c r="C543" s="6" t="s">
        <v>28</v>
      </c>
      <c r="D543" s="6" t="str">
        <f>"512418020"</f>
        <v>512418020</v>
      </c>
      <c r="E543" s="7">
        <v>81</v>
      </c>
      <c r="F543" s="7">
        <v>89</v>
      </c>
      <c r="G543" s="7"/>
      <c r="H543" s="7">
        <v>84.2</v>
      </c>
      <c r="XCW543" s="9"/>
      <c r="XCX543" s="9"/>
      <c r="XCY543" s="9"/>
      <c r="XCZ543" s="9"/>
      <c r="XDA543" s="9"/>
      <c r="XDB543" s="9"/>
      <c r="XDC543" s="9"/>
      <c r="XDD543" s="9"/>
      <c r="XDE543" s="9"/>
      <c r="XDF543" s="9"/>
      <c r="XDG543" s="9"/>
      <c r="XDH543" s="9"/>
      <c r="XDI543" s="9"/>
      <c r="XDJ543" s="9"/>
      <c r="XDK543" s="9"/>
      <c r="XDL543" s="9"/>
      <c r="XDM543" s="9"/>
      <c r="XDN543" s="9"/>
      <c r="XDO543" s="9"/>
      <c r="XDP543" s="9"/>
      <c r="XDQ543" s="9"/>
      <c r="XDR543" s="9"/>
      <c r="XDS543" s="9"/>
      <c r="XDT543" s="9"/>
      <c r="XDU543" s="9"/>
      <c r="XDV543" s="9"/>
      <c r="XDW543" s="9"/>
      <c r="XDX543" s="9"/>
      <c r="XDY543" s="9"/>
      <c r="XDZ543" s="9"/>
      <c r="XEA543" s="9"/>
      <c r="XEB543" s="9"/>
      <c r="XEC543" s="9"/>
      <c r="XED543" s="9"/>
      <c r="XEE543" s="9"/>
      <c r="XEF543" s="9"/>
      <c r="XEG543" s="9"/>
      <c r="XEH543" s="9"/>
      <c r="XEI543" s="9"/>
      <c r="XEJ543" s="9"/>
      <c r="XEK543" s="9"/>
      <c r="XEL543" s="9"/>
      <c r="XEM543" s="9"/>
      <c r="XEN543" s="9"/>
      <c r="XEO543" s="9"/>
      <c r="XEP543" s="9"/>
      <c r="XEQ543" s="9"/>
      <c r="XER543" s="9"/>
      <c r="XES543" s="9"/>
      <c r="XET543" s="9"/>
      <c r="XEU543" s="9"/>
      <c r="XEV543" s="9"/>
      <c r="XEW543" s="9"/>
      <c r="XEX543" s="9"/>
      <c r="XEY543" s="9"/>
      <c r="XEZ543" s="9"/>
      <c r="XFA543" s="9"/>
      <c r="XFB543" s="9"/>
      <c r="XFC543" s="9"/>
      <c r="XFD543" s="9"/>
    </row>
    <row r="544" spans="1:8 16325:16384" s="3" customFormat="1" ht="19.95" customHeight="1">
      <c r="A544" s="6" t="str">
        <f t="shared" si="22"/>
        <v>040023</v>
      </c>
      <c r="B544" s="6" t="s">
        <v>27</v>
      </c>
      <c r="C544" s="6" t="s">
        <v>28</v>
      </c>
      <c r="D544" s="6" t="str">
        <f>"512418002"</f>
        <v>512418002</v>
      </c>
      <c r="E544" s="7">
        <v>72.5</v>
      </c>
      <c r="F544" s="7">
        <v>68.5</v>
      </c>
      <c r="G544" s="7"/>
      <c r="H544" s="7">
        <v>70.900000000000006</v>
      </c>
      <c r="XCW544" s="9"/>
      <c r="XCX544" s="9"/>
      <c r="XCY544" s="9"/>
      <c r="XCZ544" s="9"/>
      <c r="XDA544" s="9"/>
      <c r="XDB544" s="9"/>
      <c r="XDC544" s="9"/>
      <c r="XDD544" s="9"/>
      <c r="XDE544" s="9"/>
      <c r="XDF544" s="9"/>
      <c r="XDG544" s="9"/>
      <c r="XDH544" s="9"/>
      <c r="XDI544" s="9"/>
      <c r="XDJ544" s="9"/>
      <c r="XDK544" s="9"/>
      <c r="XDL544" s="9"/>
      <c r="XDM544" s="9"/>
      <c r="XDN544" s="9"/>
      <c r="XDO544" s="9"/>
      <c r="XDP544" s="9"/>
      <c r="XDQ544" s="9"/>
      <c r="XDR544" s="9"/>
      <c r="XDS544" s="9"/>
      <c r="XDT544" s="9"/>
      <c r="XDU544" s="9"/>
      <c r="XDV544" s="9"/>
      <c r="XDW544" s="9"/>
      <c r="XDX544" s="9"/>
      <c r="XDY544" s="9"/>
      <c r="XDZ544" s="9"/>
      <c r="XEA544" s="9"/>
      <c r="XEB544" s="9"/>
      <c r="XEC544" s="9"/>
      <c r="XED544" s="9"/>
      <c r="XEE544" s="9"/>
      <c r="XEF544" s="9"/>
      <c r="XEG544" s="9"/>
      <c r="XEH544" s="9"/>
      <c r="XEI544" s="9"/>
      <c r="XEJ544" s="9"/>
      <c r="XEK544" s="9"/>
      <c r="XEL544" s="9"/>
      <c r="XEM544" s="9"/>
      <c r="XEN544" s="9"/>
      <c r="XEO544" s="9"/>
      <c r="XEP544" s="9"/>
      <c r="XEQ544" s="9"/>
      <c r="XER544" s="9"/>
      <c r="XES544" s="9"/>
      <c r="XET544" s="9"/>
      <c r="XEU544" s="9"/>
      <c r="XEV544" s="9"/>
      <c r="XEW544" s="9"/>
      <c r="XEX544" s="9"/>
      <c r="XEY544" s="9"/>
      <c r="XEZ544" s="9"/>
      <c r="XFA544" s="9"/>
      <c r="XFB544" s="9"/>
      <c r="XFC544" s="9"/>
      <c r="XFD544" s="9"/>
    </row>
    <row r="545" spans="1:8 16325:16384" s="3" customFormat="1" ht="19.95" customHeight="1">
      <c r="A545" s="6" t="str">
        <f t="shared" si="22"/>
        <v>040023</v>
      </c>
      <c r="B545" s="6" t="s">
        <v>27</v>
      </c>
      <c r="C545" s="6" t="s">
        <v>28</v>
      </c>
      <c r="D545" s="6" t="str">
        <f>"512417922"</f>
        <v>512417922</v>
      </c>
      <c r="E545" s="7">
        <v>69.5</v>
      </c>
      <c r="F545" s="7">
        <v>78</v>
      </c>
      <c r="G545" s="7"/>
      <c r="H545" s="7">
        <v>72.900000000000006</v>
      </c>
      <c r="XCW545" s="9"/>
      <c r="XCX545" s="9"/>
      <c r="XCY545" s="9"/>
      <c r="XCZ545" s="9"/>
      <c r="XDA545" s="9"/>
      <c r="XDB545" s="9"/>
      <c r="XDC545" s="9"/>
      <c r="XDD545" s="9"/>
      <c r="XDE545" s="9"/>
      <c r="XDF545" s="9"/>
      <c r="XDG545" s="9"/>
      <c r="XDH545" s="9"/>
      <c r="XDI545" s="9"/>
      <c r="XDJ545" s="9"/>
      <c r="XDK545" s="9"/>
      <c r="XDL545" s="9"/>
      <c r="XDM545" s="9"/>
      <c r="XDN545" s="9"/>
      <c r="XDO545" s="9"/>
      <c r="XDP545" s="9"/>
      <c r="XDQ545" s="9"/>
      <c r="XDR545" s="9"/>
      <c r="XDS545" s="9"/>
      <c r="XDT545" s="9"/>
      <c r="XDU545" s="9"/>
      <c r="XDV545" s="9"/>
      <c r="XDW545" s="9"/>
      <c r="XDX545" s="9"/>
      <c r="XDY545" s="9"/>
      <c r="XDZ545" s="9"/>
      <c r="XEA545" s="9"/>
      <c r="XEB545" s="9"/>
      <c r="XEC545" s="9"/>
      <c r="XED545" s="9"/>
      <c r="XEE545" s="9"/>
      <c r="XEF545" s="9"/>
      <c r="XEG545" s="9"/>
      <c r="XEH545" s="9"/>
      <c r="XEI545" s="9"/>
      <c r="XEJ545" s="9"/>
      <c r="XEK545" s="9"/>
      <c r="XEL545" s="9"/>
      <c r="XEM545" s="9"/>
      <c r="XEN545" s="9"/>
      <c r="XEO545" s="9"/>
      <c r="XEP545" s="9"/>
      <c r="XEQ545" s="9"/>
      <c r="XER545" s="9"/>
      <c r="XES545" s="9"/>
      <c r="XET545" s="9"/>
      <c r="XEU545" s="9"/>
      <c r="XEV545" s="9"/>
      <c r="XEW545" s="9"/>
      <c r="XEX545" s="9"/>
      <c r="XEY545" s="9"/>
      <c r="XEZ545" s="9"/>
      <c r="XFA545" s="9"/>
      <c r="XFB545" s="9"/>
      <c r="XFC545" s="9"/>
      <c r="XFD545" s="9"/>
    </row>
    <row r="546" spans="1:8 16325:16384" s="3" customFormat="1" ht="19.95" customHeight="1">
      <c r="A546" s="6" t="str">
        <f t="shared" si="22"/>
        <v>040023</v>
      </c>
      <c r="B546" s="6" t="s">
        <v>27</v>
      </c>
      <c r="C546" s="6" t="s">
        <v>28</v>
      </c>
      <c r="D546" s="6" t="str">
        <f>"512417912"</f>
        <v>512417912</v>
      </c>
      <c r="E546" s="7">
        <v>0</v>
      </c>
      <c r="F546" s="7">
        <v>0</v>
      </c>
      <c r="G546" s="7"/>
      <c r="H546" s="7">
        <v>0</v>
      </c>
      <c r="XCW546" s="9"/>
      <c r="XCX546" s="9"/>
      <c r="XCY546" s="9"/>
      <c r="XCZ546" s="9"/>
      <c r="XDA546" s="9"/>
      <c r="XDB546" s="9"/>
      <c r="XDC546" s="9"/>
      <c r="XDD546" s="9"/>
      <c r="XDE546" s="9"/>
      <c r="XDF546" s="9"/>
      <c r="XDG546" s="9"/>
      <c r="XDH546" s="9"/>
      <c r="XDI546" s="9"/>
      <c r="XDJ546" s="9"/>
      <c r="XDK546" s="9"/>
      <c r="XDL546" s="9"/>
      <c r="XDM546" s="9"/>
      <c r="XDN546" s="9"/>
      <c r="XDO546" s="9"/>
      <c r="XDP546" s="9"/>
      <c r="XDQ546" s="9"/>
      <c r="XDR546" s="9"/>
      <c r="XDS546" s="9"/>
      <c r="XDT546" s="9"/>
      <c r="XDU546" s="9"/>
      <c r="XDV546" s="9"/>
      <c r="XDW546" s="9"/>
      <c r="XDX546" s="9"/>
      <c r="XDY546" s="9"/>
      <c r="XDZ546" s="9"/>
      <c r="XEA546" s="9"/>
      <c r="XEB546" s="9"/>
      <c r="XEC546" s="9"/>
      <c r="XED546" s="9"/>
      <c r="XEE546" s="9"/>
      <c r="XEF546" s="9"/>
      <c r="XEG546" s="9"/>
      <c r="XEH546" s="9"/>
      <c r="XEI546" s="9"/>
      <c r="XEJ546" s="9"/>
      <c r="XEK546" s="9"/>
      <c r="XEL546" s="9"/>
      <c r="XEM546" s="9"/>
      <c r="XEN546" s="9"/>
      <c r="XEO546" s="9"/>
      <c r="XEP546" s="9"/>
      <c r="XEQ546" s="9"/>
      <c r="XER546" s="9"/>
      <c r="XES546" s="9"/>
      <c r="XET546" s="9"/>
      <c r="XEU546" s="9"/>
      <c r="XEV546" s="9"/>
      <c r="XEW546" s="9"/>
      <c r="XEX546" s="9"/>
      <c r="XEY546" s="9"/>
      <c r="XEZ546" s="9"/>
      <c r="XFA546" s="9"/>
      <c r="XFB546" s="9"/>
      <c r="XFC546" s="9"/>
      <c r="XFD546" s="9"/>
    </row>
    <row r="547" spans="1:8 16325:16384" s="3" customFormat="1" ht="19.95" customHeight="1">
      <c r="A547" s="6" t="str">
        <f t="shared" si="22"/>
        <v>040023</v>
      </c>
      <c r="B547" s="6" t="s">
        <v>27</v>
      </c>
      <c r="C547" s="6" t="s">
        <v>28</v>
      </c>
      <c r="D547" s="6" t="str">
        <f>"512417924"</f>
        <v>512417924</v>
      </c>
      <c r="E547" s="7">
        <v>71</v>
      </c>
      <c r="F547" s="7">
        <v>68.5</v>
      </c>
      <c r="G547" s="7"/>
      <c r="H547" s="7">
        <v>70</v>
      </c>
      <c r="XCW547" s="9"/>
      <c r="XCX547" s="9"/>
      <c r="XCY547" s="9"/>
      <c r="XCZ547" s="9"/>
      <c r="XDA547" s="9"/>
      <c r="XDB547" s="9"/>
      <c r="XDC547" s="9"/>
      <c r="XDD547" s="9"/>
      <c r="XDE547" s="9"/>
      <c r="XDF547" s="9"/>
      <c r="XDG547" s="9"/>
      <c r="XDH547" s="9"/>
      <c r="XDI547" s="9"/>
      <c r="XDJ547" s="9"/>
      <c r="XDK547" s="9"/>
      <c r="XDL547" s="9"/>
      <c r="XDM547" s="9"/>
      <c r="XDN547" s="9"/>
      <c r="XDO547" s="9"/>
      <c r="XDP547" s="9"/>
      <c r="XDQ547" s="9"/>
      <c r="XDR547" s="9"/>
      <c r="XDS547" s="9"/>
      <c r="XDT547" s="9"/>
      <c r="XDU547" s="9"/>
      <c r="XDV547" s="9"/>
      <c r="XDW547" s="9"/>
      <c r="XDX547" s="9"/>
      <c r="XDY547" s="9"/>
      <c r="XDZ547" s="9"/>
      <c r="XEA547" s="9"/>
      <c r="XEB547" s="9"/>
      <c r="XEC547" s="9"/>
      <c r="XED547" s="9"/>
      <c r="XEE547" s="9"/>
      <c r="XEF547" s="9"/>
      <c r="XEG547" s="9"/>
      <c r="XEH547" s="9"/>
      <c r="XEI547" s="9"/>
      <c r="XEJ547" s="9"/>
      <c r="XEK547" s="9"/>
      <c r="XEL547" s="9"/>
      <c r="XEM547" s="9"/>
      <c r="XEN547" s="9"/>
      <c r="XEO547" s="9"/>
      <c r="XEP547" s="9"/>
      <c r="XEQ547" s="9"/>
      <c r="XER547" s="9"/>
      <c r="XES547" s="9"/>
      <c r="XET547" s="9"/>
      <c r="XEU547" s="9"/>
      <c r="XEV547" s="9"/>
      <c r="XEW547" s="9"/>
      <c r="XEX547" s="9"/>
      <c r="XEY547" s="9"/>
      <c r="XEZ547" s="9"/>
      <c r="XFA547" s="9"/>
      <c r="XFB547" s="9"/>
      <c r="XFC547" s="9"/>
      <c r="XFD547" s="9"/>
    </row>
    <row r="548" spans="1:8 16325:16384" s="3" customFormat="1" ht="19.95" customHeight="1">
      <c r="A548" s="6" t="str">
        <f t="shared" si="22"/>
        <v>040023</v>
      </c>
      <c r="B548" s="6" t="s">
        <v>27</v>
      </c>
      <c r="C548" s="6" t="s">
        <v>28</v>
      </c>
      <c r="D548" s="6" t="str">
        <f>"512418011"</f>
        <v>512418011</v>
      </c>
      <c r="E548" s="7">
        <v>71</v>
      </c>
      <c r="F548" s="7">
        <v>75</v>
      </c>
      <c r="G548" s="7"/>
      <c r="H548" s="7">
        <v>72.599999999999994</v>
      </c>
      <c r="XCW548" s="9"/>
      <c r="XCX548" s="9"/>
      <c r="XCY548" s="9"/>
      <c r="XCZ548" s="9"/>
      <c r="XDA548" s="9"/>
      <c r="XDB548" s="9"/>
      <c r="XDC548" s="9"/>
      <c r="XDD548" s="9"/>
      <c r="XDE548" s="9"/>
      <c r="XDF548" s="9"/>
      <c r="XDG548" s="9"/>
      <c r="XDH548" s="9"/>
      <c r="XDI548" s="9"/>
      <c r="XDJ548" s="9"/>
      <c r="XDK548" s="9"/>
      <c r="XDL548" s="9"/>
      <c r="XDM548" s="9"/>
      <c r="XDN548" s="9"/>
      <c r="XDO548" s="9"/>
      <c r="XDP548" s="9"/>
      <c r="XDQ548" s="9"/>
      <c r="XDR548" s="9"/>
      <c r="XDS548" s="9"/>
      <c r="XDT548" s="9"/>
      <c r="XDU548" s="9"/>
      <c r="XDV548" s="9"/>
      <c r="XDW548" s="9"/>
      <c r="XDX548" s="9"/>
      <c r="XDY548" s="9"/>
      <c r="XDZ548" s="9"/>
      <c r="XEA548" s="9"/>
      <c r="XEB548" s="9"/>
      <c r="XEC548" s="9"/>
      <c r="XED548" s="9"/>
      <c r="XEE548" s="9"/>
      <c r="XEF548" s="9"/>
      <c r="XEG548" s="9"/>
      <c r="XEH548" s="9"/>
      <c r="XEI548" s="9"/>
      <c r="XEJ548" s="9"/>
      <c r="XEK548" s="9"/>
      <c r="XEL548" s="9"/>
      <c r="XEM548" s="9"/>
      <c r="XEN548" s="9"/>
      <c r="XEO548" s="9"/>
      <c r="XEP548" s="9"/>
      <c r="XEQ548" s="9"/>
      <c r="XER548" s="9"/>
      <c r="XES548" s="9"/>
      <c r="XET548" s="9"/>
      <c r="XEU548" s="9"/>
      <c r="XEV548" s="9"/>
      <c r="XEW548" s="9"/>
      <c r="XEX548" s="9"/>
      <c r="XEY548" s="9"/>
      <c r="XEZ548" s="9"/>
      <c r="XFA548" s="9"/>
      <c r="XFB548" s="9"/>
      <c r="XFC548" s="9"/>
      <c r="XFD548" s="9"/>
    </row>
    <row r="549" spans="1:8 16325:16384" s="3" customFormat="1" ht="19.95" customHeight="1">
      <c r="A549" s="6" t="str">
        <f t="shared" si="22"/>
        <v>040023</v>
      </c>
      <c r="B549" s="6" t="s">
        <v>27</v>
      </c>
      <c r="C549" s="6" t="s">
        <v>28</v>
      </c>
      <c r="D549" s="6" t="str">
        <f>"512418009"</f>
        <v>512418009</v>
      </c>
      <c r="E549" s="7">
        <v>82.5</v>
      </c>
      <c r="F549" s="7">
        <v>75.5</v>
      </c>
      <c r="G549" s="7"/>
      <c r="H549" s="7">
        <v>79.7</v>
      </c>
      <c r="XCW549" s="9"/>
      <c r="XCX549" s="9"/>
      <c r="XCY549" s="9"/>
      <c r="XCZ549" s="9"/>
      <c r="XDA549" s="9"/>
      <c r="XDB549" s="9"/>
      <c r="XDC549" s="9"/>
      <c r="XDD549" s="9"/>
      <c r="XDE549" s="9"/>
      <c r="XDF549" s="9"/>
      <c r="XDG549" s="9"/>
      <c r="XDH549" s="9"/>
      <c r="XDI549" s="9"/>
      <c r="XDJ549" s="9"/>
      <c r="XDK549" s="9"/>
      <c r="XDL549" s="9"/>
      <c r="XDM549" s="9"/>
      <c r="XDN549" s="9"/>
      <c r="XDO549" s="9"/>
      <c r="XDP549" s="9"/>
      <c r="XDQ549" s="9"/>
      <c r="XDR549" s="9"/>
      <c r="XDS549" s="9"/>
      <c r="XDT549" s="9"/>
      <c r="XDU549" s="9"/>
      <c r="XDV549" s="9"/>
      <c r="XDW549" s="9"/>
      <c r="XDX549" s="9"/>
      <c r="XDY549" s="9"/>
      <c r="XDZ549" s="9"/>
      <c r="XEA549" s="9"/>
      <c r="XEB549" s="9"/>
      <c r="XEC549" s="9"/>
      <c r="XED549" s="9"/>
      <c r="XEE549" s="9"/>
      <c r="XEF549" s="9"/>
      <c r="XEG549" s="9"/>
      <c r="XEH549" s="9"/>
      <c r="XEI549" s="9"/>
      <c r="XEJ549" s="9"/>
      <c r="XEK549" s="9"/>
      <c r="XEL549" s="9"/>
      <c r="XEM549" s="9"/>
      <c r="XEN549" s="9"/>
      <c r="XEO549" s="9"/>
      <c r="XEP549" s="9"/>
      <c r="XEQ549" s="9"/>
      <c r="XER549" s="9"/>
      <c r="XES549" s="9"/>
      <c r="XET549" s="9"/>
      <c r="XEU549" s="9"/>
      <c r="XEV549" s="9"/>
      <c r="XEW549" s="9"/>
      <c r="XEX549" s="9"/>
      <c r="XEY549" s="9"/>
      <c r="XEZ549" s="9"/>
      <c r="XFA549" s="9"/>
      <c r="XFB549" s="9"/>
      <c r="XFC549" s="9"/>
      <c r="XFD549" s="9"/>
    </row>
    <row r="550" spans="1:8 16325:16384" s="3" customFormat="1" ht="19.95" customHeight="1">
      <c r="A550" s="6" t="str">
        <f t="shared" si="22"/>
        <v>040023</v>
      </c>
      <c r="B550" s="6" t="s">
        <v>27</v>
      </c>
      <c r="C550" s="6" t="s">
        <v>28</v>
      </c>
      <c r="D550" s="6" t="str">
        <f>"512417917"</f>
        <v>512417917</v>
      </c>
      <c r="E550" s="7">
        <v>0</v>
      </c>
      <c r="F550" s="7">
        <v>0</v>
      </c>
      <c r="G550" s="7"/>
      <c r="H550" s="7">
        <v>0</v>
      </c>
      <c r="XCW550" s="9"/>
      <c r="XCX550" s="9"/>
      <c r="XCY550" s="9"/>
      <c r="XCZ550" s="9"/>
      <c r="XDA550" s="9"/>
      <c r="XDB550" s="9"/>
      <c r="XDC550" s="9"/>
      <c r="XDD550" s="9"/>
      <c r="XDE550" s="9"/>
      <c r="XDF550" s="9"/>
      <c r="XDG550" s="9"/>
      <c r="XDH550" s="9"/>
      <c r="XDI550" s="9"/>
      <c r="XDJ550" s="9"/>
      <c r="XDK550" s="9"/>
      <c r="XDL550" s="9"/>
      <c r="XDM550" s="9"/>
      <c r="XDN550" s="9"/>
      <c r="XDO550" s="9"/>
      <c r="XDP550" s="9"/>
      <c r="XDQ550" s="9"/>
      <c r="XDR550" s="9"/>
      <c r="XDS550" s="9"/>
      <c r="XDT550" s="9"/>
      <c r="XDU550" s="9"/>
      <c r="XDV550" s="9"/>
      <c r="XDW550" s="9"/>
      <c r="XDX550" s="9"/>
      <c r="XDY550" s="9"/>
      <c r="XDZ550" s="9"/>
      <c r="XEA550" s="9"/>
      <c r="XEB550" s="9"/>
      <c r="XEC550" s="9"/>
      <c r="XED550" s="9"/>
      <c r="XEE550" s="9"/>
      <c r="XEF550" s="9"/>
      <c r="XEG550" s="9"/>
      <c r="XEH550" s="9"/>
      <c r="XEI550" s="9"/>
      <c r="XEJ550" s="9"/>
      <c r="XEK550" s="9"/>
      <c r="XEL550" s="9"/>
      <c r="XEM550" s="9"/>
      <c r="XEN550" s="9"/>
      <c r="XEO550" s="9"/>
      <c r="XEP550" s="9"/>
      <c r="XEQ550" s="9"/>
      <c r="XER550" s="9"/>
      <c r="XES550" s="9"/>
      <c r="XET550" s="9"/>
      <c r="XEU550" s="9"/>
      <c r="XEV550" s="9"/>
      <c r="XEW550" s="9"/>
      <c r="XEX550" s="9"/>
      <c r="XEY550" s="9"/>
      <c r="XEZ550" s="9"/>
      <c r="XFA550" s="9"/>
      <c r="XFB550" s="9"/>
      <c r="XFC550" s="9"/>
      <c r="XFD550" s="9"/>
    </row>
    <row r="551" spans="1:8 16325:16384" s="3" customFormat="1" ht="19.95" customHeight="1">
      <c r="A551" s="6" t="str">
        <f t="shared" si="22"/>
        <v>040023</v>
      </c>
      <c r="B551" s="6" t="s">
        <v>27</v>
      </c>
      <c r="C551" s="6" t="s">
        <v>28</v>
      </c>
      <c r="D551" s="6" t="str">
        <f>"512418006"</f>
        <v>512418006</v>
      </c>
      <c r="E551" s="7">
        <v>0</v>
      </c>
      <c r="F551" s="7">
        <v>0</v>
      </c>
      <c r="G551" s="7"/>
      <c r="H551" s="7">
        <v>0</v>
      </c>
      <c r="XCW551" s="9"/>
      <c r="XCX551" s="9"/>
      <c r="XCY551" s="9"/>
      <c r="XCZ551" s="9"/>
      <c r="XDA551" s="9"/>
      <c r="XDB551" s="9"/>
      <c r="XDC551" s="9"/>
      <c r="XDD551" s="9"/>
      <c r="XDE551" s="9"/>
      <c r="XDF551" s="9"/>
      <c r="XDG551" s="9"/>
      <c r="XDH551" s="9"/>
      <c r="XDI551" s="9"/>
      <c r="XDJ551" s="9"/>
      <c r="XDK551" s="9"/>
      <c r="XDL551" s="9"/>
      <c r="XDM551" s="9"/>
      <c r="XDN551" s="9"/>
      <c r="XDO551" s="9"/>
      <c r="XDP551" s="9"/>
      <c r="XDQ551" s="9"/>
      <c r="XDR551" s="9"/>
      <c r="XDS551" s="9"/>
      <c r="XDT551" s="9"/>
      <c r="XDU551" s="9"/>
      <c r="XDV551" s="9"/>
      <c r="XDW551" s="9"/>
      <c r="XDX551" s="9"/>
      <c r="XDY551" s="9"/>
      <c r="XDZ551" s="9"/>
      <c r="XEA551" s="9"/>
      <c r="XEB551" s="9"/>
      <c r="XEC551" s="9"/>
      <c r="XED551" s="9"/>
      <c r="XEE551" s="9"/>
      <c r="XEF551" s="9"/>
      <c r="XEG551" s="9"/>
      <c r="XEH551" s="9"/>
      <c r="XEI551" s="9"/>
      <c r="XEJ551" s="9"/>
      <c r="XEK551" s="9"/>
      <c r="XEL551" s="9"/>
      <c r="XEM551" s="9"/>
      <c r="XEN551" s="9"/>
      <c r="XEO551" s="9"/>
      <c r="XEP551" s="9"/>
      <c r="XEQ551" s="9"/>
      <c r="XER551" s="9"/>
      <c r="XES551" s="9"/>
      <c r="XET551" s="9"/>
      <c r="XEU551" s="9"/>
      <c r="XEV551" s="9"/>
      <c r="XEW551" s="9"/>
      <c r="XEX551" s="9"/>
      <c r="XEY551" s="9"/>
      <c r="XEZ551" s="9"/>
      <c r="XFA551" s="9"/>
      <c r="XFB551" s="9"/>
      <c r="XFC551" s="9"/>
      <c r="XFD551" s="9"/>
    </row>
    <row r="552" spans="1:8 16325:16384" s="3" customFormat="1" ht="19.95" customHeight="1">
      <c r="A552" s="6" t="str">
        <f t="shared" si="22"/>
        <v>040023</v>
      </c>
      <c r="B552" s="6" t="s">
        <v>27</v>
      </c>
      <c r="C552" s="6" t="s">
        <v>28</v>
      </c>
      <c r="D552" s="6" t="str">
        <f>"512418017"</f>
        <v>512418017</v>
      </c>
      <c r="E552" s="7">
        <v>77.5</v>
      </c>
      <c r="F552" s="7">
        <v>87</v>
      </c>
      <c r="G552" s="7"/>
      <c r="H552" s="7">
        <v>81.3</v>
      </c>
      <c r="XCW552" s="9"/>
      <c r="XCX552" s="9"/>
      <c r="XCY552" s="9"/>
      <c r="XCZ552" s="9"/>
      <c r="XDA552" s="9"/>
      <c r="XDB552" s="9"/>
      <c r="XDC552" s="9"/>
      <c r="XDD552" s="9"/>
      <c r="XDE552" s="9"/>
      <c r="XDF552" s="9"/>
      <c r="XDG552" s="9"/>
      <c r="XDH552" s="9"/>
      <c r="XDI552" s="9"/>
      <c r="XDJ552" s="9"/>
      <c r="XDK552" s="9"/>
      <c r="XDL552" s="9"/>
      <c r="XDM552" s="9"/>
      <c r="XDN552" s="9"/>
      <c r="XDO552" s="9"/>
      <c r="XDP552" s="9"/>
      <c r="XDQ552" s="9"/>
      <c r="XDR552" s="9"/>
      <c r="XDS552" s="9"/>
      <c r="XDT552" s="9"/>
      <c r="XDU552" s="9"/>
      <c r="XDV552" s="9"/>
      <c r="XDW552" s="9"/>
      <c r="XDX552" s="9"/>
      <c r="XDY552" s="9"/>
      <c r="XDZ552" s="9"/>
      <c r="XEA552" s="9"/>
      <c r="XEB552" s="9"/>
      <c r="XEC552" s="9"/>
      <c r="XED552" s="9"/>
      <c r="XEE552" s="9"/>
      <c r="XEF552" s="9"/>
      <c r="XEG552" s="9"/>
      <c r="XEH552" s="9"/>
      <c r="XEI552" s="9"/>
      <c r="XEJ552" s="9"/>
      <c r="XEK552" s="9"/>
      <c r="XEL552" s="9"/>
      <c r="XEM552" s="9"/>
      <c r="XEN552" s="9"/>
      <c r="XEO552" s="9"/>
      <c r="XEP552" s="9"/>
      <c r="XEQ552" s="9"/>
      <c r="XER552" s="9"/>
      <c r="XES552" s="9"/>
      <c r="XET552" s="9"/>
      <c r="XEU552" s="9"/>
      <c r="XEV552" s="9"/>
      <c r="XEW552" s="9"/>
      <c r="XEX552" s="9"/>
      <c r="XEY552" s="9"/>
      <c r="XEZ552" s="9"/>
      <c r="XFA552" s="9"/>
      <c r="XFB552" s="9"/>
      <c r="XFC552" s="9"/>
      <c r="XFD552" s="9"/>
    </row>
    <row r="553" spans="1:8 16325:16384" s="3" customFormat="1" ht="19.95" customHeight="1">
      <c r="A553" s="6" t="str">
        <f t="shared" si="22"/>
        <v>040023</v>
      </c>
      <c r="B553" s="6" t="s">
        <v>27</v>
      </c>
      <c r="C553" s="6" t="s">
        <v>28</v>
      </c>
      <c r="D553" s="6" t="str">
        <f>"512417910"</f>
        <v>512417910</v>
      </c>
      <c r="E553" s="7">
        <v>68.5</v>
      </c>
      <c r="F553" s="7">
        <v>71.5</v>
      </c>
      <c r="G553" s="7"/>
      <c r="H553" s="7">
        <v>69.7</v>
      </c>
      <c r="XCW553" s="9"/>
      <c r="XCX553" s="9"/>
      <c r="XCY553" s="9"/>
      <c r="XCZ553" s="9"/>
      <c r="XDA553" s="9"/>
      <c r="XDB553" s="9"/>
      <c r="XDC553" s="9"/>
      <c r="XDD553" s="9"/>
      <c r="XDE553" s="9"/>
      <c r="XDF553" s="9"/>
      <c r="XDG553" s="9"/>
      <c r="XDH553" s="9"/>
      <c r="XDI553" s="9"/>
      <c r="XDJ553" s="9"/>
      <c r="XDK553" s="9"/>
      <c r="XDL553" s="9"/>
      <c r="XDM553" s="9"/>
      <c r="XDN553" s="9"/>
      <c r="XDO553" s="9"/>
      <c r="XDP553" s="9"/>
      <c r="XDQ553" s="9"/>
      <c r="XDR553" s="9"/>
      <c r="XDS553" s="9"/>
      <c r="XDT553" s="9"/>
      <c r="XDU553" s="9"/>
      <c r="XDV553" s="9"/>
      <c r="XDW553" s="9"/>
      <c r="XDX553" s="9"/>
      <c r="XDY553" s="9"/>
      <c r="XDZ553" s="9"/>
      <c r="XEA553" s="9"/>
      <c r="XEB553" s="9"/>
      <c r="XEC553" s="9"/>
      <c r="XED553" s="9"/>
      <c r="XEE553" s="9"/>
      <c r="XEF553" s="9"/>
      <c r="XEG553" s="9"/>
      <c r="XEH553" s="9"/>
      <c r="XEI553" s="9"/>
      <c r="XEJ553" s="9"/>
      <c r="XEK553" s="9"/>
      <c r="XEL553" s="9"/>
      <c r="XEM553" s="9"/>
      <c r="XEN553" s="9"/>
      <c r="XEO553" s="9"/>
      <c r="XEP553" s="9"/>
      <c r="XEQ553" s="9"/>
      <c r="XER553" s="9"/>
      <c r="XES553" s="9"/>
      <c r="XET553" s="9"/>
      <c r="XEU553" s="9"/>
      <c r="XEV553" s="9"/>
      <c r="XEW553" s="9"/>
      <c r="XEX553" s="9"/>
      <c r="XEY553" s="9"/>
      <c r="XEZ553" s="9"/>
      <c r="XFA553" s="9"/>
      <c r="XFB553" s="9"/>
      <c r="XFC553" s="9"/>
      <c r="XFD553" s="9"/>
    </row>
    <row r="554" spans="1:8 16325:16384" s="3" customFormat="1" ht="19.95" customHeight="1">
      <c r="A554" s="6" t="str">
        <f t="shared" si="22"/>
        <v>040023</v>
      </c>
      <c r="B554" s="6" t="s">
        <v>27</v>
      </c>
      <c r="C554" s="6" t="s">
        <v>28</v>
      </c>
      <c r="D554" s="6" t="str">
        <f>"512418013"</f>
        <v>512418013</v>
      </c>
      <c r="E554" s="7">
        <v>0</v>
      </c>
      <c r="F554" s="7">
        <v>0</v>
      </c>
      <c r="G554" s="7"/>
      <c r="H554" s="7">
        <v>0</v>
      </c>
      <c r="XCW554" s="9"/>
      <c r="XCX554" s="9"/>
      <c r="XCY554" s="9"/>
      <c r="XCZ554" s="9"/>
      <c r="XDA554" s="9"/>
      <c r="XDB554" s="9"/>
      <c r="XDC554" s="9"/>
      <c r="XDD554" s="9"/>
      <c r="XDE554" s="9"/>
      <c r="XDF554" s="9"/>
      <c r="XDG554" s="9"/>
      <c r="XDH554" s="9"/>
      <c r="XDI554" s="9"/>
      <c r="XDJ554" s="9"/>
      <c r="XDK554" s="9"/>
      <c r="XDL554" s="9"/>
      <c r="XDM554" s="9"/>
      <c r="XDN554" s="9"/>
      <c r="XDO554" s="9"/>
      <c r="XDP554" s="9"/>
      <c r="XDQ554" s="9"/>
      <c r="XDR554" s="9"/>
      <c r="XDS554" s="9"/>
      <c r="XDT554" s="9"/>
      <c r="XDU554" s="9"/>
      <c r="XDV554" s="9"/>
      <c r="XDW554" s="9"/>
      <c r="XDX554" s="9"/>
      <c r="XDY554" s="9"/>
      <c r="XDZ554" s="9"/>
      <c r="XEA554" s="9"/>
      <c r="XEB554" s="9"/>
      <c r="XEC554" s="9"/>
      <c r="XED554" s="9"/>
      <c r="XEE554" s="9"/>
      <c r="XEF554" s="9"/>
      <c r="XEG554" s="9"/>
      <c r="XEH554" s="9"/>
      <c r="XEI554" s="9"/>
      <c r="XEJ554" s="9"/>
      <c r="XEK554" s="9"/>
      <c r="XEL554" s="9"/>
      <c r="XEM554" s="9"/>
      <c r="XEN554" s="9"/>
      <c r="XEO554" s="9"/>
      <c r="XEP554" s="9"/>
      <c r="XEQ554" s="9"/>
      <c r="XER554" s="9"/>
      <c r="XES554" s="9"/>
      <c r="XET554" s="9"/>
      <c r="XEU554" s="9"/>
      <c r="XEV554" s="9"/>
      <c r="XEW554" s="9"/>
      <c r="XEX554" s="9"/>
      <c r="XEY554" s="9"/>
      <c r="XEZ554" s="9"/>
      <c r="XFA554" s="9"/>
      <c r="XFB554" s="9"/>
      <c r="XFC554" s="9"/>
      <c r="XFD554" s="9"/>
    </row>
    <row r="555" spans="1:8 16325:16384" s="3" customFormat="1" ht="19.95" customHeight="1">
      <c r="A555" s="6" t="str">
        <f t="shared" si="22"/>
        <v>040023</v>
      </c>
      <c r="B555" s="6" t="s">
        <v>27</v>
      </c>
      <c r="C555" s="6" t="s">
        <v>28</v>
      </c>
      <c r="D555" s="6" t="str">
        <f>"512417916"</f>
        <v>512417916</v>
      </c>
      <c r="E555" s="7">
        <v>73</v>
      </c>
      <c r="F555" s="7">
        <v>67.5</v>
      </c>
      <c r="G555" s="7"/>
      <c r="H555" s="7">
        <v>70.8</v>
      </c>
      <c r="XCW555" s="9"/>
      <c r="XCX555" s="9"/>
      <c r="XCY555" s="9"/>
      <c r="XCZ555" s="9"/>
      <c r="XDA555" s="9"/>
      <c r="XDB555" s="9"/>
      <c r="XDC555" s="9"/>
      <c r="XDD555" s="9"/>
      <c r="XDE555" s="9"/>
      <c r="XDF555" s="9"/>
      <c r="XDG555" s="9"/>
      <c r="XDH555" s="9"/>
      <c r="XDI555" s="9"/>
      <c r="XDJ555" s="9"/>
      <c r="XDK555" s="9"/>
      <c r="XDL555" s="9"/>
      <c r="XDM555" s="9"/>
      <c r="XDN555" s="9"/>
      <c r="XDO555" s="9"/>
      <c r="XDP555" s="9"/>
      <c r="XDQ555" s="9"/>
      <c r="XDR555" s="9"/>
      <c r="XDS555" s="9"/>
      <c r="XDT555" s="9"/>
      <c r="XDU555" s="9"/>
      <c r="XDV555" s="9"/>
      <c r="XDW555" s="9"/>
      <c r="XDX555" s="9"/>
      <c r="XDY555" s="9"/>
      <c r="XDZ555" s="9"/>
      <c r="XEA555" s="9"/>
      <c r="XEB555" s="9"/>
      <c r="XEC555" s="9"/>
      <c r="XED555" s="9"/>
      <c r="XEE555" s="9"/>
      <c r="XEF555" s="9"/>
      <c r="XEG555" s="9"/>
      <c r="XEH555" s="9"/>
      <c r="XEI555" s="9"/>
      <c r="XEJ555" s="9"/>
      <c r="XEK555" s="9"/>
      <c r="XEL555" s="9"/>
      <c r="XEM555" s="9"/>
      <c r="XEN555" s="9"/>
      <c r="XEO555" s="9"/>
      <c r="XEP555" s="9"/>
      <c r="XEQ555" s="9"/>
      <c r="XER555" s="9"/>
      <c r="XES555" s="9"/>
      <c r="XET555" s="9"/>
      <c r="XEU555" s="9"/>
      <c r="XEV555" s="9"/>
      <c r="XEW555" s="9"/>
      <c r="XEX555" s="9"/>
      <c r="XEY555" s="9"/>
      <c r="XEZ555" s="9"/>
      <c r="XFA555" s="9"/>
      <c r="XFB555" s="9"/>
      <c r="XFC555" s="9"/>
      <c r="XFD555" s="9"/>
    </row>
    <row r="556" spans="1:8 16325:16384" s="3" customFormat="1" ht="19.95" customHeight="1">
      <c r="A556" s="6" t="str">
        <f t="shared" si="22"/>
        <v>040023</v>
      </c>
      <c r="B556" s="6" t="s">
        <v>27</v>
      </c>
      <c r="C556" s="6" t="s">
        <v>28</v>
      </c>
      <c r="D556" s="6" t="str">
        <f>"512418010"</f>
        <v>512418010</v>
      </c>
      <c r="E556" s="7">
        <v>81.5</v>
      </c>
      <c r="F556" s="7">
        <v>73</v>
      </c>
      <c r="G556" s="7"/>
      <c r="H556" s="7">
        <v>78.099999999999994</v>
      </c>
      <c r="XCW556" s="9"/>
      <c r="XCX556" s="9"/>
      <c r="XCY556" s="9"/>
      <c r="XCZ556" s="9"/>
      <c r="XDA556" s="9"/>
      <c r="XDB556" s="9"/>
      <c r="XDC556" s="9"/>
      <c r="XDD556" s="9"/>
      <c r="XDE556" s="9"/>
      <c r="XDF556" s="9"/>
      <c r="XDG556" s="9"/>
      <c r="XDH556" s="9"/>
      <c r="XDI556" s="9"/>
      <c r="XDJ556" s="9"/>
      <c r="XDK556" s="9"/>
      <c r="XDL556" s="9"/>
      <c r="XDM556" s="9"/>
      <c r="XDN556" s="9"/>
      <c r="XDO556" s="9"/>
      <c r="XDP556" s="9"/>
      <c r="XDQ556" s="9"/>
      <c r="XDR556" s="9"/>
      <c r="XDS556" s="9"/>
      <c r="XDT556" s="9"/>
      <c r="XDU556" s="9"/>
      <c r="XDV556" s="9"/>
      <c r="XDW556" s="9"/>
      <c r="XDX556" s="9"/>
      <c r="XDY556" s="9"/>
      <c r="XDZ556" s="9"/>
      <c r="XEA556" s="9"/>
      <c r="XEB556" s="9"/>
      <c r="XEC556" s="9"/>
      <c r="XED556" s="9"/>
      <c r="XEE556" s="9"/>
      <c r="XEF556" s="9"/>
      <c r="XEG556" s="9"/>
      <c r="XEH556" s="9"/>
      <c r="XEI556" s="9"/>
      <c r="XEJ556" s="9"/>
      <c r="XEK556" s="9"/>
      <c r="XEL556" s="9"/>
      <c r="XEM556" s="9"/>
      <c r="XEN556" s="9"/>
      <c r="XEO556" s="9"/>
      <c r="XEP556" s="9"/>
      <c r="XEQ556" s="9"/>
      <c r="XER556" s="9"/>
      <c r="XES556" s="9"/>
      <c r="XET556" s="9"/>
      <c r="XEU556" s="9"/>
      <c r="XEV556" s="9"/>
      <c r="XEW556" s="9"/>
      <c r="XEX556" s="9"/>
      <c r="XEY556" s="9"/>
      <c r="XEZ556" s="9"/>
      <c r="XFA556" s="9"/>
      <c r="XFB556" s="9"/>
      <c r="XFC556" s="9"/>
      <c r="XFD556" s="9"/>
    </row>
    <row r="557" spans="1:8 16325:16384" s="3" customFormat="1" ht="19.95" customHeight="1">
      <c r="A557" s="6" t="str">
        <f t="shared" si="22"/>
        <v>040023</v>
      </c>
      <c r="B557" s="6" t="s">
        <v>27</v>
      </c>
      <c r="C557" s="6" t="s">
        <v>28</v>
      </c>
      <c r="D557" s="6" t="str">
        <f>"512417930"</f>
        <v>512417930</v>
      </c>
      <c r="E557" s="7">
        <v>69.5</v>
      </c>
      <c r="F557" s="7">
        <v>73.5</v>
      </c>
      <c r="G557" s="7"/>
      <c r="H557" s="7">
        <v>71.099999999999994</v>
      </c>
      <c r="XCW557" s="9"/>
      <c r="XCX557" s="9"/>
      <c r="XCY557" s="9"/>
      <c r="XCZ557" s="9"/>
      <c r="XDA557" s="9"/>
      <c r="XDB557" s="9"/>
      <c r="XDC557" s="9"/>
      <c r="XDD557" s="9"/>
      <c r="XDE557" s="9"/>
      <c r="XDF557" s="9"/>
      <c r="XDG557" s="9"/>
      <c r="XDH557" s="9"/>
      <c r="XDI557" s="9"/>
      <c r="XDJ557" s="9"/>
      <c r="XDK557" s="9"/>
      <c r="XDL557" s="9"/>
      <c r="XDM557" s="9"/>
      <c r="XDN557" s="9"/>
      <c r="XDO557" s="9"/>
      <c r="XDP557" s="9"/>
      <c r="XDQ557" s="9"/>
      <c r="XDR557" s="9"/>
      <c r="XDS557" s="9"/>
      <c r="XDT557" s="9"/>
      <c r="XDU557" s="9"/>
      <c r="XDV557" s="9"/>
      <c r="XDW557" s="9"/>
      <c r="XDX557" s="9"/>
      <c r="XDY557" s="9"/>
      <c r="XDZ557" s="9"/>
      <c r="XEA557" s="9"/>
      <c r="XEB557" s="9"/>
      <c r="XEC557" s="9"/>
      <c r="XED557" s="9"/>
      <c r="XEE557" s="9"/>
      <c r="XEF557" s="9"/>
      <c r="XEG557" s="9"/>
      <c r="XEH557" s="9"/>
      <c r="XEI557" s="9"/>
      <c r="XEJ557" s="9"/>
      <c r="XEK557" s="9"/>
      <c r="XEL557" s="9"/>
      <c r="XEM557" s="9"/>
      <c r="XEN557" s="9"/>
      <c r="XEO557" s="9"/>
      <c r="XEP557" s="9"/>
      <c r="XEQ557" s="9"/>
      <c r="XER557" s="9"/>
      <c r="XES557" s="9"/>
      <c r="XET557" s="9"/>
      <c r="XEU557" s="9"/>
      <c r="XEV557" s="9"/>
      <c r="XEW557" s="9"/>
      <c r="XEX557" s="9"/>
      <c r="XEY557" s="9"/>
      <c r="XEZ557" s="9"/>
      <c r="XFA557" s="9"/>
      <c r="XFB557" s="9"/>
      <c r="XFC557" s="9"/>
      <c r="XFD557" s="9"/>
    </row>
    <row r="558" spans="1:8 16325:16384" s="3" customFormat="1" ht="19.95" customHeight="1">
      <c r="A558" s="6" t="str">
        <f t="shared" si="22"/>
        <v>040023</v>
      </c>
      <c r="B558" s="6" t="s">
        <v>27</v>
      </c>
      <c r="C558" s="6" t="s">
        <v>28</v>
      </c>
      <c r="D558" s="6" t="str">
        <f>"512417918"</f>
        <v>512417918</v>
      </c>
      <c r="E558" s="7">
        <v>0</v>
      </c>
      <c r="F558" s="7">
        <v>0</v>
      </c>
      <c r="G558" s="7"/>
      <c r="H558" s="7">
        <v>0</v>
      </c>
      <c r="XCW558" s="9"/>
      <c r="XCX558" s="9"/>
      <c r="XCY558" s="9"/>
      <c r="XCZ558" s="9"/>
      <c r="XDA558" s="9"/>
      <c r="XDB558" s="9"/>
      <c r="XDC558" s="9"/>
      <c r="XDD558" s="9"/>
      <c r="XDE558" s="9"/>
      <c r="XDF558" s="9"/>
      <c r="XDG558" s="9"/>
      <c r="XDH558" s="9"/>
      <c r="XDI558" s="9"/>
      <c r="XDJ558" s="9"/>
      <c r="XDK558" s="9"/>
      <c r="XDL558" s="9"/>
      <c r="XDM558" s="9"/>
      <c r="XDN558" s="9"/>
      <c r="XDO558" s="9"/>
      <c r="XDP558" s="9"/>
      <c r="XDQ558" s="9"/>
      <c r="XDR558" s="9"/>
      <c r="XDS558" s="9"/>
      <c r="XDT558" s="9"/>
      <c r="XDU558" s="9"/>
      <c r="XDV558" s="9"/>
      <c r="XDW558" s="9"/>
      <c r="XDX558" s="9"/>
      <c r="XDY558" s="9"/>
      <c r="XDZ558" s="9"/>
      <c r="XEA558" s="9"/>
      <c r="XEB558" s="9"/>
      <c r="XEC558" s="9"/>
      <c r="XED558" s="9"/>
      <c r="XEE558" s="9"/>
      <c r="XEF558" s="9"/>
      <c r="XEG558" s="9"/>
      <c r="XEH558" s="9"/>
      <c r="XEI558" s="9"/>
      <c r="XEJ558" s="9"/>
      <c r="XEK558" s="9"/>
      <c r="XEL558" s="9"/>
      <c r="XEM558" s="9"/>
      <c r="XEN558" s="9"/>
      <c r="XEO558" s="9"/>
      <c r="XEP558" s="9"/>
      <c r="XEQ558" s="9"/>
      <c r="XER558" s="9"/>
      <c r="XES558" s="9"/>
      <c r="XET558" s="9"/>
      <c r="XEU558" s="9"/>
      <c r="XEV558" s="9"/>
      <c r="XEW558" s="9"/>
      <c r="XEX558" s="9"/>
      <c r="XEY558" s="9"/>
      <c r="XEZ558" s="9"/>
      <c r="XFA558" s="9"/>
      <c r="XFB558" s="9"/>
      <c r="XFC558" s="9"/>
      <c r="XFD558" s="9"/>
    </row>
    <row r="559" spans="1:8 16325:16384" s="3" customFormat="1" ht="19.95" customHeight="1">
      <c r="A559" s="6" t="str">
        <f t="shared" si="22"/>
        <v>040023</v>
      </c>
      <c r="B559" s="6" t="s">
        <v>27</v>
      </c>
      <c r="C559" s="6" t="s">
        <v>28</v>
      </c>
      <c r="D559" s="6" t="str">
        <f>"512418014"</f>
        <v>512418014</v>
      </c>
      <c r="E559" s="7">
        <v>66</v>
      </c>
      <c r="F559" s="7">
        <v>67</v>
      </c>
      <c r="G559" s="7"/>
      <c r="H559" s="7">
        <v>66.400000000000006</v>
      </c>
      <c r="XCW559" s="9"/>
      <c r="XCX559" s="9"/>
      <c r="XCY559" s="9"/>
      <c r="XCZ559" s="9"/>
      <c r="XDA559" s="9"/>
      <c r="XDB559" s="9"/>
      <c r="XDC559" s="9"/>
      <c r="XDD559" s="9"/>
      <c r="XDE559" s="9"/>
      <c r="XDF559" s="9"/>
      <c r="XDG559" s="9"/>
      <c r="XDH559" s="9"/>
      <c r="XDI559" s="9"/>
      <c r="XDJ559" s="9"/>
      <c r="XDK559" s="9"/>
      <c r="XDL559" s="9"/>
      <c r="XDM559" s="9"/>
      <c r="XDN559" s="9"/>
      <c r="XDO559" s="9"/>
      <c r="XDP559" s="9"/>
      <c r="XDQ559" s="9"/>
      <c r="XDR559" s="9"/>
      <c r="XDS559" s="9"/>
      <c r="XDT559" s="9"/>
      <c r="XDU559" s="9"/>
      <c r="XDV559" s="9"/>
      <c r="XDW559" s="9"/>
      <c r="XDX559" s="9"/>
      <c r="XDY559" s="9"/>
      <c r="XDZ559" s="9"/>
      <c r="XEA559" s="9"/>
      <c r="XEB559" s="9"/>
      <c r="XEC559" s="9"/>
      <c r="XED559" s="9"/>
      <c r="XEE559" s="9"/>
      <c r="XEF559" s="9"/>
      <c r="XEG559" s="9"/>
      <c r="XEH559" s="9"/>
      <c r="XEI559" s="9"/>
      <c r="XEJ559" s="9"/>
      <c r="XEK559" s="9"/>
      <c r="XEL559" s="9"/>
      <c r="XEM559" s="9"/>
      <c r="XEN559" s="9"/>
      <c r="XEO559" s="9"/>
      <c r="XEP559" s="9"/>
      <c r="XEQ559" s="9"/>
      <c r="XER559" s="9"/>
      <c r="XES559" s="9"/>
      <c r="XET559" s="9"/>
      <c r="XEU559" s="9"/>
      <c r="XEV559" s="9"/>
      <c r="XEW559" s="9"/>
      <c r="XEX559" s="9"/>
      <c r="XEY559" s="9"/>
      <c r="XEZ559" s="9"/>
      <c r="XFA559" s="9"/>
      <c r="XFB559" s="9"/>
      <c r="XFC559" s="9"/>
      <c r="XFD559" s="9"/>
    </row>
    <row r="560" spans="1:8 16325:16384" s="3" customFormat="1" ht="19.95" customHeight="1">
      <c r="A560" s="6" t="str">
        <f t="shared" si="22"/>
        <v>040023</v>
      </c>
      <c r="B560" s="6" t="s">
        <v>27</v>
      </c>
      <c r="C560" s="6" t="s">
        <v>28</v>
      </c>
      <c r="D560" s="6" t="str">
        <f>"512418015"</f>
        <v>512418015</v>
      </c>
      <c r="E560" s="7">
        <v>69.5</v>
      </c>
      <c r="F560" s="7">
        <v>72</v>
      </c>
      <c r="G560" s="7"/>
      <c r="H560" s="7">
        <v>70.5</v>
      </c>
      <c r="XCW560" s="9"/>
      <c r="XCX560" s="9"/>
      <c r="XCY560" s="9"/>
      <c r="XCZ560" s="9"/>
      <c r="XDA560" s="9"/>
      <c r="XDB560" s="9"/>
      <c r="XDC560" s="9"/>
      <c r="XDD560" s="9"/>
      <c r="XDE560" s="9"/>
      <c r="XDF560" s="9"/>
      <c r="XDG560" s="9"/>
      <c r="XDH560" s="9"/>
      <c r="XDI560" s="9"/>
      <c r="XDJ560" s="9"/>
      <c r="XDK560" s="9"/>
      <c r="XDL560" s="9"/>
      <c r="XDM560" s="9"/>
      <c r="XDN560" s="9"/>
      <c r="XDO560" s="9"/>
      <c r="XDP560" s="9"/>
      <c r="XDQ560" s="9"/>
      <c r="XDR560" s="9"/>
      <c r="XDS560" s="9"/>
      <c r="XDT560" s="9"/>
      <c r="XDU560" s="9"/>
      <c r="XDV560" s="9"/>
      <c r="XDW560" s="9"/>
      <c r="XDX560" s="9"/>
      <c r="XDY560" s="9"/>
      <c r="XDZ560" s="9"/>
      <c r="XEA560" s="9"/>
      <c r="XEB560" s="9"/>
      <c r="XEC560" s="9"/>
      <c r="XED560" s="9"/>
      <c r="XEE560" s="9"/>
      <c r="XEF560" s="9"/>
      <c r="XEG560" s="9"/>
      <c r="XEH560" s="9"/>
      <c r="XEI560" s="9"/>
      <c r="XEJ560" s="9"/>
      <c r="XEK560" s="9"/>
      <c r="XEL560" s="9"/>
      <c r="XEM560" s="9"/>
      <c r="XEN560" s="9"/>
      <c r="XEO560" s="9"/>
      <c r="XEP560" s="9"/>
      <c r="XEQ560" s="9"/>
      <c r="XER560" s="9"/>
      <c r="XES560" s="9"/>
      <c r="XET560" s="9"/>
      <c r="XEU560" s="9"/>
      <c r="XEV560" s="9"/>
      <c r="XEW560" s="9"/>
      <c r="XEX560" s="9"/>
      <c r="XEY560" s="9"/>
      <c r="XEZ560" s="9"/>
      <c r="XFA560" s="9"/>
      <c r="XFB560" s="9"/>
      <c r="XFC560" s="9"/>
      <c r="XFD560" s="9"/>
    </row>
    <row r="561" spans="1:8 16325:16384" s="3" customFormat="1" ht="19.95" customHeight="1">
      <c r="A561" s="6" t="str">
        <f t="shared" si="22"/>
        <v>040023</v>
      </c>
      <c r="B561" s="6" t="s">
        <v>27</v>
      </c>
      <c r="C561" s="6" t="s">
        <v>28</v>
      </c>
      <c r="D561" s="6" t="str">
        <f>"512417925"</f>
        <v>512417925</v>
      </c>
      <c r="E561" s="7">
        <v>71.5</v>
      </c>
      <c r="F561" s="7">
        <v>0</v>
      </c>
      <c r="G561" s="7"/>
      <c r="H561" s="7">
        <v>42.9</v>
      </c>
      <c r="XCW561" s="9"/>
      <c r="XCX561" s="9"/>
      <c r="XCY561" s="9"/>
      <c r="XCZ561" s="9"/>
      <c r="XDA561" s="9"/>
      <c r="XDB561" s="9"/>
      <c r="XDC561" s="9"/>
      <c r="XDD561" s="9"/>
      <c r="XDE561" s="9"/>
      <c r="XDF561" s="9"/>
      <c r="XDG561" s="9"/>
      <c r="XDH561" s="9"/>
      <c r="XDI561" s="9"/>
      <c r="XDJ561" s="9"/>
      <c r="XDK561" s="9"/>
      <c r="XDL561" s="9"/>
      <c r="XDM561" s="9"/>
      <c r="XDN561" s="9"/>
      <c r="XDO561" s="9"/>
      <c r="XDP561" s="9"/>
      <c r="XDQ561" s="9"/>
      <c r="XDR561" s="9"/>
      <c r="XDS561" s="9"/>
      <c r="XDT561" s="9"/>
      <c r="XDU561" s="9"/>
      <c r="XDV561" s="9"/>
      <c r="XDW561" s="9"/>
      <c r="XDX561" s="9"/>
      <c r="XDY561" s="9"/>
      <c r="XDZ561" s="9"/>
      <c r="XEA561" s="9"/>
      <c r="XEB561" s="9"/>
      <c r="XEC561" s="9"/>
      <c r="XED561" s="9"/>
      <c r="XEE561" s="9"/>
      <c r="XEF561" s="9"/>
      <c r="XEG561" s="9"/>
      <c r="XEH561" s="9"/>
      <c r="XEI561" s="9"/>
      <c r="XEJ561" s="9"/>
      <c r="XEK561" s="9"/>
      <c r="XEL561" s="9"/>
      <c r="XEM561" s="9"/>
      <c r="XEN561" s="9"/>
      <c r="XEO561" s="9"/>
      <c r="XEP561" s="9"/>
      <c r="XEQ561" s="9"/>
      <c r="XER561" s="9"/>
      <c r="XES561" s="9"/>
      <c r="XET561" s="9"/>
      <c r="XEU561" s="9"/>
      <c r="XEV561" s="9"/>
      <c r="XEW561" s="9"/>
      <c r="XEX561" s="9"/>
      <c r="XEY561" s="9"/>
      <c r="XEZ561" s="9"/>
      <c r="XFA561" s="9"/>
      <c r="XFB561" s="9"/>
      <c r="XFC561" s="9"/>
      <c r="XFD561" s="9"/>
    </row>
    <row r="562" spans="1:8 16325:16384" s="3" customFormat="1" ht="19.95" customHeight="1">
      <c r="A562" s="6" t="str">
        <f t="shared" si="22"/>
        <v>040023</v>
      </c>
      <c r="B562" s="6" t="s">
        <v>27</v>
      </c>
      <c r="C562" s="6" t="s">
        <v>28</v>
      </c>
      <c r="D562" s="6" t="str">
        <f>"512418003"</f>
        <v>512418003</v>
      </c>
      <c r="E562" s="7">
        <v>74</v>
      </c>
      <c r="F562" s="7">
        <v>52.5</v>
      </c>
      <c r="G562" s="7"/>
      <c r="H562" s="7">
        <v>65.400000000000006</v>
      </c>
      <c r="XCW562" s="9"/>
      <c r="XCX562" s="9"/>
      <c r="XCY562" s="9"/>
      <c r="XCZ562" s="9"/>
      <c r="XDA562" s="9"/>
      <c r="XDB562" s="9"/>
      <c r="XDC562" s="9"/>
      <c r="XDD562" s="9"/>
      <c r="XDE562" s="9"/>
      <c r="XDF562" s="9"/>
      <c r="XDG562" s="9"/>
      <c r="XDH562" s="9"/>
      <c r="XDI562" s="9"/>
      <c r="XDJ562" s="9"/>
      <c r="XDK562" s="9"/>
      <c r="XDL562" s="9"/>
      <c r="XDM562" s="9"/>
      <c r="XDN562" s="9"/>
      <c r="XDO562" s="9"/>
      <c r="XDP562" s="9"/>
      <c r="XDQ562" s="9"/>
      <c r="XDR562" s="9"/>
      <c r="XDS562" s="9"/>
      <c r="XDT562" s="9"/>
      <c r="XDU562" s="9"/>
      <c r="XDV562" s="9"/>
      <c r="XDW562" s="9"/>
      <c r="XDX562" s="9"/>
      <c r="XDY562" s="9"/>
      <c r="XDZ562" s="9"/>
      <c r="XEA562" s="9"/>
      <c r="XEB562" s="9"/>
      <c r="XEC562" s="9"/>
      <c r="XED562" s="9"/>
      <c r="XEE562" s="9"/>
      <c r="XEF562" s="9"/>
      <c r="XEG562" s="9"/>
      <c r="XEH562" s="9"/>
      <c r="XEI562" s="9"/>
      <c r="XEJ562" s="9"/>
      <c r="XEK562" s="9"/>
      <c r="XEL562" s="9"/>
      <c r="XEM562" s="9"/>
      <c r="XEN562" s="9"/>
      <c r="XEO562" s="9"/>
      <c r="XEP562" s="9"/>
      <c r="XEQ562" s="9"/>
      <c r="XER562" s="9"/>
      <c r="XES562" s="9"/>
      <c r="XET562" s="9"/>
      <c r="XEU562" s="9"/>
      <c r="XEV562" s="9"/>
      <c r="XEW562" s="9"/>
      <c r="XEX562" s="9"/>
      <c r="XEY562" s="9"/>
      <c r="XEZ562" s="9"/>
      <c r="XFA562" s="9"/>
      <c r="XFB562" s="9"/>
      <c r="XFC562" s="9"/>
      <c r="XFD562" s="9"/>
    </row>
    <row r="563" spans="1:8 16325:16384" s="3" customFormat="1" ht="19.95" customHeight="1">
      <c r="A563" s="6" t="str">
        <f t="shared" si="22"/>
        <v>040023</v>
      </c>
      <c r="B563" s="6" t="s">
        <v>27</v>
      </c>
      <c r="C563" s="6" t="s">
        <v>28</v>
      </c>
      <c r="D563" s="6" t="str">
        <f>"512417921"</f>
        <v>512417921</v>
      </c>
      <c r="E563" s="7">
        <v>72</v>
      </c>
      <c r="F563" s="7">
        <v>77</v>
      </c>
      <c r="G563" s="7"/>
      <c r="H563" s="7">
        <v>74</v>
      </c>
      <c r="XCW563" s="9"/>
      <c r="XCX563" s="9"/>
      <c r="XCY563" s="9"/>
      <c r="XCZ563" s="9"/>
      <c r="XDA563" s="9"/>
      <c r="XDB563" s="9"/>
      <c r="XDC563" s="9"/>
      <c r="XDD563" s="9"/>
      <c r="XDE563" s="9"/>
      <c r="XDF563" s="9"/>
      <c r="XDG563" s="9"/>
      <c r="XDH563" s="9"/>
      <c r="XDI563" s="9"/>
      <c r="XDJ563" s="9"/>
      <c r="XDK563" s="9"/>
      <c r="XDL563" s="9"/>
      <c r="XDM563" s="9"/>
      <c r="XDN563" s="9"/>
      <c r="XDO563" s="9"/>
      <c r="XDP563" s="9"/>
      <c r="XDQ563" s="9"/>
      <c r="XDR563" s="9"/>
      <c r="XDS563" s="9"/>
      <c r="XDT563" s="9"/>
      <c r="XDU563" s="9"/>
      <c r="XDV563" s="9"/>
      <c r="XDW563" s="9"/>
      <c r="XDX563" s="9"/>
      <c r="XDY563" s="9"/>
      <c r="XDZ563" s="9"/>
      <c r="XEA563" s="9"/>
      <c r="XEB563" s="9"/>
      <c r="XEC563" s="9"/>
      <c r="XED563" s="9"/>
      <c r="XEE563" s="9"/>
      <c r="XEF563" s="9"/>
      <c r="XEG563" s="9"/>
      <c r="XEH563" s="9"/>
      <c r="XEI563" s="9"/>
      <c r="XEJ563" s="9"/>
      <c r="XEK563" s="9"/>
      <c r="XEL563" s="9"/>
      <c r="XEM563" s="9"/>
      <c r="XEN563" s="9"/>
      <c r="XEO563" s="9"/>
      <c r="XEP563" s="9"/>
      <c r="XEQ563" s="9"/>
      <c r="XER563" s="9"/>
      <c r="XES563" s="9"/>
      <c r="XET563" s="9"/>
      <c r="XEU563" s="9"/>
      <c r="XEV563" s="9"/>
      <c r="XEW563" s="9"/>
      <c r="XEX563" s="9"/>
      <c r="XEY563" s="9"/>
      <c r="XEZ563" s="9"/>
      <c r="XFA563" s="9"/>
      <c r="XFB563" s="9"/>
      <c r="XFC563" s="9"/>
      <c r="XFD563" s="9"/>
    </row>
    <row r="564" spans="1:8 16325:16384" s="3" customFormat="1" ht="19.95" customHeight="1">
      <c r="A564" s="6" t="str">
        <f t="shared" si="22"/>
        <v>040023</v>
      </c>
      <c r="B564" s="6" t="s">
        <v>27</v>
      </c>
      <c r="C564" s="6" t="s">
        <v>28</v>
      </c>
      <c r="D564" s="6" t="str">
        <f>"512417919"</f>
        <v>512417919</v>
      </c>
      <c r="E564" s="7">
        <v>66.5</v>
      </c>
      <c r="F564" s="7">
        <v>69.5</v>
      </c>
      <c r="G564" s="7"/>
      <c r="H564" s="7">
        <v>67.7</v>
      </c>
      <c r="XCW564" s="9"/>
      <c r="XCX564" s="9"/>
      <c r="XCY564" s="9"/>
      <c r="XCZ564" s="9"/>
      <c r="XDA564" s="9"/>
      <c r="XDB564" s="9"/>
      <c r="XDC564" s="9"/>
      <c r="XDD564" s="9"/>
      <c r="XDE564" s="9"/>
      <c r="XDF564" s="9"/>
      <c r="XDG564" s="9"/>
      <c r="XDH564" s="9"/>
      <c r="XDI564" s="9"/>
      <c r="XDJ564" s="9"/>
      <c r="XDK564" s="9"/>
      <c r="XDL564" s="9"/>
      <c r="XDM564" s="9"/>
      <c r="XDN564" s="9"/>
      <c r="XDO564" s="9"/>
      <c r="XDP564" s="9"/>
      <c r="XDQ564" s="9"/>
      <c r="XDR564" s="9"/>
      <c r="XDS564" s="9"/>
      <c r="XDT564" s="9"/>
      <c r="XDU564" s="9"/>
      <c r="XDV564" s="9"/>
      <c r="XDW564" s="9"/>
      <c r="XDX564" s="9"/>
      <c r="XDY564" s="9"/>
      <c r="XDZ564" s="9"/>
      <c r="XEA564" s="9"/>
      <c r="XEB564" s="9"/>
      <c r="XEC564" s="9"/>
      <c r="XED564" s="9"/>
      <c r="XEE564" s="9"/>
      <c r="XEF564" s="9"/>
      <c r="XEG564" s="9"/>
      <c r="XEH564" s="9"/>
      <c r="XEI564" s="9"/>
      <c r="XEJ564" s="9"/>
      <c r="XEK564" s="9"/>
      <c r="XEL564" s="9"/>
      <c r="XEM564" s="9"/>
      <c r="XEN564" s="9"/>
      <c r="XEO564" s="9"/>
      <c r="XEP564" s="9"/>
      <c r="XEQ564" s="9"/>
      <c r="XER564" s="9"/>
      <c r="XES564" s="9"/>
      <c r="XET564" s="9"/>
      <c r="XEU564" s="9"/>
      <c r="XEV564" s="9"/>
      <c r="XEW564" s="9"/>
      <c r="XEX564" s="9"/>
      <c r="XEY564" s="9"/>
      <c r="XEZ564" s="9"/>
      <c r="XFA564" s="9"/>
      <c r="XFB564" s="9"/>
      <c r="XFC564" s="9"/>
      <c r="XFD564" s="9"/>
    </row>
    <row r="565" spans="1:8 16325:16384" s="3" customFormat="1" ht="19.95" customHeight="1">
      <c r="A565" s="6" t="str">
        <f t="shared" si="22"/>
        <v>040023</v>
      </c>
      <c r="B565" s="6" t="s">
        <v>27</v>
      </c>
      <c r="C565" s="6" t="s">
        <v>28</v>
      </c>
      <c r="D565" s="6" t="str">
        <f>"512417928"</f>
        <v>512417928</v>
      </c>
      <c r="E565" s="7">
        <v>77</v>
      </c>
      <c r="F565" s="7">
        <v>69</v>
      </c>
      <c r="G565" s="7"/>
      <c r="H565" s="7">
        <v>73.8</v>
      </c>
      <c r="XCW565" s="9"/>
      <c r="XCX565" s="9"/>
      <c r="XCY565" s="9"/>
      <c r="XCZ565" s="9"/>
      <c r="XDA565" s="9"/>
      <c r="XDB565" s="9"/>
      <c r="XDC565" s="9"/>
      <c r="XDD565" s="9"/>
      <c r="XDE565" s="9"/>
      <c r="XDF565" s="9"/>
      <c r="XDG565" s="9"/>
      <c r="XDH565" s="9"/>
      <c r="XDI565" s="9"/>
      <c r="XDJ565" s="9"/>
      <c r="XDK565" s="9"/>
      <c r="XDL565" s="9"/>
      <c r="XDM565" s="9"/>
      <c r="XDN565" s="9"/>
      <c r="XDO565" s="9"/>
      <c r="XDP565" s="9"/>
      <c r="XDQ565" s="9"/>
      <c r="XDR565" s="9"/>
      <c r="XDS565" s="9"/>
      <c r="XDT565" s="9"/>
      <c r="XDU565" s="9"/>
      <c r="XDV565" s="9"/>
      <c r="XDW565" s="9"/>
      <c r="XDX565" s="9"/>
      <c r="XDY565" s="9"/>
      <c r="XDZ565" s="9"/>
      <c r="XEA565" s="9"/>
      <c r="XEB565" s="9"/>
      <c r="XEC565" s="9"/>
      <c r="XED565" s="9"/>
      <c r="XEE565" s="9"/>
      <c r="XEF565" s="9"/>
      <c r="XEG565" s="9"/>
      <c r="XEH565" s="9"/>
      <c r="XEI565" s="9"/>
      <c r="XEJ565" s="9"/>
      <c r="XEK565" s="9"/>
      <c r="XEL565" s="9"/>
      <c r="XEM565" s="9"/>
      <c r="XEN565" s="9"/>
      <c r="XEO565" s="9"/>
      <c r="XEP565" s="9"/>
      <c r="XEQ565" s="9"/>
      <c r="XER565" s="9"/>
      <c r="XES565" s="9"/>
      <c r="XET565" s="9"/>
      <c r="XEU565" s="9"/>
      <c r="XEV565" s="9"/>
      <c r="XEW565" s="9"/>
      <c r="XEX565" s="9"/>
      <c r="XEY565" s="9"/>
      <c r="XEZ565" s="9"/>
      <c r="XFA565" s="9"/>
      <c r="XFB565" s="9"/>
      <c r="XFC565" s="9"/>
      <c r="XFD565" s="9"/>
    </row>
    <row r="566" spans="1:8 16325:16384" s="3" customFormat="1" ht="19.95" customHeight="1">
      <c r="A566" s="6" t="str">
        <f t="shared" si="22"/>
        <v>040023</v>
      </c>
      <c r="B566" s="6" t="s">
        <v>27</v>
      </c>
      <c r="C566" s="6" t="s">
        <v>28</v>
      </c>
      <c r="D566" s="6" t="str">
        <f>"512418001"</f>
        <v>512418001</v>
      </c>
      <c r="E566" s="7">
        <v>81</v>
      </c>
      <c r="F566" s="7">
        <v>74</v>
      </c>
      <c r="G566" s="7"/>
      <c r="H566" s="7">
        <v>78.2</v>
      </c>
      <c r="XCW566" s="9"/>
      <c r="XCX566" s="9"/>
      <c r="XCY566" s="9"/>
      <c r="XCZ566" s="9"/>
      <c r="XDA566" s="9"/>
      <c r="XDB566" s="9"/>
      <c r="XDC566" s="9"/>
      <c r="XDD566" s="9"/>
      <c r="XDE566" s="9"/>
      <c r="XDF566" s="9"/>
      <c r="XDG566" s="9"/>
      <c r="XDH566" s="9"/>
      <c r="XDI566" s="9"/>
      <c r="XDJ566" s="9"/>
      <c r="XDK566" s="9"/>
      <c r="XDL566" s="9"/>
      <c r="XDM566" s="9"/>
      <c r="XDN566" s="9"/>
      <c r="XDO566" s="9"/>
      <c r="XDP566" s="9"/>
      <c r="XDQ566" s="9"/>
      <c r="XDR566" s="9"/>
      <c r="XDS566" s="9"/>
      <c r="XDT566" s="9"/>
      <c r="XDU566" s="9"/>
      <c r="XDV566" s="9"/>
      <c r="XDW566" s="9"/>
      <c r="XDX566" s="9"/>
      <c r="XDY566" s="9"/>
      <c r="XDZ566" s="9"/>
      <c r="XEA566" s="9"/>
      <c r="XEB566" s="9"/>
      <c r="XEC566" s="9"/>
      <c r="XED566" s="9"/>
      <c r="XEE566" s="9"/>
      <c r="XEF566" s="9"/>
      <c r="XEG566" s="9"/>
      <c r="XEH566" s="9"/>
      <c r="XEI566" s="9"/>
      <c r="XEJ566" s="9"/>
      <c r="XEK566" s="9"/>
      <c r="XEL566" s="9"/>
      <c r="XEM566" s="9"/>
      <c r="XEN566" s="9"/>
      <c r="XEO566" s="9"/>
      <c r="XEP566" s="9"/>
      <c r="XEQ566" s="9"/>
      <c r="XER566" s="9"/>
      <c r="XES566" s="9"/>
      <c r="XET566" s="9"/>
      <c r="XEU566" s="9"/>
      <c r="XEV566" s="9"/>
      <c r="XEW566" s="9"/>
      <c r="XEX566" s="9"/>
      <c r="XEY566" s="9"/>
      <c r="XEZ566" s="9"/>
      <c r="XFA566" s="9"/>
      <c r="XFB566" s="9"/>
      <c r="XFC566" s="9"/>
      <c r="XFD566" s="9"/>
    </row>
    <row r="567" spans="1:8 16325:16384" s="3" customFormat="1" ht="19.95" customHeight="1">
      <c r="A567" s="6" t="str">
        <f t="shared" si="22"/>
        <v>040023</v>
      </c>
      <c r="B567" s="6" t="s">
        <v>27</v>
      </c>
      <c r="C567" s="6" t="s">
        <v>28</v>
      </c>
      <c r="D567" s="6" t="str">
        <f>"512418019"</f>
        <v>512418019</v>
      </c>
      <c r="E567" s="7">
        <v>78</v>
      </c>
      <c r="F567" s="7">
        <v>70</v>
      </c>
      <c r="G567" s="7"/>
      <c r="H567" s="7">
        <v>74.8</v>
      </c>
      <c r="XCW567" s="9"/>
      <c r="XCX567" s="9"/>
      <c r="XCY567" s="9"/>
      <c r="XCZ567" s="9"/>
      <c r="XDA567" s="9"/>
      <c r="XDB567" s="9"/>
      <c r="XDC567" s="9"/>
      <c r="XDD567" s="9"/>
      <c r="XDE567" s="9"/>
      <c r="XDF567" s="9"/>
      <c r="XDG567" s="9"/>
      <c r="XDH567" s="9"/>
      <c r="XDI567" s="9"/>
      <c r="XDJ567" s="9"/>
      <c r="XDK567" s="9"/>
      <c r="XDL567" s="9"/>
      <c r="XDM567" s="9"/>
      <c r="XDN567" s="9"/>
      <c r="XDO567" s="9"/>
      <c r="XDP567" s="9"/>
      <c r="XDQ567" s="9"/>
      <c r="XDR567" s="9"/>
      <c r="XDS567" s="9"/>
      <c r="XDT567" s="9"/>
      <c r="XDU567" s="9"/>
      <c r="XDV567" s="9"/>
      <c r="XDW567" s="9"/>
      <c r="XDX567" s="9"/>
      <c r="XDY567" s="9"/>
      <c r="XDZ567" s="9"/>
      <c r="XEA567" s="9"/>
      <c r="XEB567" s="9"/>
      <c r="XEC567" s="9"/>
      <c r="XED567" s="9"/>
      <c r="XEE567" s="9"/>
      <c r="XEF567" s="9"/>
      <c r="XEG567" s="9"/>
      <c r="XEH567" s="9"/>
      <c r="XEI567" s="9"/>
      <c r="XEJ567" s="9"/>
      <c r="XEK567" s="9"/>
      <c r="XEL567" s="9"/>
      <c r="XEM567" s="9"/>
      <c r="XEN567" s="9"/>
      <c r="XEO567" s="9"/>
      <c r="XEP567" s="9"/>
      <c r="XEQ567" s="9"/>
      <c r="XER567" s="9"/>
      <c r="XES567" s="9"/>
      <c r="XET567" s="9"/>
      <c r="XEU567" s="9"/>
      <c r="XEV567" s="9"/>
      <c r="XEW567" s="9"/>
      <c r="XEX567" s="9"/>
      <c r="XEY567" s="9"/>
      <c r="XEZ567" s="9"/>
      <c r="XFA567" s="9"/>
      <c r="XFB567" s="9"/>
      <c r="XFC567" s="9"/>
      <c r="XFD567" s="9"/>
    </row>
    <row r="568" spans="1:8 16325:16384" s="3" customFormat="1" ht="19.95" customHeight="1">
      <c r="A568" s="6" t="str">
        <f t="shared" ref="A568:A589" si="23">"040024"</f>
        <v>040024</v>
      </c>
      <c r="B568" s="6" t="s">
        <v>27</v>
      </c>
      <c r="C568" s="6" t="s">
        <v>29</v>
      </c>
      <c r="D568" s="6" t="str">
        <f>"512418029"</f>
        <v>512418029</v>
      </c>
      <c r="E568" s="7">
        <v>76.5</v>
      </c>
      <c r="F568" s="7">
        <v>70</v>
      </c>
      <c r="G568" s="7"/>
      <c r="H568" s="7">
        <v>73.900000000000006</v>
      </c>
      <c r="XCW568" s="9"/>
      <c r="XCX568" s="9"/>
      <c r="XCY568" s="9"/>
      <c r="XCZ568" s="9"/>
      <c r="XDA568" s="9"/>
      <c r="XDB568" s="9"/>
      <c r="XDC568" s="9"/>
      <c r="XDD568" s="9"/>
      <c r="XDE568" s="9"/>
      <c r="XDF568" s="9"/>
      <c r="XDG568" s="9"/>
      <c r="XDH568" s="9"/>
      <c r="XDI568" s="9"/>
      <c r="XDJ568" s="9"/>
      <c r="XDK568" s="9"/>
      <c r="XDL568" s="9"/>
      <c r="XDM568" s="9"/>
      <c r="XDN568" s="9"/>
      <c r="XDO568" s="9"/>
      <c r="XDP568" s="9"/>
      <c r="XDQ568" s="9"/>
      <c r="XDR568" s="9"/>
      <c r="XDS568" s="9"/>
      <c r="XDT568" s="9"/>
      <c r="XDU568" s="9"/>
      <c r="XDV568" s="9"/>
      <c r="XDW568" s="9"/>
      <c r="XDX568" s="9"/>
      <c r="XDY568" s="9"/>
      <c r="XDZ568" s="9"/>
      <c r="XEA568" s="9"/>
      <c r="XEB568" s="9"/>
      <c r="XEC568" s="9"/>
      <c r="XED568" s="9"/>
      <c r="XEE568" s="9"/>
      <c r="XEF568" s="9"/>
      <c r="XEG568" s="9"/>
      <c r="XEH568" s="9"/>
      <c r="XEI568" s="9"/>
      <c r="XEJ568" s="9"/>
      <c r="XEK568" s="9"/>
      <c r="XEL568" s="9"/>
      <c r="XEM568" s="9"/>
      <c r="XEN568" s="9"/>
      <c r="XEO568" s="9"/>
      <c r="XEP568" s="9"/>
      <c r="XEQ568" s="9"/>
      <c r="XER568" s="9"/>
      <c r="XES568" s="9"/>
      <c r="XET568" s="9"/>
      <c r="XEU568" s="9"/>
      <c r="XEV568" s="9"/>
      <c r="XEW568" s="9"/>
      <c r="XEX568" s="9"/>
      <c r="XEY568" s="9"/>
      <c r="XEZ568" s="9"/>
      <c r="XFA568" s="9"/>
      <c r="XFB568" s="9"/>
      <c r="XFC568" s="9"/>
      <c r="XFD568" s="9"/>
    </row>
    <row r="569" spans="1:8 16325:16384" s="3" customFormat="1" ht="19.95" customHeight="1">
      <c r="A569" s="6" t="str">
        <f t="shared" si="23"/>
        <v>040024</v>
      </c>
      <c r="B569" s="6" t="s">
        <v>27</v>
      </c>
      <c r="C569" s="6" t="s">
        <v>29</v>
      </c>
      <c r="D569" s="6" t="str">
        <f>"512418027"</f>
        <v>512418027</v>
      </c>
      <c r="E569" s="7">
        <v>67</v>
      </c>
      <c r="F569" s="7">
        <v>72</v>
      </c>
      <c r="G569" s="7"/>
      <c r="H569" s="7">
        <v>69</v>
      </c>
      <c r="XCW569" s="9"/>
      <c r="XCX569" s="9"/>
      <c r="XCY569" s="9"/>
      <c r="XCZ569" s="9"/>
      <c r="XDA569" s="9"/>
      <c r="XDB569" s="9"/>
      <c r="XDC569" s="9"/>
      <c r="XDD569" s="9"/>
      <c r="XDE569" s="9"/>
      <c r="XDF569" s="9"/>
      <c r="XDG569" s="9"/>
      <c r="XDH569" s="9"/>
      <c r="XDI569" s="9"/>
      <c r="XDJ569" s="9"/>
      <c r="XDK569" s="9"/>
      <c r="XDL569" s="9"/>
      <c r="XDM569" s="9"/>
      <c r="XDN569" s="9"/>
      <c r="XDO569" s="9"/>
      <c r="XDP569" s="9"/>
      <c r="XDQ569" s="9"/>
      <c r="XDR569" s="9"/>
      <c r="XDS569" s="9"/>
      <c r="XDT569" s="9"/>
      <c r="XDU569" s="9"/>
      <c r="XDV569" s="9"/>
      <c r="XDW569" s="9"/>
      <c r="XDX569" s="9"/>
      <c r="XDY569" s="9"/>
      <c r="XDZ569" s="9"/>
      <c r="XEA569" s="9"/>
      <c r="XEB569" s="9"/>
      <c r="XEC569" s="9"/>
      <c r="XED569" s="9"/>
      <c r="XEE569" s="9"/>
      <c r="XEF569" s="9"/>
      <c r="XEG569" s="9"/>
      <c r="XEH569" s="9"/>
      <c r="XEI569" s="9"/>
      <c r="XEJ569" s="9"/>
      <c r="XEK569" s="9"/>
      <c r="XEL569" s="9"/>
      <c r="XEM569" s="9"/>
      <c r="XEN569" s="9"/>
      <c r="XEO569" s="9"/>
      <c r="XEP569" s="9"/>
      <c r="XEQ569" s="9"/>
      <c r="XER569" s="9"/>
      <c r="XES569" s="9"/>
      <c r="XET569" s="9"/>
      <c r="XEU569" s="9"/>
      <c r="XEV569" s="9"/>
      <c r="XEW569" s="9"/>
      <c r="XEX569" s="9"/>
      <c r="XEY569" s="9"/>
      <c r="XEZ569" s="9"/>
      <c r="XFA569" s="9"/>
      <c r="XFB569" s="9"/>
      <c r="XFC569" s="9"/>
      <c r="XFD569" s="9"/>
    </row>
    <row r="570" spans="1:8 16325:16384" s="3" customFormat="1" ht="19.95" customHeight="1">
      <c r="A570" s="6" t="str">
        <f t="shared" si="23"/>
        <v>040024</v>
      </c>
      <c r="B570" s="6" t="s">
        <v>27</v>
      </c>
      <c r="C570" s="6" t="s">
        <v>29</v>
      </c>
      <c r="D570" s="6" t="str">
        <f>"512418021"</f>
        <v>512418021</v>
      </c>
      <c r="E570" s="7">
        <v>83</v>
      </c>
      <c r="F570" s="7">
        <v>78</v>
      </c>
      <c r="G570" s="7"/>
      <c r="H570" s="7">
        <v>81</v>
      </c>
      <c r="XCW570" s="9"/>
      <c r="XCX570" s="9"/>
      <c r="XCY570" s="9"/>
      <c r="XCZ570" s="9"/>
      <c r="XDA570" s="9"/>
      <c r="XDB570" s="9"/>
      <c r="XDC570" s="9"/>
      <c r="XDD570" s="9"/>
      <c r="XDE570" s="9"/>
      <c r="XDF570" s="9"/>
      <c r="XDG570" s="9"/>
      <c r="XDH570" s="9"/>
      <c r="XDI570" s="9"/>
      <c r="XDJ570" s="9"/>
      <c r="XDK570" s="9"/>
      <c r="XDL570" s="9"/>
      <c r="XDM570" s="9"/>
      <c r="XDN570" s="9"/>
      <c r="XDO570" s="9"/>
      <c r="XDP570" s="9"/>
      <c r="XDQ570" s="9"/>
      <c r="XDR570" s="9"/>
      <c r="XDS570" s="9"/>
      <c r="XDT570" s="9"/>
      <c r="XDU570" s="9"/>
      <c r="XDV570" s="9"/>
      <c r="XDW570" s="9"/>
      <c r="XDX570" s="9"/>
      <c r="XDY570" s="9"/>
      <c r="XDZ570" s="9"/>
      <c r="XEA570" s="9"/>
      <c r="XEB570" s="9"/>
      <c r="XEC570" s="9"/>
      <c r="XED570" s="9"/>
      <c r="XEE570" s="9"/>
      <c r="XEF570" s="9"/>
      <c r="XEG570" s="9"/>
      <c r="XEH570" s="9"/>
      <c r="XEI570" s="9"/>
      <c r="XEJ570" s="9"/>
      <c r="XEK570" s="9"/>
      <c r="XEL570" s="9"/>
      <c r="XEM570" s="9"/>
      <c r="XEN570" s="9"/>
      <c r="XEO570" s="9"/>
      <c r="XEP570" s="9"/>
      <c r="XEQ570" s="9"/>
      <c r="XER570" s="9"/>
      <c r="XES570" s="9"/>
      <c r="XET570" s="9"/>
      <c r="XEU570" s="9"/>
      <c r="XEV570" s="9"/>
      <c r="XEW570" s="9"/>
      <c r="XEX570" s="9"/>
      <c r="XEY570" s="9"/>
      <c r="XEZ570" s="9"/>
      <c r="XFA570" s="9"/>
      <c r="XFB570" s="9"/>
      <c r="XFC570" s="9"/>
      <c r="XFD570" s="9"/>
    </row>
    <row r="571" spans="1:8 16325:16384" s="3" customFormat="1" ht="19.95" customHeight="1">
      <c r="A571" s="6" t="str">
        <f t="shared" si="23"/>
        <v>040024</v>
      </c>
      <c r="B571" s="6" t="s">
        <v>27</v>
      </c>
      <c r="C571" s="6" t="s">
        <v>29</v>
      </c>
      <c r="D571" s="6" t="str">
        <f>"512418025"</f>
        <v>512418025</v>
      </c>
      <c r="E571" s="7">
        <v>0</v>
      </c>
      <c r="F571" s="7">
        <v>0</v>
      </c>
      <c r="G571" s="7"/>
      <c r="H571" s="7">
        <v>0</v>
      </c>
      <c r="XCW571" s="9"/>
      <c r="XCX571" s="9"/>
      <c r="XCY571" s="9"/>
      <c r="XCZ571" s="9"/>
      <c r="XDA571" s="9"/>
      <c r="XDB571" s="9"/>
      <c r="XDC571" s="9"/>
      <c r="XDD571" s="9"/>
      <c r="XDE571" s="9"/>
      <c r="XDF571" s="9"/>
      <c r="XDG571" s="9"/>
      <c r="XDH571" s="9"/>
      <c r="XDI571" s="9"/>
      <c r="XDJ571" s="9"/>
      <c r="XDK571" s="9"/>
      <c r="XDL571" s="9"/>
      <c r="XDM571" s="9"/>
      <c r="XDN571" s="9"/>
      <c r="XDO571" s="9"/>
      <c r="XDP571" s="9"/>
      <c r="XDQ571" s="9"/>
      <c r="XDR571" s="9"/>
      <c r="XDS571" s="9"/>
      <c r="XDT571" s="9"/>
      <c r="XDU571" s="9"/>
      <c r="XDV571" s="9"/>
      <c r="XDW571" s="9"/>
      <c r="XDX571" s="9"/>
      <c r="XDY571" s="9"/>
      <c r="XDZ571" s="9"/>
      <c r="XEA571" s="9"/>
      <c r="XEB571" s="9"/>
      <c r="XEC571" s="9"/>
      <c r="XED571" s="9"/>
      <c r="XEE571" s="9"/>
      <c r="XEF571" s="9"/>
      <c r="XEG571" s="9"/>
      <c r="XEH571" s="9"/>
      <c r="XEI571" s="9"/>
      <c r="XEJ571" s="9"/>
      <c r="XEK571" s="9"/>
      <c r="XEL571" s="9"/>
      <c r="XEM571" s="9"/>
      <c r="XEN571" s="9"/>
      <c r="XEO571" s="9"/>
      <c r="XEP571" s="9"/>
      <c r="XEQ571" s="9"/>
      <c r="XER571" s="9"/>
      <c r="XES571" s="9"/>
      <c r="XET571" s="9"/>
      <c r="XEU571" s="9"/>
      <c r="XEV571" s="9"/>
      <c r="XEW571" s="9"/>
      <c r="XEX571" s="9"/>
      <c r="XEY571" s="9"/>
      <c r="XEZ571" s="9"/>
      <c r="XFA571" s="9"/>
      <c r="XFB571" s="9"/>
      <c r="XFC571" s="9"/>
      <c r="XFD571" s="9"/>
    </row>
    <row r="572" spans="1:8 16325:16384" s="3" customFormat="1" ht="19.95" customHeight="1">
      <c r="A572" s="6" t="str">
        <f t="shared" si="23"/>
        <v>040024</v>
      </c>
      <c r="B572" s="6" t="s">
        <v>27</v>
      </c>
      <c r="C572" s="6" t="s">
        <v>29</v>
      </c>
      <c r="D572" s="6" t="str">
        <f>"512418101"</f>
        <v>512418101</v>
      </c>
      <c r="E572" s="7">
        <v>83</v>
      </c>
      <c r="F572" s="7">
        <v>71</v>
      </c>
      <c r="G572" s="7"/>
      <c r="H572" s="7">
        <v>78.2</v>
      </c>
      <c r="XCW572" s="9"/>
      <c r="XCX572" s="9"/>
      <c r="XCY572" s="9"/>
      <c r="XCZ572" s="9"/>
      <c r="XDA572" s="9"/>
      <c r="XDB572" s="9"/>
      <c r="XDC572" s="9"/>
      <c r="XDD572" s="9"/>
      <c r="XDE572" s="9"/>
      <c r="XDF572" s="9"/>
      <c r="XDG572" s="9"/>
      <c r="XDH572" s="9"/>
      <c r="XDI572" s="9"/>
      <c r="XDJ572" s="9"/>
      <c r="XDK572" s="9"/>
      <c r="XDL572" s="9"/>
      <c r="XDM572" s="9"/>
      <c r="XDN572" s="9"/>
      <c r="XDO572" s="9"/>
      <c r="XDP572" s="9"/>
      <c r="XDQ572" s="9"/>
      <c r="XDR572" s="9"/>
      <c r="XDS572" s="9"/>
      <c r="XDT572" s="9"/>
      <c r="XDU572" s="9"/>
      <c r="XDV572" s="9"/>
      <c r="XDW572" s="9"/>
      <c r="XDX572" s="9"/>
      <c r="XDY572" s="9"/>
      <c r="XDZ572" s="9"/>
      <c r="XEA572" s="9"/>
      <c r="XEB572" s="9"/>
      <c r="XEC572" s="9"/>
      <c r="XED572" s="9"/>
      <c r="XEE572" s="9"/>
      <c r="XEF572" s="9"/>
      <c r="XEG572" s="9"/>
      <c r="XEH572" s="9"/>
      <c r="XEI572" s="9"/>
      <c r="XEJ572" s="9"/>
      <c r="XEK572" s="9"/>
      <c r="XEL572" s="9"/>
      <c r="XEM572" s="9"/>
      <c r="XEN572" s="9"/>
      <c r="XEO572" s="9"/>
      <c r="XEP572" s="9"/>
      <c r="XEQ572" s="9"/>
      <c r="XER572" s="9"/>
      <c r="XES572" s="9"/>
      <c r="XET572" s="9"/>
      <c r="XEU572" s="9"/>
      <c r="XEV572" s="9"/>
      <c r="XEW572" s="9"/>
      <c r="XEX572" s="9"/>
      <c r="XEY572" s="9"/>
      <c r="XEZ572" s="9"/>
      <c r="XFA572" s="9"/>
      <c r="XFB572" s="9"/>
      <c r="XFC572" s="9"/>
      <c r="XFD572" s="9"/>
    </row>
    <row r="573" spans="1:8 16325:16384" s="3" customFormat="1" ht="19.95" customHeight="1">
      <c r="A573" s="6" t="str">
        <f t="shared" si="23"/>
        <v>040024</v>
      </c>
      <c r="B573" s="6" t="s">
        <v>27</v>
      </c>
      <c r="C573" s="6" t="s">
        <v>29</v>
      </c>
      <c r="D573" s="6" t="str">
        <f>"512418022"</f>
        <v>512418022</v>
      </c>
      <c r="E573" s="7">
        <v>80</v>
      </c>
      <c r="F573" s="7">
        <v>78.5</v>
      </c>
      <c r="G573" s="7"/>
      <c r="H573" s="7">
        <v>79.400000000000006</v>
      </c>
      <c r="XCW573" s="9"/>
      <c r="XCX573" s="9"/>
      <c r="XCY573" s="9"/>
      <c r="XCZ573" s="9"/>
      <c r="XDA573" s="9"/>
      <c r="XDB573" s="9"/>
      <c r="XDC573" s="9"/>
      <c r="XDD573" s="9"/>
      <c r="XDE573" s="9"/>
      <c r="XDF573" s="9"/>
      <c r="XDG573" s="9"/>
      <c r="XDH573" s="9"/>
      <c r="XDI573" s="9"/>
      <c r="XDJ573" s="9"/>
      <c r="XDK573" s="9"/>
      <c r="XDL573" s="9"/>
      <c r="XDM573" s="9"/>
      <c r="XDN573" s="9"/>
      <c r="XDO573" s="9"/>
      <c r="XDP573" s="9"/>
      <c r="XDQ573" s="9"/>
      <c r="XDR573" s="9"/>
      <c r="XDS573" s="9"/>
      <c r="XDT573" s="9"/>
      <c r="XDU573" s="9"/>
      <c r="XDV573" s="9"/>
      <c r="XDW573" s="9"/>
      <c r="XDX573" s="9"/>
      <c r="XDY573" s="9"/>
      <c r="XDZ573" s="9"/>
      <c r="XEA573" s="9"/>
      <c r="XEB573" s="9"/>
      <c r="XEC573" s="9"/>
      <c r="XED573" s="9"/>
      <c r="XEE573" s="9"/>
      <c r="XEF573" s="9"/>
      <c r="XEG573" s="9"/>
      <c r="XEH573" s="9"/>
      <c r="XEI573" s="9"/>
      <c r="XEJ573" s="9"/>
      <c r="XEK573" s="9"/>
      <c r="XEL573" s="9"/>
      <c r="XEM573" s="9"/>
      <c r="XEN573" s="9"/>
      <c r="XEO573" s="9"/>
      <c r="XEP573" s="9"/>
      <c r="XEQ573" s="9"/>
      <c r="XER573" s="9"/>
      <c r="XES573" s="9"/>
      <c r="XET573" s="9"/>
      <c r="XEU573" s="9"/>
      <c r="XEV573" s="9"/>
      <c r="XEW573" s="9"/>
      <c r="XEX573" s="9"/>
      <c r="XEY573" s="9"/>
      <c r="XEZ573" s="9"/>
      <c r="XFA573" s="9"/>
      <c r="XFB573" s="9"/>
      <c r="XFC573" s="9"/>
      <c r="XFD573" s="9"/>
    </row>
    <row r="574" spans="1:8 16325:16384" s="3" customFormat="1" ht="19.95" customHeight="1">
      <c r="A574" s="6" t="str">
        <f t="shared" si="23"/>
        <v>040024</v>
      </c>
      <c r="B574" s="6" t="s">
        <v>27</v>
      </c>
      <c r="C574" s="6" t="s">
        <v>29</v>
      </c>
      <c r="D574" s="6" t="str">
        <f>"512418103"</f>
        <v>512418103</v>
      </c>
      <c r="E574" s="7">
        <v>75.5</v>
      </c>
      <c r="F574" s="7">
        <v>70.5</v>
      </c>
      <c r="G574" s="7"/>
      <c r="H574" s="7">
        <v>73.5</v>
      </c>
      <c r="XCW574" s="9"/>
      <c r="XCX574" s="9"/>
      <c r="XCY574" s="9"/>
      <c r="XCZ574" s="9"/>
      <c r="XDA574" s="9"/>
      <c r="XDB574" s="9"/>
      <c r="XDC574" s="9"/>
      <c r="XDD574" s="9"/>
      <c r="XDE574" s="9"/>
      <c r="XDF574" s="9"/>
      <c r="XDG574" s="9"/>
      <c r="XDH574" s="9"/>
      <c r="XDI574" s="9"/>
      <c r="XDJ574" s="9"/>
      <c r="XDK574" s="9"/>
      <c r="XDL574" s="9"/>
      <c r="XDM574" s="9"/>
      <c r="XDN574" s="9"/>
      <c r="XDO574" s="9"/>
      <c r="XDP574" s="9"/>
      <c r="XDQ574" s="9"/>
      <c r="XDR574" s="9"/>
      <c r="XDS574" s="9"/>
      <c r="XDT574" s="9"/>
      <c r="XDU574" s="9"/>
      <c r="XDV574" s="9"/>
      <c r="XDW574" s="9"/>
      <c r="XDX574" s="9"/>
      <c r="XDY574" s="9"/>
      <c r="XDZ574" s="9"/>
      <c r="XEA574" s="9"/>
      <c r="XEB574" s="9"/>
      <c r="XEC574" s="9"/>
      <c r="XED574" s="9"/>
      <c r="XEE574" s="9"/>
      <c r="XEF574" s="9"/>
      <c r="XEG574" s="9"/>
      <c r="XEH574" s="9"/>
      <c r="XEI574" s="9"/>
      <c r="XEJ574" s="9"/>
      <c r="XEK574" s="9"/>
      <c r="XEL574" s="9"/>
      <c r="XEM574" s="9"/>
      <c r="XEN574" s="9"/>
      <c r="XEO574" s="9"/>
      <c r="XEP574" s="9"/>
      <c r="XEQ574" s="9"/>
      <c r="XER574" s="9"/>
      <c r="XES574" s="9"/>
      <c r="XET574" s="9"/>
      <c r="XEU574" s="9"/>
      <c r="XEV574" s="9"/>
      <c r="XEW574" s="9"/>
      <c r="XEX574" s="9"/>
      <c r="XEY574" s="9"/>
      <c r="XEZ574" s="9"/>
      <c r="XFA574" s="9"/>
      <c r="XFB574" s="9"/>
      <c r="XFC574" s="9"/>
      <c r="XFD574" s="9"/>
    </row>
    <row r="575" spans="1:8 16325:16384" s="3" customFormat="1" ht="19.95" customHeight="1">
      <c r="A575" s="6" t="str">
        <f t="shared" si="23"/>
        <v>040024</v>
      </c>
      <c r="B575" s="6" t="s">
        <v>27</v>
      </c>
      <c r="C575" s="6" t="s">
        <v>29</v>
      </c>
      <c r="D575" s="6" t="str">
        <f>"512418102"</f>
        <v>512418102</v>
      </c>
      <c r="E575" s="7">
        <v>78</v>
      </c>
      <c r="F575" s="7">
        <v>67.5</v>
      </c>
      <c r="G575" s="7"/>
      <c r="H575" s="7">
        <v>73.8</v>
      </c>
      <c r="XCW575" s="9"/>
      <c r="XCX575" s="9"/>
      <c r="XCY575" s="9"/>
      <c r="XCZ575" s="9"/>
      <c r="XDA575" s="9"/>
      <c r="XDB575" s="9"/>
      <c r="XDC575" s="9"/>
      <c r="XDD575" s="9"/>
      <c r="XDE575" s="9"/>
      <c r="XDF575" s="9"/>
      <c r="XDG575" s="9"/>
      <c r="XDH575" s="9"/>
      <c r="XDI575" s="9"/>
      <c r="XDJ575" s="9"/>
      <c r="XDK575" s="9"/>
      <c r="XDL575" s="9"/>
      <c r="XDM575" s="9"/>
      <c r="XDN575" s="9"/>
      <c r="XDO575" s="9"/>
      <c r="XDP575" s="9"/>
      <c r="XDQ575" s="9"/>
      <c r="XDR575" s="9"/>
      <c r="XDS575" s="9"/>
      <c r="XDT575" s="9"/>
      <c r="XDU575" s="9"/>
      <c r="XDV575" s="9"/>
      <c r="XDW575" s="9"/>
      <c r="XDX575" s="9"/>
      <c r="XDY575" s="9"/>
      <c r="XDZ575" s="9"/>
      <c r="XEA575" s="9"/>
      <c r="XEB575" s="9"/>
      <c r="XEC575" s="9"/>
      <c r="XED575" s="9"/>
      <c r="XEE575" s="9"/>
      <c r="XEF575" s="9"/>
      <c r="XEG575" s="9"/>
      <c r="XEH575" s="9"/>
      <c r="XEI575" s="9"/>
      <c r="XEJ575" s="9"/>
      <c r="XEK575" s="9"/>
      <c r="XEL575" s="9"/>
      <c r="XEM575" s="9"/>
      <c r="XEN575" s="9"/>
      <c r="XEO575" s="9"/>
      <c r="XEP575" s="9"/>
      <c r="XEQ575" s="9"/>
      <c r="XER575" s="9"/>
      <c r="XES575" s="9"/>
      <c r="XET575" s="9"/>
      <c r="XEU575" s="9"/>
      <c r="XEV575" s="9"/>
      <c r="XEW575" s="9"/>
      <c r="XEX575" s="9"/>
      <c r="XEY575" s="9"/>
      <c r="XEZ575" s="9"/>
      <c r="XFA575" s="9"/>
      <c r="XFB575" s="9"/>
      <c r="XFC575" s="9"/>
      <c r="XFD575" s="9"/>
    </row>
    <row r="576" spans="1:8 16325:16384" s="3" customFormat="1" ht="19.95" customHeight="1">
      <c r="A576" s="6" t="str">
        <f t="shared" si="23"/>
        <v>040024</v>
      </c>
      <c r="B576" s="6" t="s">
        <v>27</v>
      </c>
      <c r="C576" s="6" t="s">
        <v>29</v>
      </c>
      <c r="D576" s="6" t="str">
        <f>"512418030"</f>
        <v>512418030</v>
      </c>
      <c r="E576" s="7">
        <v>79</v>
      </c>
      <c r="F576" s="7">
        <v>85</v>
      </c>
      <c r="G576" s="7"/>
      <c r="H576" s="7">
        <v>81.400000000000006</v>
      </c>
      <c r="XCW576" s="9"/>
      <c r="XCX576" s="9"/>
      <c r="XCY576" s="9"/>
      <c r="XCZ576" s="9"/>
      <c r="XDA576" s="9"/>
      <c r="XDB576" s="9"/>
      <c r="XDC576" s="9"/>
      <c r="XDD576" s="9"/>
      <c r="XDE576" s="9"/>
      <c r="XDF576" s="9"/>
      <c r="XDG576" s="9"/>
      <c r="XDH576" s="9"/>
      <c r="XDI576" s="9"/>
      <c r="XDJ576" s="9"/>
      <c r="XDK576" s="9"/>
      <c r="XDL576" s="9"/>
      <c r="XDM576" s="9"/>
      <c r="XDN576" s="9"/>
      <c r="XDO576" s="9"/>
      <c r="XDP576" s="9"/>
      <c r="XDQ576" s="9"/>
      <c r="XDR576" s="9"/>
      <c r="XDS576" s="9"/>
      <c r="XDT576" s="9"/>
      <c r="XDU576" s="9"/>
      <c r="XDV576" s="9"/>
      <c r="XDW576" s="9"/>
      <c r="XDX576" s="9"/>
      <c r="XDY576" s="9"/>
      <c r="XDZ576" s="9"/>
      <c r="XEA576" s="9"/>
      <c r="XEB576" s="9"/>
      <c r="XEC576" s="9"/>
      <c r="XED576" s="9"/>
      <c r="XEE576" s="9"/>
      <c r="XEF576" s="9"/>
      <c r="XEG576" s="9"/>
      <c r="XEH576" s="9"/>
      <c r="XEI576" s="9"/>
      <c r="XEJ576" s="9"/>
      <c r="XEK576" s="9"/>
      <c r="XEL576" s="9"/>
      <c r="XEM576" s="9"/>
      <c r="XEN576" s="9"/>
      <c r="XEO576" s="9"/>
      <c r="XEP576" s="9"/>
      <c r="XEQ576" s="9"/>
      <c r="XER576" s="9"/>
      <c r="XES576" s="9"/>
      <c r="XET576" s="9"/>
      <c r="XEU576" s="9"/>
      <c r="XEV576" s="9"/>
      <c r="XEW576" s="9"/>
      <c r="XEX576" s="9"/>
      <c r="XEY576" s="9"/>
      <c r="XEZ576" s="9"/>
      <c r="XFA576" s="9"/>
      <c r="XFB576" s="9"/>
      <c r="XFC576" s="9"/>
      <c r="XFD576" s="9"/>
    </row>
    <row r="577" spans="1:8 16325:16384" s="3" customFormat="1" ht="19.95" customHeight="1">
      <c r="A577" s="6" t="str">
        <f t="shared" si="23"/>
        <v>040024</v>
      </c>
      <c r="B577" s="6" t="s">
        <v>27</v>
      </c>
      <c r="C577" s="6" t="s">
        <v>29</v>
      </c>
      <c r="D577" s="6" t="str">
        <f>"512418106"</f>
        <v>512418106</v>
      </c>
      <c r="E577" s="7">
        <v>0</v>
      </c>
      <c r="F577" s="7">
        <v>0</v>
      </c>
      <c r="G577" s="7"/>
      <c r="H577" s="7">
        <v>0</v>
      </c>
      <c r="XCW577" s="9"/>
      <c r="XCX577" s="9"/>
      <c r="XCY577" s="9"/>
      <c r="XCZ577" s="9"/>
      <c r="XDA577" s="9"/>
      <c r="XDB577" s="9"/>
      <c r="XDC577" s="9"/>
      <c r="XDD577" s="9"/>
      <c r="XDE577" s="9"/>
      <c r="XDF577" s="9"/>
      <c r="XDG577" s="9"/>
      <c r="XDH577" s="9"/>
      <c r="XDI577" s="9"/>
      <c r="XDJ577" s="9"/>
      <c r="XDK577" s="9"/>
      <c r="XDL577" s="9"/>
      <c r="XDM577" s="9"/>
      <c r="XDN577" s="9"/>
      <c r="XDO577" s="9"/>
      <c r="XDP577" s="9"/>
      <c r="XDQ577" s="9"/>
      <c r="XDR577" s="9"/>
      <c r="XDS577" s="9"/>
      <c r="XDT577" s="9"/>
      <c r="XDU577" s="9"/>
      <c r="XDV577" s="9"/>
      <c r="XDW577" s="9"/>
      <c r="XDX577" s="9"/>
      <c r="XDY577" s="9"/>
      <c r="XDZ577" s="9"/>
      <c r="XEA577" s="9"/>
      <c r="XEB577" s="9"/>
      <c r="XEC577" s="9"/>
      <c r="XED577" s="9"/>
      <c r="XEE577" s="9"/>
      <c r="XEF577" s="9"/>
      <c r="XEG577" s="9"/>
      <c r="XEH577" s="9"/>
      <c r="XEI577" s="9"/>
      <c r="XEJ577" s="9"/>
      <c r="XEK577" s="9"/>
      <c r="XEL577" s="9"/>
      <c r="XEM577" s="9"/>
      <c r="XEN577" s="9"/>
      <c r="XEO577" s="9"/>
      <c r="XEP577" s="9"/>
      <c r="XEQ577" s="9"/>
      <c r="XER577" s="9"/>
      <c r="XES577" s="9"/>
      <c r="XET577" s="9"/>
      <c r="XEU577" s="9"/>
      <c r="XEV577" s="9"/>
      <c r="XEW577" s="9"/>
      <c r="XEX577" s="9"/>
      <c r="XEY577" s="9"/>
      <c r="XEZ577" s="9"/>
      <c r="XFA577" s="9"/>
      <c r="XFB577" s="9"/>
      <c r="XFC577" s="9"/>
      <c r="XFD577" s="9"/>
    </row>
    <row r="578" spans="1:8 16325:16384" s="3" customFormat="1" ht="19.95" customHeight="1">
      <c r="A578" s="6" t="str">
        <f t="shared" si="23"/>
        <v>040024</v>
      </c>
      <c r="B578" s="6" t="s">
        <v>27</v>
      </c>
      <c r="C578" s="6" t="s">
        <v>29</v>
      </c>
      <c r="D578" s="6" t="str">
        <f>"512418111"</f>
        <v>512418111</v>
      </c>
      <c r="E578" s="7">
        <v>0</v>
      </c>
      <c r="F578" s="7">
        <v>0</v>
      </c>
      <c r="G578" s="7"/>
      <c r="H578" s="7">
        <v>0</v>
      </c>
      <c r="XCW578" s="9"/>
      <c r="XCX578" s="9"/>
      <c r="XCY578" s="9"/>
      <c r="XCZ578" s="9"/>
      <c r="XDA578" s="9"/>
      <c r="XDB578" s="9"/>
      <c r="XDC578" s="9"/>
      <c r="XDD578" s="9"/>
      <c r="XDE578" s="9"/>
      <c r="XDF578" s="9"/>
      <c r="XDG578" s="9"/>
      <c r="XDH578" s="9"/>
      <c r="XDI578" s="9"/>
      <c r="XDJ578" s="9"/>
      <c r="XDK578" s="9"/>
      <c r="XDL578" s="9"/>
      <c r="XDM578" s="9"/>
      <c r="XDN578" s="9"/>
      <c r="XDO578" s="9"/>
      <c r="XDP578" s="9"/>
      <c r="XDQ578" s="9"/>
      <c r="XDR578" s="9"/>
      <c r="XDS578" s="9"/>
      <c r="XDT578" s="9"/>
      <c r="XDU578" s="9"/>
      <c r="XDV578" s="9"/>
      <c r="XDW578" s="9"/>
      <c r="XDX578" s="9"/>
      <c r="XDY578" s="9"/>
      <c r="XDZ578" s="9"/>
      <c r="XEA578" s="9"/>
      <c r="XEB578" s="9"/>
      <c r="XEC578" s="9"/>
      <c r="XED578" s="9"/>
      <c r="XEE578" s="9"/>
      <c r="XEF578" s="9"/>
      <c r="XEG578" s="9"/>
      <c r="XEH578" s="9"/>
      <c r="XEI578" s="9"/>
      <c r="XEJ578" s="9"/>
      <c r="XEK578" s="9"/>
      <c r="XEL578" s="9"/>
      <c r="XEM578" s="9"/>
      <c r="XEN578" s="9"/>
      <c r="XEO578" s="9"/>
      <c r="XEP578" s="9"/>
      <c r="XEQ578" s="9"/>
      <c r="XER578" s="9"/>
      <c r="XES578" s="9"/>
      <c r="XET578" s="9"/>
      <c r="XEU578" s="9"/>
      <c r="XEV578" s="9"/>
      <c r="XEW578" s="9"/>
      <c r="XEX578" s="9"/>
      <c r="XEY578" s="9"/>
      <c r="XEZ578" s="9"/>
      <c r="XFA578" s="9"/>
      <c r="XFB578" s="9"/>
      <c r="XFC578" s="9"/>
      <c r="XFD578" s="9"/>
    </row>
    <row r="579" spans="1:8 16325:16384" s="3" customFormat="1" ht="19.95" customHeight="1">
      <c r="A579" s="6" t="str">
        <f t="shared" si="23"/>
        <v>040024</v>
      </c>
      <c r="B579" s="6" t="s">
        <v>27</v>
      </c>
      <c r="C579" s="6" t="s">
        <v>29</v>
      </c>
      <c r="D579" s="6" t="str">
        <f>"512418104"</f>
        <v>512418104</v>
      </c>
      <c r="E579" s="7">
        <v>65.5</v>
      </c>
      <c r="F579" s="7">
        <v>82</v>
      </c>
      <c r="G579" s="7"/>
      <c r="H579" s="7">
        <v>72.099999999999994</v>
      </c>
      <c r="XCW579" s="9"/>
      <c r="XCX579" s="9"/>
      <c r="XCY579" s="9"/>
      <c r="XCZ579" s="9"/>
      <c r="XDA579" s="9"/>
      <c r="XDB579" s="9"/>
      <c r="XDC579" s="9"/>
      <c r="XDD579" s="9"/>
      <c r="XDE579" s="9"/>
      <c r="XDF579" s="9"/>
      <c r="XDG579" s="9"/>
      <c r="XDH579" s="9"/>
      <c r="XDI579" s="9"/>
      <c r="XDJ579" s="9"/>
      <c r="XDK579" s="9"/>
      <c r="XDL579" s="9"/>
      <c r="XDM579" s="9"/>
      <c r="XDN579" s="9"/>
      <c r="XDO579" s="9"/>
      <c r="XDP579" s="9"/>
      <c r="XDQ579" s="9"/>
      <c r="XDR579" s="9"/>
      <c r="XDS579" s="9"/>
      <c r="XDT579" s="9"/>
      <c r="XDU579" s="9"/>
      <c r="XDV579" s="9"/>
      <c r="XDW579" s="9"/>
      <c r="XDX579" s="9"/>
      <c r="XDY579" s="9"/>
      <c r="XDZ579" s="9"/>
      <c r="XEA579" s="9"/>
      <c r="XEB579" s="9"/>
      <c r="XEC579" s="9"/>
      <c r="XED579" s="9"/>
      <c r="XEE579" s="9"/>
      <c r="XEF579" s="9"/>
      <c r="XEG579" s="9"/>
      <c r="XEH579" s="9"/>
      <c r="XEI579" s="9"/>
      <c r="XEJ579" s="9"/>
      <c r="XEK579" s="9"/>
      <c r="XEL579" s="9"/>
      <c r="XEM579" s="9"/>
      <c r="XEN579" s="9"/>
      <c r="XEO579" s="9"/>
      <c r="XEP579" s="9"/>
      <c r="XEQ579" s="9"/>
      <c r="XER579" s="9"/>
      <c r="XES579" s="9"/>
      <c r="XET579" s="9"/>
      <c r="XEU579" s="9"/>
      <c r="XEV579" s="9"/>
      <c r="XEW579" s="9"/>
      <c r="XEX579" s="9"/>
      <c r="XEY579" s="9"/>
      <c r="XEZ579" s="9"/>
      <c r="XFA579" s="9"/>
      <c r="XFB579" s="9"/>
      <c r="XFC579" s="9"/>
      <c r="XFD579" s="9"/>
    </row>
    <row r="580" spans="1:8 16325:16384" s="3" customFormat="1" ht="19.95" customHeight="1">
      <c r="A580" s="6" t="str">
        <f t="shared" si="23"/>
        <v>040024</v>
      </c>
      <c r="B580" s="6" t="s">
        <v>27</v>
      </c>
      <c r="C580" s="6" t="s">
        <v>29</v>
      </c>
      <c r="D580" s="6" t="str">
        <f>"512418024"</f>
        <v>512418024</v>
      </c>
      <c r="E580" s="7">
        <v>85</v>
      </c>
      <c r="F580" s="7">
        <v>87</v>
      </c>
      <c r="G580" s="7"/>
      <c r="H580" s="7">
        <v>85.8</v>
      </c>
      <c r="XCW580" s="9"/>
      <c r="XCX580" s="9"/>
      <c r="XCY580" s="9"/>
      <c r="XCZ580" s="9"/>
      <c r="XDA580" s="9"/>
      <c r="XDB580" s="9"/>
      <c r="XDC580" s="9"/>
      <c r="XDD580" s="9"/>
      <c r="XDE580" s="9"/>
      <c r="XDF580" s="9"/>
      <c r="XDG580" s="9"/>
      <c r="XDH580" s="9"/>
      <c r="XDI580" s="9"/>
      <c r="XDJ580" s="9"/>
      <c r="XDK580" s="9"/>
      <c r="XDL580" s="9"/>
      <c r="XDM580" s="9"/>
      <c r="XDN580" s="9"/>
      <c r="XDO580" s="9"/>
      <c r="XDP580" s="9"/>
      <c r="XDQ580" s="9"/>
      <c r="XDR580" s="9"/>
      <c r="XDS580" s="9"/>
      <c r="XDT580" s="9"/>
      <c r="XDU580" s="9"/>
      <c r="XDV580" s="9"/>
      <c r="XDW580" s="9"/>
      <c r="XDX580" s="9"/>
      <c r="XDY580" s="9"/>
      <c r="XDZ580" s="9"/>
      <c r="XEA580" s="9"/>
      <c r="XEB580" s="9"/>
      <c r="XEC580" s="9"/>
      <c r="XED580" s="9"/>
      <c r="XEE580" s="9"/>
      <c r="XEF580" s="9"/>
      <c r="XEG580" s="9"/>
      <c r="XEH580" s="9"/>
      <c r="XEI580" s="9"/>
      <c r="XEJ580" s="9"/>
      <c r="XEK580" s="9"/>
      <c r="XEL580" s="9"/>
      <c r="XEM580" s="9"/>
      <c r="XEN580" s="9"/>
      <c r="XEO580" s="9"/>
      <c r="XEP580" s="9"/>
      <c r="XEQ580" s="9"/>
      <c r="XER580" s="9"/>
      <c r="XES580" s="9"/>
      <c r="XET580" s="9"/>
      <c r="XEU580" s="9"/>
      <c r="XEV580" s="9"/>
      <c r="XEW580" s="9"/>
      <c r="XEX580" s="9"/>
      <c r="XEY580" s="9"/>
      <c r="XEZ580" s="9"/>
      <c r="XFA580" s="9"/>
      <c r="XFB580" s="9"/>
      <c r="XFC580" s="9"/>
      <c r="XFD580" s="9"/>
    </row>
    <row r="581" spans="1:8 16325:16384" s="3" customFormat="1" ht="19.95" customHeight="1">
      <c r="A581" s="6" t="str">
        <f t="shared" si="23"/>
        <v>040024</v>
      </c>
      <c r="B581" s="6" t="s">
        <v>27</v>
      </c>
      <c r="C581" s="6" t="s">
        <v>29</v>
      </c>
      <c r="D581" s="6" t="str">
        <f>"512418028"</f>
        <v>512418028</v>
      </c>
      <c r="E581" s="7">
        <v>77.5</v>
      </c>
      <c r="F581" s="7">
        <v>89.5</v>
      </c>
      <c r="G581" s="7"/>
      <c r="H581" s="7">
        <v>82.3</v>
      </c>
      <c r="XCW581" s="9"/>
      <c r="XCX581" s="9"/>
      <c r="XCY581" s="9"/>
      <c r="XCZ581" s="9"/>
      <c r="XDA581" s="9"/>
      <c r="XDB581" s="9"/>
      <c r="XDC581" s="9"/>
      <c r="XDD581" s="9"/>
      <c r="XDE581" s="9"/>
      <c r="XDF581" s="9"/>
      <c r="XDG581" s="9"/>
      <c r="XDH581" s="9"/>
      <c r="XDI581" s="9"/>
      <c r="XDJ581" s="9"/>
      <c r="XDK581" s="9"/>
      <c r="XDL581" s="9"/>
      <c r="XDM581" s="9"/>
      <c r="XDN581" s="9"/>
      <c r="XDO581" s="9"/>
      <c r="XDP581" s="9"/>
      <c r="XDQ581" s="9"/>
      <c r="XDR581" s="9"/>
      <c r="XDS581" s="9"/>
      <c r="XDT581" s="9"/>
      <c r="XDU581" s="9"/>
      <c r="XDV581" s="9"/>
      <c r="XDW581" s="9"/>
      <c r="XDX581" s="9"/>
      <c r="XDY581" s="9"/>
      <c r="XDZ581" s="9"/>
      <c r="XEA581" s="9"/>
      <c r="XEB581" s="9"/>
      <c r="XEC581" s="9"/>
      <c r="XED581" s="9"/>
      <c r="XEE581" s="9"/>
      <c r="XEF581" s="9"/>
      <c r="XEG581" s="9"/>
      <c r="XEH581" s="9"/>
      <c r="XEI581" s="9"/>
      <c r="XEJ581" s="9"/>
      <c r="XEK581" s="9"/>
      <c r="XEL581" s="9"/>
      <c r="XEM581" s="9"/>
      <c r="XEN581" s="9"/>
      <c r="XEO581" s="9"/>
      <c r="XEP581" s="9"/>
      <c r="XEQ581" s="9"/>
      <c r="XER581" s="9"/>
      <c r="XES581" s="9"/>
      <c r="XET581" s="9"/>
      <c r="XEU581" s="9"/>
      <c r="XEV581" s="9"/>
      <c r="XEW581" s="9"/>
      <c r="XEX581" s="9"/>
      <c r="XEY581" s="9"/>
      <c r="XEZ581" s="9"/>
      <c r="XFA581" s="9"/>
      <c r="XFB581" s="9"/>
      <c r="XFC581" s="9"/>
      <c r="XFD581" s="9"/>
    </row>
    <row r="582" spans="1:8 16325:16384" s="3" customFormat="1" ht="19.95" customHeight="1">
      <c r="A582" s="6" t="str">
        <f t="shared" si="23"/>
        <v>040024</v>
      </c>
      <c r="B582" s="6" t="s">
        <v>27</v>
      </c>
      <c r="C582" s="6" t="s">
        <v>29</v>
      </c>
      <c r="D582" s="6" t="str">
        <f>"512418026"</f>
        <v>512418026</v>
      </c>
      <c r="E582" s="7">
        <v>74</v>
      </c>
      <c r="F582" s="7">
        <v>73.5</v>
      </c>
      <c r="G582" s="7"/>
      <c r="H582" s="7">
        <v>73.8</v>
      </c>
      <c r="XCW582" s="9"/>
      <c r="XCX582" s="9"/>
      <c r="XCY582" s="9"/>
      <c r="XCZ582" s="9"/>
      <c r="XDA582" s="9"/>
      <c r="XDB582" s="9"/>
      <c r="XDC582" s="9"/>
      <c r="XDD582" s="9"/>
      <c r="XDE582" s="9"/>
      <c r="XDF582" s="9"/>
      <c r="XDG582" s="9"/>
      <c r="XDH582" s="9"/>
      <c r="XDI582" s="9"/>
      <c r="XDJ582" s="9"/>
      <c r="XDK582" s="9"/>
      <c r="XDL582" s="9"/>
      <c r="XDM582" s="9"/>
      <c r="XDN582" s="9"/>
      <c r="XDO582" s="9"/>
      <c r="XDP582" s="9"/>
      <c r="XDQ582" s="9"/>
      <c r="XDR582" s="9"/>
      <c r="XDS582" s="9"/>
      <c r="XDT582" s="9"/>
      <c r="XDU582" s="9"/>
      <c r="XDV582" s="9"/>
      <c r="XDW582" s="9"/>
      <c r="XDX582" s="9"/>
      <c r="XDY582" s="9"/>
      <c r="XDZ582" s="9"/>
      <c r="XEA582" s="9"/>
      <c r="XEB582" s="9"/>
      <c r="XEC582" s="9"/>
      <c r="XED582" s="9"/>
      <c r="XEE582" s="9"/>
      <c r="XEF582" s="9"/>
      <c r="XEG582" s="9"/>
      <c r="XEH582" s="9"/>
      <c r="XEI582" s="9"/>
      <c r="XEJ582" s="9"/>
      <c r="XEK582" s="9"/>
      <c r="XEL582" s="9"/>
      <c r="XEM582" s="9"/>
      <c r="XEN582" s="9"/>
      <c r="XEO582" s="9"/>
      <c r="XEP582" s="9"/>
      <c r="XEQ582" s="9"/>
      <c r="XER582" s="9"/>
      <c r="XES582" s="9"/>
      <c r="XET582" s="9"/>
      <c r="XEU582" s="9"/>
      <c r="XEV582" s="9"/>
      <c r="XEW582" s="9"/>
      <c r="XEX582" s="9"/>
      <c r="XEY582" s="9"/>
      <c r="XEZ582" s="9"/>
      <c r="XFA582" s="9"/>
      <c r="XFB582" s="9"/>
      <c r="XFC582" s="9"/>
      <c r="XFD582" s="9"/>
    </row>
    <row r="583" spans="1:8 16325:16384" s="3" customFormat="1" ht="19.95" customHeight="1">
      <c r="A583" s="6" t="str">
        <f t="shared" si="23"/>
        <v>040024</v>
      </c>
      <c r="B583" s="6" t="s">
        <v>27</v>
      </c>
      <c r="C583" s="6" t="s">
        <v>29</v>
      </c>
      <c r="D583" s="6" t="str">
        <f>"512418108"</f>
        <v>512418108</v>
      </c>
      <c r="E583" s="7">
        <v>68</v>
      </c>
      <c r="F583" s="7">
        <v>64</v>
      </c>
      <c r="G583" s="7"/>
      <c r="H583" s="7">
        <v>66.400000000000006</v>
      </c>
      <c r="XCW583" s="9"/>
      <c r="XCX583" s="9"/>
      <c r="XCY583" s="9"/>
      <c r="XCZ583" s="9"/>
      <c r="XDA583" s="9"/>
      <c r="XDB583" s="9"/>
      <c r="XDC583" s="9"/>
      <c r="XDD583" s="9"/>
      <c r="XDE583" s="9"/>
      <c r="XDF583" s="9"/>
      <c r="XDG583" s="9"/>
      <c r="XDH583" s="9"/>
      <c r="XDI583" s="9"/>
      <c r="XDJ583" s="9"/>
      <c r="XDK583" s="9"/>
      <c r="XDL583" s="9"/>
      <c r="XDM583" s="9"/>
      <c r="XDN583" s="9"/>
      <c r="XDO583" s="9"/>
      <c r="XDP583" s="9"/>
      <c r="XDQ583" s="9"/>
      <c r="XDR583" s="9"/>
      <c r="XDS583" s="9"/>
      <c r="XDT583" s="9"/>
      <c r="XDU583" s="9"/>
      <c r="XDV583" s="9"/>
      <c r="XDW583" s="9"/>
      <c r="XDX583" s="9"/>
      <c r="XDY583" s="9"/>
      <c r="XDZ583" s="9"/>
      <c r="XEA583" s="9"/>
      <c r="XEB583" s="9"/>
      <c r="XEC583" s="9"/>
      <c r="XED583" s="9"/>
      <c r="XEE583" s="9"/>
      <c r="XEF583" s="9"/>
      <c r="XEG583" s="9"/>
      <c r="XEH583" s="9"/>
      <c r="XEI583" s="9"/>
      <c r="XEJ583" s="9"/>
      <c r="XEK583" s="9"/>
      <c r="XEL583" s="9"/>
      <c r="XEM583" s="9"/>
      <c r="XEN583" s="9"/>
      <c r="XEO583" s="9"/>
      <c r="XEP583" s="9"/>
      <c r="XEQ583" s="9"/>
      <c r="XER583" s="9"/>
      <c r="XES583" s="9"/>
      <c r="XET583" s="9"/>
      <c r="XEU583" s="9"/>
      <c r="XEV583" s="9"/>
      <c r="XEW583" s="9"/>
      <c r="XEX583" s="9"/>
      <c r="XEY583" s="9"/>
      <c r="XEZ583" s="9"/>
      <c r="XFA583" s="9"/>
      <c r="XFB583" s="9"/>
      <c r="XFC583" s="9"/>
      <c r="XFD583" s="9"/>
    </row>
    <row r="584" spans="1:8 16325:16384" s="3" customFormat="1" ht="19.95" customHeight="1">
      <c r="A584" s="6" t="str">
        <f t="shared" si="23"/>
        <v>040024</v>
      </c>
      <c r="B584" s="6" t="s">
        <v>27</v>
      </c>
      <c r="C584" s="6" t="s">
        <v>29</v>
      </c>
      <c r="D584" s="6" t="str">
        <f>"512418105"</f>
        <v>512418105</v>
      </c>
      <c r="E584" s="7">
        <v>80</v>
      </c>
      <c r="F584" s="7">
        <v>86.5</v>
      </c>
      <c r="G584" s="7"/>
      <c r="H584" s="7">
        <v>82.6</v>
      </c>
      <c r="XCW584" s="9"/>
      <c r="XCX584" s="9"/>
      <c r="XCY584" s="9"/>
      <c r="XCZ584" s="9"/>
      <c r="XDA584" s="9"/>
      <c r="XDB584" s="9"/>
      <c r="XDC584" s="9"/>
      <c r="XDD584" s="9"/>
      <c r="XDE584" s="9"/>
      <c r="XDF584" s="9"/>
      <c r="XDG584" s="9"/>
      <c r="XDH584" s="9"/>
      <c r="XDI584" s="9"/>
      <c r="XDJ584" s="9"/>
      <c r="XDK584" s="9"/>
      <c r="XDL584" s="9"/>
      <c r="XDM584" s="9"/>
      <c r="XDN584" s="9"/>
      <c r="XDO584" s="9"/>
      <c r="XDP584" s="9"/>
      <c r="XDQ584" s="9"/>
      <c r="XDR584" s="9"/>
      <c r="XDS584" s="9"/>
      <c r="XDT584" s="9"/>
      <c r="XDU584" s="9"/>
      <c r="XDV584" s="9"/>
      <c r="XDW584" s="9"/>
      <c r="XDX584" s="9"/>
      <c r="XDY584" s="9"/>
      <c r="XDZ584" s="9"/>
      <c r="XEA584" s="9"/>
      <c r="XEB584" s="9"/>
      <c r="XEC584" s="9"/>
      <c r="XED584" s="9"/>
      <c r="XEE584" s="9"/>
      <c r="XEF584" s="9"/>
      <c r="XEG584" s="9"/>
      <c r="XEH584" s="9"/>
      <c r="XEI584" s="9"/>
      <c r="XEJ584" s="9"/>
      <c r="XEK584" s="9"/>
      <c r="XEL584" s="9"/>
      <c r="XEM584" s="9"/>
      <c r="XEN584" s="9"/>
      <c r="XEO584" s="9"/>
      <c r="XEP584" s="9"/>
      <c r="XEQ584" s="9"/>
      <c r="XER584" s="9"/>
      <c r="XES584" s="9"/>
      <c r="XET584" s="9"/>
      <c r="XEU584" s="9"/>
      <c r="XEV584" s="9"/>
      <c r="XEW584" s="9"/>
      <c r="XEX584" s="9"/>
      <c r="XEY584" s="9"/>
      <c r="XEZ584" s="9"/>
      <c r="XFA584" s="9"/>
      <c r="XFB584" s="9"/>
      <c r="XFC584" s="9"/>
      <c r="XFD584" s="9"/>
    </row>
    <row r="585" spans="1:8 16325:16384" s="3" customFormat="1" ht="19.95" customHeight="1">
      <c r="A585" s="6" t="str">
        <f t="shared" si="23"/>
        <v>040024</v>
      </c>
      <c r="B585" s="6" t="s">
        <v>27</v>
      </c>
      <c r="C585" s="6" t="s">
        <v>29</v>
      </c>
      <c r="D585" s="6" t="str">
        <f>"512418023"</f>
        <v>512418023</v>
      </c>
      <c r="E585" s="7">
        <v>62.5</v>
      </c>
      <c r="F585" s="7">
        <v>66</v>
      </c>
      <c r="G585" s="7"/>
      <c r="H585" s="7">
        <v>63.9</v>
      </c>
      <c r="XCW585" s="9"/>
      <c r="XCX585" s="9"/>
      <c r="XCY585" s="9"/>
      <c r="XCZ585" s="9"/>
      <c r="XDA585" s="9"/>
      <c r="XDB585" s="9"/>
      <c r="XDC585" s="9"/>
      <c r="XDD585" s="9"/>
      <c r="XDE585" s="9"/>
      <c r="XDF585" s="9"/>
      <c r="XDG585" s="9"/>
      <c r="XDH585" s="9"/>
      <c r="XDI585" s="9"/>
      <c r="XDJ585" s="9"/>
      <c r="XDK585" s="9"/>
      <c r="XDL585" s="9"/>
      <c r="XDM585" s="9"/>
      <c r="XDN585" s="9"/>
      <c r="XDO585" s="9"/>
      <c r="XDP585" s="9"/>
      <c r="XDQ585" s="9"/>
      <c r="XDR585" s="9"/>
      <c r="XDS585" s="9"/>
      <c r="XDT585" s="9"/>
      <c r="XDU585" s="9"/>
      <c r="XDV585" s="9"/>
      <c r="XDW585" s="9"/>
      <c r="XDX585" s="9"/>
      <c r="XDY585" s="9"/>
      <c r="XDZ585" s="9"/>
      <c r="XEA585" s="9"/>
      <c r="XEB585" s="9"/>
      <c r="XEC585" s="9"/>
      <c r="XED585" s="9"/>
      <c r="XEE585" s="9"/>
      <c r="XEF585" s="9"/>
      <c r="XEG585" s="9"/>
      <c r="XEH585" s="9"/>
      <c r="XEI585" s="9"/>
      <c r="XEJ585" s="9"/>
      <c r="XEK585" s="9"/>
      <c r="XEL585" s="9"/>
      <c r="XEM585" s="9"/>
      <c r="XEN585" s="9"/>
      <c r="XEO585" s="9"/>
      <c r="XEP585" s="9"/>
      <c r="XEQ585" s="9"/>
      <c r="XER585" s="9"/>
      <c r="XES585" s="9"/>
      <c r="XET585" s="9"/>
      <c r="XEU585" s="9"/>
      <c r="XEV585" s="9"/>
      <c r="XEW585" s="9"/>
      <c r="XEX585" s="9"/>
      <c r="XEY585" s="9"/>
      <c r="XEZ585" s="9"/>
      <c r="XFA585" s="9"/>
      <c r="XFB585" s="9"/>
      <c r="XFC585" s="9"/>
      <c r="XFD585" s="9"/>
    </row>
    <row r="586" spans="1:8 16325:16384" s="3" customFormat="1" ht="19.95" customHeight="1">
      <c r="A586" s="6" t="str">
        <f t="shared" si="23"/>
        <v>040024</v>
      </c>
      <c r="B586" s="6" t="s">
        <v>27</v>
      </c>
      <c r="C586" s="6" t="s">
        <v>29</v>
      </c>
      <c r="D586" s="6" t="str">
        <f>"512418112"</f>
        <v>512418112</v>
      </c>
      <c r="E586" s="7">
        <v>76</v>
      </c>
      <c r="F586" s="7">
        <v>73</v>
      </c>
      <c r="G586" s="7"/>
      <c r="H586" s="7">
        <v>74.8</v>
      </c>
      <c r="XCW586" s="9"/>
      <c r="XCX586" s="9"/>
      <c r="XCY586" s="9"/>
      <c r="XCZ586" s="9"/>
      <c r="XDA586" s="9"/>
      <c r="XDB586" s="9"/>
      <c r="XDC586" s="9"/>
      <c r="XDD586" s="9"/>
      <c r="XDE586" s="9"/>
      <c r="XDF586" s="9"/>
      <c r="XDG586" s="9"/>
      <c r="XDH586" s="9"/>
      <c r="XDI586" s="9"/>
      <c r="XDJ586" s="9"/>
      <c r="XDK586" s="9"/>
      <c r="XDL586" s="9"/>
      <c r="XDM586" s="9"/>
      <c r="XDN586" s="9"/>
      <c r="XDO586" s="9"/>
      <c r="XDP586" s="9"/>
      <c r="XDQ586" s="9"/>
      <c r="XDR586" s="9"/>
      <c r="XDS586" s="9"/>
      <c r="XDT586" s="9"/>
      <c r="XDU586" s="9"/>
      <c r="XDV586" s="9"/>
      <c r="XDW586" s="9"/>
      <c r="XDX586" s="9"/>
      <c r="XDY586" s="9"/>
      <c r="XDZ586" s="9"/>
      <c r="XEA586" s="9"/>
      <c r="XEB586" s="9"/>
      <c r="XEC586" s="9"/>
      <c r="XED586" s="9"/>
      <c r="XEE586" s="9"/>
      <c r="XEF586" s="9"/>
      <c r="XEG586" s="9"/>
      <c r="XEH586" s="9"/>
      <c r="XEI586" s="9"/>
      <c r="XEJ586" s="9"/>
      <c r="XEK586" s="9"/>
      <c r="XEL586" s="9"/>
      <c r="XEM586" s="9"/>
      <c r="XEN586" s="9"/>
      <c r="XEO586" s="9"/>
      <c r="XEP586" s="9"/>
      <c r="XEQ586" s="9"/>
      <c r="XER586" s="9"/>
      <c r="XES586" s="9"/>
      <c r="XET586" s="9"/>
      <c r="XEU586" s="9"/>
      <c r="XEV586" s="9"/>
      <c r="XEW586" s="9"/>
      <c r="XEX586" s="9"/>
      <c r="XEY586" s="9"/>
      <c r="XEZ586" s="9"/>
      <c r="XFA586" s="9"/>
      <c r="XFB586" s="9"/>
      <c r="XFC586" s="9"/>
      <c r="XFD586" s="9"/>
    </row>
    <row r="587" spans="1:8 16325:16384" s="3" customFormat="1" ht="19.95" customHeight="1">
      <c r="A587" s="6" t="str">
        <f t="shared" si="23"/>
        <v>040024</v>
      </c>
      <c r="B587" s="6" t="s">
        <v>27</v>
      </c>
      <c r="C587" s="6" t="s">
        <v>29</v>
      </c>
      <c r="D587" s="6" t="str">
        <f>"512418110"</f>
        <v>512418110</v>
      </c>
      <c r="E587" s="7">
        <v>75.5</v>
      </c>
      <c r="F587" s="7">
        <v>85</v>
      </c>
      <c r="G587" s="7"/>
      <c r="H587" s="7">
        <v>79.3</v>
      </c>
      <c r="XCW587" s="9"/>
      <c r="XCX587" s="9"/>
      <c r="XCY587" s="9"/>
      <c r="XCZ587" s="9"/>
      <c r="XDA587" s="9"/>
      <c r="XDB587" s="9"/>
      <c r="XDC587" s="9"/>
      <c r="XDD587" s="9"/>
      <c r="XDE587" s="9"/>
      <c r="XDF587" s="9"/>
      <c r="XDG587" s="9"/>
      <c r="XDH587" s="9"/>
      <c r="XDI587" s="9"/>
      <c r="XDJ587" s="9"/>
      <c r="XDK587" s="9"/>
      <c r="XDL587" s="9"/>
      <c r="XDM587" s="9"/>
      <c r="XDN587" s="9"/>
      <c r="XDO587" s="9"/>
      <c r="XDP587" s="9"/>
      <c r="XDQ587" s="9"/>
      <c r="XDR587" s="9"/>
      <c r="XDS587" s="9"/>
      <c r="XDT587" s="9"/>
      <c r="XDU587" s="9"/>
      <c r="XDV587" s="9"/>
      <c r="XDW587" s="9"/>
      <c r="XDX587" s="9"/>
      <c r="XDY587" s="9"/>
      <c r="XDZ587" s="9"/>
      <c r="XEA587" s="9"/>
      <c r="XEB587" s="9"/>
      <c r="XEC587" s="9"/>
      <c r="XED587" s="9"/>
      <c r="XEE587" s="9"/>
      <c r="XEF587" s="9"/>
      <c r="XEG587" s="9"/>
      <c r="XEH587" s="9"/>
      <c r="XEI587" s="9"/>
      <c r="XEJ587" s="9"/>
      <c r="XEK587" s="9"/>
      <c r="XEL587" s="9"/>
      <c r="XEM587" s="9"/>
      <c r="XEN587" s="9"/>
      <c r="XEO587" s="9"/>
      <c r="XEP587" s="9"/>
      <c r="XEQ587" s="9"/>
      <c r="XER587" s="9"/>
      <c r="XES587" s="9"/>
      <c r="XET587" s="9"/>
      <c r="XEU587" s="9"/>
      <c r="XEV587" s="9"/>
      <c r="XEW587" s="9"/>
      <c r="XEX587" s="9"/>
      <c r="XEY587" s="9"/>
      <c r="XEZ587" s="9"/>
      <c r="XFA587" s="9"/>
      <c r="XFB587" s="9"/>
      <c r="XFC587" s="9"/>
      <c r="XFD587" s="9"/>
    </row>
    <row r="588" spans="1:8 16325:16384" s="3" customFormat="1" ht="19.95" customHeight="1">
      <c r="A588" s="6" t="str">
        <f t="shared" si="23"/>
        <v>040024</v>
      </c>
      <c r="B588" s="6" t="s">
        <v>27</v>
      </c>
      <c r="C588" s="6" t="s">
        <v>29</v>
      </c>
      <c r="D588" s="6" t="str">
        <f>"512418107"</f>
        <v>512418107</v>
      </c>
      <c r="E588" s="7">
        <v>74.5</v>
      </c>
      <c r="F588" s="7">
        <v>71</v>
      </c>
      <c r="G588" s="7"/>
      <c r="H588" s="7">
        <v>73.099999999999994</v>
      </c>
      <c r="XCW588" s="9"/>
      <c r="XCX588" s="9"/>
      <c r="XCY588" s="9"/>
      <c r="XCZ588" s="9"/>
      <c r="XDA588" s="9"/>
      <c r="XDB588" s="9"/>
      <c r="XDC588" s="9"/>
      <c r="XDD588" s="9"/>
      <c r="XDE588" s="9"/>
      <c r="XDF588" s="9"/>
      <c r="XDG588" s="9"/>
      <c r="XDH588" s="9"/>
      <c r="XDI588" s="9"/>
      <c r="XDJ588" s="9"/>
      <c r="XDK588" s="9"/>
      <c r="XDL588" s="9"/>
      <c r="XDM588" s="9"/>
      <c r="XDN588" s="9"/>
      <c r="XDO588" s="9"/>
      <c r="XDP588" s="9"/>
      <c r="XDQ588" s="9"/>
      <c r="XDR588" s="9"/>
      <c r="XDS588" s="9"/>
      <c r="XDT588" s="9"/>
      <c r="XDU588" s="9"/>
      <c r="XDV588" s="9"/>
      <c r="XDW588" s="9"/>
      <c r="XDX588" s="9"/>
      <c r="XDY588" s="9"/>
      <c r="XDZ588" s="9"/>
      <c r="XEA588" s="9"/>
      <c r="XEB588" s="9"/>
      <c r="XEC588" s="9"/>
      <c r="XED588" s="9"/>
      <c r="XEE588" s="9"/>
      <c r="XEF588" s="9"/>
      <c r="XEG588" s="9"/>
      <c r="XEH588" s="9"/>
      <c r="XEI588" s="9"/>
      <c r="XEJ588" s="9"/>
      <c r="XEK588" s="9"/>
      <c r="XEL588" s="9"/>
      <c r="XEM588" s="9"/>
      <c r="XEN588" s="9"/>
      <c r="XEO588" s="9"/>
      <c r="XEP588" s="9"/>
      <c r="XEQ588" s="9"/>
      <c r="XER588" s="9"/>
      <c r="XES588" s="9"/>
      <c r="XET588" s="9"/>
      <c r="XEU588" s="9"/>
      <c r="XEV588" s="9"/>
      <c r="XEW588" s="9"/>
      <c r="XEX588" s="9"/>
      <c r="XEY588" s="9"/>
      <c r="XEZ588" s="9"/>
      <c r="XFA588" s="9"/>
      <c r="XFB588" s="9"/>
      <c r="XFC588" s="9"/>
      <c r="XFD588" s="9"/>
    </row>
    <row r="589" spans="1:8 16325:16384" s="3" customFormat="1" ht="19.95" customHeight="1">
      <c r="A589" s="6" t="str">
        <f t="shared" si="23"/>
        <v>040024</v>
      </c>
      <c r="B589" s="6" t="s">
        <v>27</v>
      </c>
      <c r="C589" s="6" t="s">
        <v>29</v>
      </c>
      <c r="D589" s="6" t="str">
        <f>"512418109"</f>
        <v>512418109</v>
      </c>
      <c r="E589" s="7">
        <v>74</v>
      </c>
      <c r="F589" s="7">
        <v>61</v>
      </c>
      <c r="G589" s="7">
        <v>2</v>
      </c>
      <c r="H589" s="7">
        <v>70.8</v>
      </c>
      <c r="XCW589" s="9"/>
      <c r="XCX589" s="9"/>
      <c r="XCY589" s="9"/>
      <c r="XCZ589" s="9"/>
      <c r="XDA589" s="9"/>
      <c r="XDB589" s="9"/>
      <c r="XDC589" s="9"/>
      <c r="XDD589" s="9"/>
      <c r="XDE589" s="9"/>
      <c r="XDF589" s="9"/>
      <c r="XDG589" s="9"/>
      <c r="XDH589" s="9"/>
      <c r="XDI589" s="9"/>
      <c r="XDJ589" s="9"/>
      <c r="XDK589" s="9"/>
      <c r="XDL589" s="9"/>
      <c r="XDM589" s="9"/>
      <c r="XDN589" s="9"/>
      <c r="XDO589" s="9"/>
      <c r="XDP589" s="9"/>
      <c r="XDQ589" s="9"/>
      <c r="XDR589" s="9"/>
      <c r="XDS589" s="9"/>
      <c r="XDT589" s="9"/>
      <c r="XDU589" s="9"/>
      <c r="XDV589" s="9"/>
      <c r="XDW589" s="9"/>
      <c r="XDX589" s="9"/>
      <c r="XDY589" s="9"/>
      <c r="XDZ589" s="9"/>
      <c r="XEA589" s="9"/>
      <c r="XEB589" s="9"/>
      <c r="XEC589" s="9"/>
      <c r="XED589" s="9"/>
      <c r="XEE589" s="9"/>
      <c r="XEF589" s="9"/>
      <c r="XEG589" s="9"/>
      <c r="XEH589" s="9"/>
      <c r="XEI589" s="9"/>
      <c r="XEJ589" s="9"/>
      <c r="XEK589" s="9"/>
      <c r="XEL589" s="9"/>
      <c r="XEM589" s="9"/>
      <c r="XEN589" s="9"/>
      <c r="XEO589" s="9"/>
      <c r="XEP589" s="9"/>
      <c r="XEQ589" s="9"/>
      <c r="XER589" s="9"/>
      <c r="XES589" s="9"/>
      <c r="XET589" s="9"/>
      <c r="XEU589" s="9"/>
      <c r="XEV589" s="9"/>
      <c r="XEW589" s="9"/>
      <c r="XEX589" s="9"/>
      <c r="XEY589" s="9"/>
      <c r="XEZ589" s="9"/>
      <c r="XFA589" s="9"/>
      <c r="XFB589" s="9"/>
      <c r="XFC589" s="9"/>
      <c r="XFD589" s="9"/>
    </row>
    <row r="590" spans="1:8 16325:16384" s="3" customFormat="1" ht="19.95" customHeight="1">
      <c r="A590" s="6" t="str">
        <f t="shared" ref="A590:A602" si="24">"040025"</f>
        <v>040025</v>
      </c>
      <c r="B590" s="6" t="s">
        <v>20</v>
      </c>
      <c r="C590" s="6" t="s">
        <v>29</v>
      </c>
      <c r="D590" s="6" t="str">
        <f>"512523430"</f>
        <v>512523430</v>
      </c>
      <c r="E590" s="7">
        <v>64.5</v>
      </c>
      <c r="F590" s="7">
        <v>64.5</v>
      </c>
      <c r="G590" s="7"/>
      <c r="H590" s="7">
        <v>64.5</v>
      </c>
      <c r="XCW590" s="9"/>
      <c r="XCX590" s="9"/>
      <c r="XCY590" s="9"/>
      <c r="XCZ590" s="9"/>
      <c r="XDA590" s="9"/>
      <c r="XDB590" s="9"/>
      <c r="XDC590" s="9"/>
      <c r="XDD590" s="9"/>
      <c r="XDE590" s="9"/>
      <c r="XDF590" s="9"/>
      <c r="XDG590" s="9"/>
      <c r="XDH590" s="9"/>
      <c r="XDI590" s="9"/>
      <c r="XDJ590" s="9"/>
      <c r="XDK590" s="9"/>
      <c r="XDL590" s="9"/>
      <c r="XDM590" s="9"/>
      <c r="XDN590" s="9"/>
      <c r="XDO590" s="9"/>
      <c r="XDP590" s="9"/>
      <c r="XDQ590" s="9"/>
      <c r="XDR590" s="9"/>
      <c r="XDS590" s="9"/>
      <c r="XDT590" s="9"/>
      <c r="XDU590" s="9"/>
      <c r="XDV590" s="9"/>
      <c r="XDW590" s="9"/>
      <c r="XDX590" s="9"/>
      <c r="XDY590" s="9"/>
      <c r="XDZ590" s="9"/>
      <c r="XEA590" s="9"/>
      <c r="XEB590" s="9"/>
      <c r="XEC590" s="9"/>
      <c r="XED590" s="9"/>
      <c r="XEE590" s="9"/>
      <c r="XEF590" s="9"/>
      <c r="XEG590" s="9"/>
      <c r="XEH590" s="9"/>
      <c r="XEI590" s="9"/>
      <c r="XEJ590" s="9"/>
      <c r="XEK590" s="9"/>
      <c r="XEL590" s="9"/>
      <c r="XEM590" s="9"/>
      <c r="XEN590" s="9"/>
      <c r="XEO590" s="9"/>
      <c r="XEP590" s="9"/>
      <c r="XEQ590" s="9"/>
      <c r="XER590" s="9"/>
      <c r="XES590" s="9"/>
      <c r="XET590" s="9"/>
      <c r="XEU590" s="9"/>
      <c r="XEV590" s="9"/>
      <c r="XEW590" s="9"/>
      <c r="XEX590" s="9"/>
      <c r="XEY590" s="9"/>
      <c r="XEZ590" s="9"/>
      <c r="XFA590" s="9"/>
      <c r="XFB590" s="9"/>
      <c r="XFC590" s="9"/>
      <c r="XFD590" s="9"/>
    </row>
    <row r="591" spans="1:8 16325:16384" s="3" customFormat="1" ht="19.95" customHeight="1">
      <c r="A591" s="6" t="str">
        <f t="shared" si="24"/>
        <v>040025</v>
      </c>
      <c r="B591" s="6" t="s">
        <v>20</v>
      </c>
      <c r="C591" s="6" t="s">
        <v>29</v>
      </c>
      <c r="D591" s="6" t="str">
        <f>"512523504"</f>
        <v>512523504</v>
      </c>
      <c r="E591" s="7">
        <v>61.5</v>
      </c>
      <c r="F591" s="7">
        <v>55</v>
      </c>
      <c r="G591" s="7"/>
      <c r="H591" s="7">
        <v>58.9</v>
      </c>
      <c r="XCW591" s="9"/>
      <c r="XCX591" s="9"/>
      <c r="XCY591" s="9"/>
      <c r="XCZ591" s="9"/>
      <c r="XDA591" s="9"/>
      <c r="XDB591" s="9"/>
      <c r="XDC591" s="9"/>
      <c r="XDD591" s="9"/>
      <c r="XDE591" s="9"/>
      <c r="XDF591" s="9"/>
      <c r="XDG591" s="9"/>
      <c r="XDH591" s="9"/>
      <c r="XDI591" s="9"/>
      <c r="XDJ591" s="9"/>
      <c r="XDK591" s="9"/>
      <c r="XDL591" s="9"/>
      <c r="XDM591" s="9"/>
      <c r="XDN591" s="9"/>
      <c r="XDO591" s="9"/>
      <c r="XDP591" s="9"/>
      <c r="XDQ591" s="9"/>
      <c r="XDR591" s="9"/>
      <c r="XDS591" s="9"/>
      <c r="XDT591" s="9"/>
      <c r="XDU591" s="9"/>
      <c r="XDV591" s="9"/>
      <c r="XDW591" s="9"/>
      <c r="XDX591" s="9"/>
      <c r="XDY591" s="9"/>
      <c r="XDZ591" s="9"/>
      <c r="XEA591" s="9"/>
      <c r="XEB591" s="9"/>
      <c r="XEC591" s="9"/>
      <c r="XED591" s="9"/>
      <c r="XEE591" s="9"/>
      <c r="XEF591" s="9"/>
      <c r="XEG591" s="9"/>
      <c r="XEH591" s="9"/>
      <c r="XEI591" s="9"/>
      <c r="XEJ591" s="9"/>
      <c r="XEK591" s="9"/>
      <c r="XEL591" s="9"/>
      <c r="XEM591" s="9"/>
      <c r="XEN591" s="9"/>
      <c r="XEO591" s="9"/>
      <c r="XEP591" s="9"/>
      <c r="XEQ591" s="9"/>
      <c r="XER591" s="9"/>
      <c r="XES591" s="9"/>
      <c r="XET591" s="9"/>
      <c r="XEU591" s="9"/>
      <c r="XEV591" s="9"/>
      <c r="XEW591" s="9"/>
      <c r="XEX591" s="9"/>
      <c r="XEY591" s="9"/>
      <c r="XEZ591" s="9"/>
      <c r="XFA591" s="9"/>
      <c r="XFB591" s="9"/>
      <c r="XFC591" s="9"/>
      <c r="XFD591" s="9"/>
    </row>
    <row r="592" spans="1:8 16325:16384" s="3" customFormat="1" ht="19.95" customHeight="1">
      <c r="A592" s="6" t="str">
        <f t="shared" si="24"/>
        <v>040025</v>
      </c>
      <c r="B592" s="6" t="s">
        <v>20</v>
      </c>
      <c r="C592" s="6" t="s">
        <v>29</v>
      </c>
      <c r="D592" s="6" t="str">
        <f>"512523509"</f>
        <v>512523509</v>
      </c>
      <c r="E592" s="7">
        <v>86.5</v>
      </c>
      <c r="F592" s="7">
        <v>87.5</v>
      </c>
      <c r="G592" s="7"/>
      <c r="H592" s="7">
        <v>86.9</v>
      </c>
      <c r="XCW592" s="9"/>
      <c r="XCX592" s="9"/>
      <c r="XCY592" s="9"/>
      <c r="XCZ592" s="9"/>
      <c r="XDA592" s="9"/>
      <c r="XDB592" s="9"/>
      <c r="XDC592" s="9"/>
      <c r="XDD592" s="9"/>
      <c r="XDE592" s="9"/>
      <c r="XDF592" s="9"/>
      <c r="XDG592" s="9"/>
      <c r="XDH592" s="9"/>
      <c r="XDI592" s="9"/>
      <c r="XDJ592" s="9"/>
      <c r="XDK592" s="9"/>
      <c r="XDL592" s="9"/>
      <c r="XDM592" s="9"/>
      <c r="XDN592" s="9"/>
      <c r="XDO592" s="9"/>
      <c r="XDP592" s="9"/>
      <c r="XDQ592" s="9"/>
      <c r="XDR592" s="9"/>
      <c r="XDS592" s="9"/>
      <c r="XDT592" s="9"/>
      <c r="XDU592" s="9"/>
      <c r="XDV592" s="9"/>
      <c r="XDW592" s="9"/>
      <c r="XDX592" s="9"/>
      <c r="XDY592" s="9"/>
      <c r="XDZ592" s="9"/>
      <c r="XEA592" s="9"/>
      <c r="XEB592" s="9"/>
      <c r="XEC592" s="9"/>
      <c r="XED592" s="9"/>
      <c r="XEE592" s="9"/>
      <c r="XEF592" s="9"/>
      <c r="XEG592" s="9"/>
      <c r="XEH592" s="9"/>
      <c r="XEI592" s="9"/>
      <c r="XEJ592" s="9"/>
      <c r="XEK592" s="9"/>
      <c r="XEL592" s="9"/>
      <c r="XEM592" s="9"/>
      <c r="XEN592" s="9"/>
      <c r="XEO592" s="9"/>
      <c r="XEP592" s="9"/>
      <c r="XEQ592" s="9"/>
      <c r="XER592" s="9"/>
      <c r="XES592" s="9"/>
      <c r="XET592" s="9"/>
      <c r="XEU592" s="9"/>
      <c r="XEV592" s="9"/>
      <c r="XEW592" s="9"/>
      <c r="XEX592" s="9"/>
      <c r="XEY592" s="9"/>
      <c r="XEZ592" s="9"/>
      <c r="XFA592" s="9"/>
      <c r="XFB592" s="9"/>
      <c r="XFC592" s="9"/>
      <c r="XFD592" s="9"/>
    </row>
    <row r="593" spans="1:8 16325:16384" s="3" customFormat="1" ht="19.95" customHeight="1">
      <c r="A593" s="6" t="str">
        <f t="shared" si="24"/>
        <v>040025</v>
      </c>
      <c r="B593" s="6" t="s">
        <v>20</v>
      </c>
      <c r="C593" s="6" t="s">
        <v>29</v>
      </c>
      <c r="D593" s="6" t="str">
        <f>"512523501"</f>
        <v>512523501</v>
      </c>
      <c r="E593" s="7">
        <v>0</v>
      </c>
      <c r="F593" s="7">
        <v>0</v>
      </c>
      <c r="G593" s="7"/>
      <c r="H593" s="7">
        <v>0</v>
      </c>
      <c r="XCW593" s="9"/>
      <c r="XCX593" s="9"/>
      <c r="XCY593" s="9"/>
      <c r="XCZ593" s="9"/>
      <c r="XDA593" s="9"/>
      <c r="XDB593" s="9"/>
      <c r="XDC593" s="9"/>
      <c r="XDD593" s="9"/>
      <c r="XDE593" s="9"/>
      <c r="XDF593" s="9"/>
      <c r="XDG593" s="9"/>
      <c r="XDH593" s="9"/>
      <c r="XDI593" s="9"/>
      <c r="XDJ593" s="9"/>
      <c r="XDK593" s="9"/>
      <c r="XDL593" s="9"/>
      <c r="XDM593" s="9"/>
      <c r="XDN593" s="9"/>
      <c r="XDO593" s="9"/>
      <c r="XDP593" s="9"/>
      <c r="XDQ593" s="9"/>
      <c r="XDR593" s="9"/>
      <c r="XDS593" s="9"/>
      <c r="XDT593" s="9"/>
      <c r="XDU593" s="9"/>
      <c r="XDV593" s="9"/>
      <c r="XDW593" s="9"/>
      <c r="XDX593" s="9"/>
      <c r="XDY593" s="9"/>
      <c r="XDZ593" s="9"/>
      <c r="XEA593" s="9"/>
      <c r="XEB593" s="9"/>
      <c r="XEC593" s="9"/>
      <c r="XED593" s="9"/>
      <c r="XEE593" s="9"/>
      <c r="XEF593" s="9"/>
      <c r="XEG593" s="9"/>
      <c r="XEH593" s="9"/>
      <c r="XEI593" s="9"/>
      <c r="XEJ593" s="9"/>
      <c r="XEK593" s="9"/>
      <c r="XEL593" s="9"/>
      <c r="XEM593" s="9"/>
      <c r="XEN593" s="9"/>
      <c r="XEO593" s="9"/>
      <c r="XEP593" s="9"/>
      <c r="XEQ593" s="9"/>
      <c r="XER593" s="9"/>
      <c r="XES593" s="9"/>
      <c r="XET593" s="9"/>
      <c r="XEU593" s="9"/>
      <c r="XEV593" s="9"/>
      <c r="XEW593" s="9"/>
      <c r="XEX593" s="9"/>
      <c r="XEY593" s="9"/>
      <c r="XEZ593" s="9"/>
      <c r="XFA593" s="9"/>
      <c r="XFB593" s="9"/>
      <c r="XFC593" s="9"/>
      <c r="XFD593" s="9"/>
    </row>
    <row r="594" spans="1:8 16325:16384" s="3" customFormat="1" ht="19.95" customHeight="1">
      <c r="A594" s="6" t="str">
        <f t="shared" si="24"/>
        <v>040025</v>
      </c>
      <c r="B594" s="6" t="s">
        <v>20</v>
      </c>
      <c r="C594" s="6" t="s">
        <v>29</v>
      </c>
      <c r="D594" s="6" t="str">
        <f>"512523507"</f>
        <v>512523507</v>
      </c>
      <c r="E594" s="7">
        <v>0</v>
      </c>
      <c r="F594" s="7">
        <v>0</v>
      </c>
      <c r="G594" s="7"/>
      <c r="H594" s="7">
        <v>0</v>
      </c>
      <c r="XCW594" s="9"/>
      <c r="XCX594" s="9"/>
      <c r="XCY594" s="9"/>
      <c r="XCZ594" s="9"/>
      <c r="XDA594" s="9"/>
      <c r="XDB594" s="9"/>
      <c r="XDC594" s="9"/>
      <c r="XDD594" s="9"/>
      <c r="XDE594" s="9"/>
      <c r="XDF594" s="9"/>
      <c r="XDG594" s="9"/>
      <c r="XDH594" s="9"/>
      <c r="XDI594" s="9"/>
      <c r="XDJ594" s="9"/>
      <c r="XDK594" s="9"/>
      <c r="XDL594" s="9"/>
      <c r="XDM594" s="9"/>
      <c r="XDN594" s="9"/>
      <c r="XDO594" s="9"/>
      <c r="XDP594" s="9"/>
      <c r="XDQ594" s="9"/>
      <c r="XDR594" s="9"/>
      <c r="XDS594" s="9"/>
      <c r="XDT594" s="9"/>
      <c r="XDU594" s="9"/>
      <c r="XDV594" s="9"/>
      <c r="XDW594" s="9"/>
      <c r="XDX594" s="9"/>
      <c r="XDY594" s="9"/>
      <c r="XDZ594" s="9"/>
      <c r="XEA594" s="9"/>
      <c r="XEB594" s="9"/>
      <c r="XEC594" s="9"/>
      <c r="XED594" s="9"/>
      <c r="XEE594" s="9"/>
      <c r="XEF594" s="9"/>
      <c r="XEG594" s="9"/>
      <c r="XEH594" s="9"/>
      <c r="XEI594" s="9"/>
      <c r="XEJ594" s="9"/>
      <c r="XEK594" s="9"/>
      <c r="XEL594" s="9"/>
      <c r="XEM594" s="9"/>
      <c r="XEN594" s="9"/>
      <c r="XEO594" s="9"/>
      <c r="XEP594" s="9"/>
      <c r="XEQ594" s="9"/>
      <c r="XER594" s="9"/>
      <c r="XES594" s="9"/>
      <c r="XET594" s="9"/>
      <c r="XEU594" s="9"/>
      <c r="XEV594" s="9"/>
      <c r="XEW594" s="9"/>
      <c r="XEX594" s="9"/>
      <c r="XEY594" s="9"/>
      <c r="XEZ594" s="9"/>
      <c r="XFA594" s="9"/>
      <c r="XFB594" s="9"/>
      <c r="XFC594" s="9"/>
      <c r="XFD594" s="9"/>
    </row>
    <row r="595" spans="1:8 16325:16384" s="3" customFormat="1" ht="19.95" customHeight="1">
      <c r="A595" s="6" t="str">
        <f t="shared" si="24"/>
        <v>040025</v>
      </c>
      <c r="B595" s="6" t="s">
        <v>20</v>
      </c>
      <c r="C595" s="6" t="s">
        <v>29</v>
      </c>
      <c r="D595" s="6" t="str">
        <f>"512523506"</f>
        <v>512523506</v>
      </c>
      <c r="E595" s="7">
        <v>79.5</v>
      </c>
      <c r="F595" s="7">
        <v>76.5</v>
      </c>
      <c r="G595" s="7"/>
      <c r="H595" s="7">
        <v>78.3</v>
      </c>
      <c r="XCW595" s="9"/>
      <c r="XCX595" s="9"/>
      <c r="XCY595" s="9"/>
      <c r="XCZ595" s="9"/>
      <c r="XDA595" s="9"/>
      <c r="XDB595" s="9"/>
      <c r="XDC595" s="9"/>
      <c r="XDD595" s="9"/>
      <c r="XDE595" s="9"/>
      <c r="XDF595" s="9"/>
      <c r="XDG595" s="9"/>
      <c r="XDH595" s="9"/>
      <c r="XDI595" s="9"/>
      <c r="XDJ595" s="9"/>
      <c r="XDK595" s="9"/>
      <c r="XDL595" s="9"/>
      <c r="XDM595" s="9"/>
      <c r="XDN595" s="9"/>
      <c r="XDO595" s="9"/>
      <c r="XDP595" s="9"/>
      <c r="XDQ595" s="9"/>
      <c r="XDR595" s="9"/>
      <c r="XDS595" s="9"/>
      <c r="XDT595" s="9"/>
      <c r="XDU595" s="9"/>
      <c r="XDV595" s="9"/>
      <c r="XDW595" s="9"/>
      <c r="XDX595" s="9"/>
      <c r="XDY595" s="9"/>
      <c r="XDZ595" s="9"/>
      <c r="XEA595" s="9"/>
      <c r="XEB595" s="9"/>
      <c r="XEC595" s="9"/>
      <c r="XED595" s="9"/>
      <c r="XEE595" s="9"/>
      <c r="XEF595" s="9"/>
      <c r="XEG595" s="9"/>
      <c r="XEH595" s="9"/>
      <c r="XEI595" s="9"/>
      <c r="XEJ595" s="9"/>
      <c r="XEK595" s="9"/>
      <c r="XEL595" s="9"/>
      <c r="XEM595" s="9"/>
      <c r="XEN595" s="9"/>
      <c r="XEO595" s="9"/>
      <c r="XEP595" s="9"/>
      <c r="XEQ595" s="9"/>
      <c r="XER595" s="9"/>
      <c r="XES595" s="9"/>
      <c r="XET595" s="9"/>
      <c r="XEU595" s="9"/>
      <c r="XEV595" s="9"/>
      <c r="XEW595" s="9"/>
      <c r="XEX595" s="9"/>
      <c r="XEY595" s="9"/>
      <c r="XEZ595" s="9"/>
      <c r="XFA595" s="9"/>
      <c r="XFB595" s="9"/>
      <c r="XFC595" s="9"/>
      <c r="XFD595" s="9"/>
    </row>
    <row r="596" spans="1:8 16325:16384" s="3" customFormat="1" ht="19.95" customHeight="1">
      <c r="A596" s="6" t="str">
        <f t="shared" si="24"/>
        <v>040025</v>
      </c>
      <c r="B596" s="6" t="s">
        <v>20</v>
      </c>
      <c r="C596" s="6" t="s">
        <v>29</v>
      </c>
      <c r="D596" s="6" t="str">
        <f>"512523429"</f>
        <v>512523429</v>
      </c>
      <c r="E596" s="7">
        <v>62</v>
      </c>
      <c r="F596" s="7">
        <v>72.5</v>
      </c>
      <c r="G596" s="7"/>
      <c r="H596" s="7">
        <v>66.2</v>
      </c>
      <c r="XCW596" s="9"/>
      <c r="XCX596" s="9"/>
      <c r="XCY596" s="9"/>
      <c r="XCZ596" s="9"/>
      <c r="XDA596" s="9"/>
      <c r="XDB596" s="9"/>
      <c r="XDC596" s="9"/>
      <c r="XDD596" s="9"/>
      <c r="XDE596" s="9"/>
      <c r="XDF596" s="9"/>
      <c r="XDG596" s="9"/>
      <c r="XDH596" s="9"/>
      <c r="XDI596" s="9"/>
      <c r="XDJ596" s="9"/>
      <c r="XDK596" s="9"/>
      <c r="XDL596" s="9"/>
      <c r="XDM596" s="9"/>
      <c r="XDN596" s="9"/>
      <c r="XDO596" s="9"/>
      <c r="XDP596" s="9"/>
      <c r="XDQ596" s="9"/>
      <c r="XDR596" s="9"/>
      <c r="XDS596" s="9"/>
      <c r="XDT596" s="9"/>
      <c r="XDU596" s="9"/>
      <c r="XDV596" s="9"/>
      <c r="XDW596" s="9"/>
      <c r="XDX596" s="9"/>
      <c r="XDY596" s="9"/>
      <c r="XDZ596" s="9"/>
      <c r="XEA596" s="9"/>
      <c r="XEB596" s="9"/>
      <c r="XEC596" s="9"/>
      <c r="XED596" s="9"/>
      <c r="XEE596" s="9"/>
      <c r="XEF596" s="9"/>
      <c r="XEG596" s="9"/>
      <c r="XEH596" s="9"/>
      <c r="XEI596" s="9"/>
      <c r="XEJ596" s="9"/>
      <c r="XEK596" s="9"/>
      <c r="XEL596" s="9"/>
      <c r="XEM596" s="9"/>
      <c r="XEN596" s="9"/>
      <c r="XEO596" s="9"/>
      <c r="XEP596" s="9"/>
      <c r="XEQ596" s="9"/>
      <c r="XER596" s="9"/>
      <c r="XES596" s="9"/>
      <c r="XET596" s="9"/>
      <c r="XEU596" s="9"/>
      <c r="XEV596" s="9"/>
      <c r="XEW596" s="9"/>
      <c r="XEX596" s="9"/>
      <c r="XEY596" s="9"/>
      <c r="XEZ596" s="9"/>
      <c r="XFA596" s="9"/>
      <c r="XFB596" s="9"/>
      <c r="XFC596" s="9"/>
      <c r="XFD596" s="9"/>
    </row>
    <row r="597" spans="1:8 16325:16384" s="3" customFormat="1" ht="19.95" customHeight="1">
      <c r="A597" s="6" t="str">
        <f t="shared" si="24"/>
        <v>040025</v>
      </c>
      <c r="B597" s="6" t="s">
        <v>20</v>
      </c>
      <c r="C597" s="6" t="s">
        <v>29</v>
      </c>
      <c r="D597" s="6" t="str">
        <f>"512523505"</f>
        <v>512523505</v>
      </c>
      <c r="E597" s="7">
        <v>0</v>
      </c>
      <c r="F597" s="7">
        <v>0</v>
      </c>
      <c r="G597" s="7"/>
      <c r="H597" s="7">
        <v>0</v>
      </c>
      <c r="XCW597" s="9"/>
      <c r="XCX597" s="9"/>
      <c r="XCY597" s="9"/>
      <c r="XCZ597" s="9"/>
      <c r="XDA597" s="9"/>
      <c r="XDB597" s="9"/>
      <c r="XDC597" s="9"/>
      <c r="XDD597" s="9"/>
      <c r="XDE597" s="9"/>
      <c r="XDF597" s="9"/>
      <c r="XDG597" s="9"/>
      <c r="XDH597" s="9"/>
      <c r="XDI597" s="9"/>
      <c r="XDJ597" s="9"/>
      <c r="XDK597" s="9"/>
      <c r="XDL597" s="9"/>
      <c r="XDM597" s="9"/>
      <c r="XDN597" s="9"/>
      <c r="XDO597" s="9"/>
      <c r="XDP597" s="9"/>
      <c r="XDQ597" s="9"/>
      <c r="XDR597" s="9"/>
      <c r="XDS597" s="9"/>
      <c r="XDT597" s="9"/>
      <c r="XDU597" s="9"/>
      <c r="XDV597" s="9"/>
      <c r="XDW597" s="9"/>
      <c r="XDX597" s="9"/>
      <c r="XDY597" s="9"/>
      <c r="XDZ597" s="9"/>
      <c r="XEA597" s="9"/>
      <c r="XEB597" s="9"/>
      <c r="XEC597" s="9"/>
      <c r="XED597" s="9"/>
      <c r="XEE597" s="9"/>
      <c r="XEF597" s="9"/>
      <c r="XEG597" s="9"/>
      <c r="XEH597" s="9"/>
      <c r="XEI597" s="9"/>
      <c r="XEJ597" s="9"/>
      <c r="XEK597" s="9"/>
      <c r="XEL597" s="9"/>
      <c r="XEM597" s="9"/>
      <c r="XEN597" s="9"/>
      <c r="XEO597" s="9"/>
      <c r="XEP597" s="9"/>
      <c r="XEQ597" s="9"/>
      <c r="XER597" s="9"/>
      <c r="XES597" s="9"/>
      <c r="XET597" s="9"/>
      <c r="XEU597" s="9"/>
      <c r="XEV597" s="9"/>
      <c r="XEW597" s="9"/>
      <c r="XEX597" s="9"/>
      <c r="XEY597" s="9"/>
      <c r="XEZ597" s="9"/>
      <c r="XFA597" s="9"/>
      <c r="XFB597" s="9"/>
      <c r="XFC597" s="9"/>
      <c r="XFD597" s="9"/>
    </row>
    <row r="598" spans="1:8 16325:16384" s="3" customFormat="1" ht="19.95" customHeight="1">
      <c r="A598" s="6" t="str">
        <f t="shared" si="24"/>
        <v>040025</v>
      </c>
      <c r="B598" s="6" t="s">
        <v>20</v>
      </c>
      <c r="C598" s="6" t="s">
        <v>29</v>
      </c>
      <c r="D598" s="6" t="str">
        <f>"512523508"</f>
        <v>512523508</v>
      </c>
      <c r="E598" s="7">
        <v>65.5</v>
      </c>
      <c r="F598" s="7">
        <v>63</v>
      </c>
      <c r="G598" s="7"/>
      <c r="H598" s="7">
        <v>64.5</v>
      </c>
      <c r="XCW598" s="9"/>
      <c r="XCX598" s="9"/>
      <c r="XCY598" s="9"/>
      <c r="XCZ598" s="9"/>
      <c r="XDA598" s="9"/>
      <c r="XDB598" s="9"/>
      <c r="XDC598" s="9"/>
      <c r="XDD598" s="9"/>
      <c r="XDE598" s="9"/>
      <c r="XDF598" s="9"/>
      <c r="XDG598" s="9"/>
      <c r="XDH598" s="9"/>
      <c r="XDI598" s="9"/>
      <c r="XDJ598" s="9"/>
      <c r="XDK598" s="9"/>
      <c r="XDL598" s="9"/>
      <c r="XDM598" s="9"/>
      <c r="XDN598" s="9"/>
      <c r="XDO598" s="9"/>
      <c r="XDP598" s="9"/>
      <c r="XDQ598" s="9"/>
      <c r="XDR598" s="9"/>
      <c r="XDS598" s="9"/>
      <c r="XDT598" s="9"/>
      <c r="XDU598" s="9"/>
      <c r="XDV598" s="9"/>
      <c r="XDW598" s="9"/>
      <c r="XDX598" s="9"/>
      <c r="XDY598" s="9"/>
      <c r="XDZ598" s="9"/>
      <c r="XEA598" s="9"/>
      <c r="XEB598" s="9"/>
      <c r="XEC598" s="9"/>
      <c r="XED598" s="9"/>
      <c r="XEE598" s="9"/>
      <c r="XEF598" s="9"/>
      <c r="XEG598" s="9"/>
      <c r="XEH598" s="9"/>
      <c r="XEI598" s="9"/>
      <c r="XEJ598" s="9"/>
      <c r="XEK598" s="9"/>
      <c r="XEL598" s="9"/>
      <c r="XEM598" s="9"/>
      <c r="XEN598" s="9"/>
      <c r="XEO598" s="9"/>
      <c r="XEP598" s="9"/>
      <c r="XEQ598" s="9"/>
      <c r="XER598" s="9"/>
      <c r="XES598" s="9"/>
      <c r="XET598" s="9"/>
      <c r="XEU598" s="9"/>
      <c r="XEV598" s="9"/>
      <c r="XEW598" s="9"/>
      <c r="XEX598" s="9"/>
      <c r="XEY598" s="9"/>
      <c r="XEZ598" s="9"/>
      <c r="XFA598" s="9"/>
      <c r="XFB598" s="9"/>
      <c r="XFC598" s="9"/>
      <c r="XFD598" s="9"/>
    </row>
    <row r="599" spans="1:8 16325:16384" s="3" customFormat="1" ht="19.95" customHeight="1">
      <c r="A599" s="6" t="str">
        <f t="shared" si="24"/>
        <v>040025</v>
      </c>
      <c r="B599" s="6" t="s">
        <v>20</v>
      </c>
      <c r="C599" s="6" t="s">
        <v>29</v>
      </c>
      <c r="D599" s="6" t="str">
        <f>"512523428"</f>
        <v>512523428</v>
      </c>
      <c r="E599" s="7">
        <v>32</v>
      </c>
      <c r="F599" s="7">
        <v>60</v>
      </c>
      <c r="G599" s="7"/>
      <c r="H599" s="7">
        <v>43.2</v>
      </c>
      <c r="XCW599" s="9"/>
      <c r="XCX599" s="9"/>
      <c r="XCY599" s="9"/>
      <c r="XCZ599" s="9"/>
      <c r="XDA599" s="9"/>
      <c r="XDB599" s="9"/>
      <c r="XDC599" s="9"/>
      <c r="XDD599" s="9"/>
      <c r="XDE599" s="9"/>
      <c r="XDF599" s="9"/>
      <c r="XDG599" s="9"/>
      <c r="XDH599" s="9"/>
      <c r="XDI599" s="9"/>
      <c r="XDJ599" s="9"/>
      <c r="XDK599" s="9"/>
      <c r="XDL599" s="9"/>
      <c r="XDM599" s="9"/>
      <c r="XDN599" s="9"/>
      <c r="XDO599" s="9"/>
      <c r="XDP599" s="9"/>
      <c r="XDQ599" s="9"/>
      <c r="XDR599" s="9"/>
      <c r="XDS599" s="9"/>
      <c r="XDT599" s="9"/>
      <c r="XDU599" s="9"/>
      <c r="XDV599" s="9"/>
      <c r="XDW599" s="9"/>
      <c r="XDX599" s="9"/>
      <c r="XDY599" s="9"/>
      <c r="XDZ599" s="9"/>
      <c r="XEA599" s="9"/>
      <c r="XEB599" s="9"/>
      <c r="XEC599" s="9"/>
      <c r="XED599" s="9"/>
      <c r="XEE599" s="9"/>
      <c r="XEF599" s="9"/>
      <c r="XEG599" s="9"/>
      <c r="XEH599" s="9"/>
      <c r="XEI599" s="9"/>
      <c r="XEJ599" s="9"/>
      <c r="XEK599" s="9"/>
      <c r="XEL599" s="9"/>
      <c r="XEM599" s="9"/>
      <c r="XEN599" s="9"/>
      <c r="XEO599" s="9"/>
      <c r="XEP599" s="9"/>
      <c r="XEQ599" s="9"/>
      <c r="XER599" s="9"/>
      <c r="XES599" s="9"/>
      <c r="XET599" s="9"/>
      <c r="XEU599" s="9"/>
      <c r="XEV599" s="9"/>
      <c r="XEW599" s="9"/>
      <c r="XEX599" s="9"/>
      <c r="XEY599" s="9"/>
      <c r="XEZ599" s="9"/>
      <c r="XFA599" s="9"/>
      <c r="XFB599" s="9"/>
      <c r="XFC599" s="9"/>
      <c r="XFD599" s="9"/>
    </row>
    <row r="600" spans="1:8 16325:16384" s="3" customFormat="1" ht="19.95" customHeight="1">
      <c r="A600" s="6" t="str">
        <f t="shared" si="24"/>
        <v>040025</v>
      </c>
      <c r="B600" s="6" t="s">
        <v>20</v>
      </c>
      <c r="C600" s="6" t="s">
        <v>29</v>
      </c>
      <c r="D600" s="6" t="str">
        <f>"512523502"</f>
        <v>512523502</v>
      </c>
      <c r="E600" s="7">
        <v>53</v>
      </c>
      <c r="F600" s="7">
        <v>62.5</v>
      </c>
      <c r="G600" s="7"/>
      <c r="H600" s="7">
        <v>56.8</v>
      </c>
      <c r="XCW600" s="9"/>
      <c r="XCX600" s="9"/>
      <c r="XCY600" s="9"/>
      <c r="XCZ600" s="9"/>
      <c r="XDA600" s="9"/>
      <c r="XDB600" s="9"/>
      <c r="XDC600" s="9"/>
      <c r="XDD600" s="9"/>
      <c r="XDE600" s="9"/>
      <c r="XDF600" s="9"/>
      <c r="XDG600" s="9"/>
      <c r="XDH600" s="9"/>
      <c r="XDI600" s="9"/>
      <c r="XDJ600" s="9"/>
      <c r="XDK600" s="9"/>
      <c r="XDL600" s="9"/>
      <c r="XDM600" s="9"/>
      <c r="XDN600" s="9"/>
      <c r="XDO600" s="9"/>
      <c r="XDP600" s="9"/>
      <c r="XDQ600" s="9"/>
      <c r="XDR600" s="9"/>
      <c r="XDS600" s="9"/>
      <c r="XDT600" s="9"/>
      <c r="XDU600" s="9"/>
      <c r="XDV600" s="9"/>
      <c r="XDW600" s="9"/>
      <c r="XDX600" s="9"/>
      <c r="XDY600" s="9"/>
      <c r="XDZ600" s="9"/>
      <c r="XEA600" s="9"/>
      <c r="XEB600" s="9"/>
      <c r="XEC600" s="9"/>
      <c r="XED600" s="9"/>
      <c r="XEE600" s="9"/>
      <c r="XEF600" s="9"/>
      <c r="XEG600" s="9"/>
      <c r="XEH600" s="9"/>
      <c r="XEI600" s="9"/>
      <c r="XEJ600" s="9"/>
      <c r="XEK600" s="9"/>
      <c r="XEL600" s="9"/>
      <c r="XEM600" s="9"/>
      <c r="XEN600" s="9"/>
      <c r="XEO600" s="9"/>
      <c r="XEP600" s="9"/>
      <c r="XEQ600" s="9"/>
      <c r="XER600" s="9"/>
      <c r="XES600" s="9"/>
      <c r="XET600" s="9"/>
      <c r="XEU600" s="9"/>
      <c r="XEV600" s="9"/>
      <c r="XEW600" s="9"/>
      <c r="XEX600" s="9"/>
      <c r="XEY600" s="9"/>
      <c r="XEZ600" s="9"/>
      <c r="XFA600" s="9"/>
      <c r="XFB600" s="9"/>
      <c r="XFC600" s="9"/>
      <c r="XFD600" s="9"/>
    </row>
    <row r="601" spans="1:8 16325:16384" s="3" customFormat="1" ht="19.95" customHeight="1">
      <c r="A601" s="6" t="str">
        <f t="shared" si="24"/>
        <v>040025</v>
      </c>
      <c r="B601" s="6" t="s">
        <v>20</v>
      </c>
      <c r="C601" s="6" t="s">
        <v>29</v>
      </c>
      <c r="D601" s="6" t="str">
        <f>"512523503"</f>
        <v>512523503</v>
      </c>
      <c r="E601" s="7">
        <v>76.5</v>
      </c>
      <c r="F601" s="7">
        <v>72.5</v>
      </c>
      <c r="G601" s="7"/>
      <c r="H601" s="7">
        <v>74.900000000000006</v>
      </c>
      <c r="XCW601" s="9"/>
      <c r="XCX601" s="9"/>
      <c r="XCY601" s="9"/>
      <c r="XCZ601" s="9"/>
      <c r="XDA601" s="9"/>
      <c r="XDB601" s="9"/>
      <c r="XDC601" s="9"/>
      <c r="XDD601" s="9"/>
      <c r="XDE601" s="9"/>
      <c r="XDF601" s="9"/>
      <c r="XDG601" s="9"/>
      <c r="XDH601" s="9"/>
      <c r="XDI601" s="9"/>
      <c r="XDJ601" s="9"/>
      <c r="XDK601" s="9"/>
      <c r="XDL601" s="9"/>
      <c r="XDM601" s="9"/>
      <c r="XDN601" s="9"/>
      <c r="XDO601" s="9"/>
      <c r="XDP601" s="9"/>
      <c r="XDQ601" s="9"/>
      <c r="XDR601" s="9"/>
      <c r="XDS601" s="9"/>
      <c r="XDT601" s="9"/>
      <c r="XDU601" s="9"/>
      <c r="XDV601" s="9"/>
      <c r="XDW601" s="9"/>
      <c r="XDX601" s="9"/>
      <c r="XDY601" s="9"/>
      <c r="XDZ601" s="9"/>
      <c r="XEA601" s="9"/>
      <c r="XEB601" s="9"/>
      <c r="XEC601" s="9"/>
      <c r="XED601" s="9"/>
      <c r="XEE601" s="9"/>
      <c r="XEF601" s="9"/>
      <c r="XEG601" s="9"/>
      <c r="XEH601" s="9"/>
      <c r="XEI601" s="9"/>
      <c r="XEJ601" s="9"/>
      <c r="XEK601" s="9"/>
      <c r="XEL601" s="9"/>
      <c r="XEM601" s="9"/>
      <c r="XEN601" s="9"/>
      <c r="XEO601" s="9"/>
      <c r="XEP601" s="9"/>
      <c r="XEQ601" s="9"/>
      <c r="XER601" s="9"/>
      <c r="XES601" s="9"/>
      <c r="XET601" s="9"/>
      <c r="XEU601" s="9"/>
      <c r="XEV601" s="9"/>
      <c r="XEW601" s="9"/>
      <c r="XEX601" s="9"/>
      <c r="XEY601" s="9"/>
      <c r="XEZ601" s="9"/>
      <c r="XFA601" s="9"/>
      <c r="XFB601" s="9"/>
      <c r="XFC601" s="9"/>
      <c r="XFD601" s="9"/>
    </row>
    <row r="602" spans="1:8 16325:16384" s="3" customFormat="1" ht="19.95" customHeight="1">
      <c r="A602" s="6" t="str">
        <f t="shared" si="24"/>
        <v>040025</v>
      </c>
      <c r="B602" s="6" t="s">
        <v>20</v>
      </c>
      <c r="C602" s="6" t="s">
        <v>29</v>
      </c>
      <c r="D602" s="6" t="str">
        <f>"512523427"</f>
        <v>512523427</v>
      </c>
      <c r="E602" s="7">
        <v>49.5</v>
      </c>
      <c r="F602" s="7">
        <v>57.5</v>
      </c>
      <c r="G602" s="7"/>
      <c r="H602" s="7">
        <v>52.7</v>
      </c>
      <c r="XCW602" s="9"/>
      <c r="XCX602" s="9"/>
      <c r="XCY602" s="9"/>
      <c r="XCZ602" s="9"/>
      <c r="XDA602" s="9"/>
      <c r="XDB602" s="9"/>
      <c r="XDC602" s="9"/>
      <c r="XDD602" s="9"/>
      <c r="XDE602" s="9"/>
      <c r="XDF602" s="9"/>
      <c r="XDG602" s="9"/>
      <c r="XDH602" s="9"/>
      <c r="XDI602" s="9"/>
      <c r="XDJ602" s="9"/>
      <c r="XDK602" s="9"/>
      <c r="XDL602" s="9"/>
      <c r="XDM602" s="9"/>
      <c r="XDN602" s="9"/>
      <c r="XDO602" s="9"/>
      <c r="XDP602" s="9"/>
      <c r="XDQ602" s="9"/>
      <c r="XDR602" s="9"/>
      <c r="XDS602" s="9"/>
      <c r="XDT602" s="9"/>
      <c r="XDU602" s="9"/>
      <c r="XDV602" s="9"/>
      <c r="XDW602" s="9"/>
      <c r="XDX602" s="9"/>
      <c r="XDY602" s="9"/>
      <c r="XDZ602" s="9"/>
      <c r="XEA602" s="9"/>
      <c r="XEB602" s="9"/>
      <c r="XEC602" s="9"/>
      <c r="XED602" s="9"/>
      <c r="XEE602" s="9"/>
      <c r="XEF602" s="9"/>
      <c r="XEG602" s="9"/>
      <c r="XEH602" s="9"/>
      <c r="XEI602" s="9"/>
      <c r="XEJ602" s="9"/>
      <c r="XEK602" s="9"/>
      <c r="XEL602" s="9"/>
      <c r="XEM602" s="9"/>
      <c r="XEN602" s="9"/>
      <c r="XEO602" s="9"/>
      <c r="XEP602" s="9"/>
      <c r="XEQ602" s="9"/>
      <c r="XER602" s="9"/>
      <c r="XES602" s="9"/>
      <c r="XET602" s="9"/>
      <c r="XEU602" s="9"/>
      <c r="XEV602" s="9"/>
      <c r="XEW602" s="9"/>
      <c r="XEX602" s="9"/>
      <c r="XEY602" s="9"/>
      <c r="XEZ602" s="9"/>
      <c r="XFA602" s="9"/>
      <c r="XFB602" s="9"/>
      <c r="XFC602" s="9"/>
      <c r="XFD602" s="9"/>
    </row>
    <row r="603" spans="1:8 16325:16384" s="3" customFormat="1" ht="19.95" customHeight="1">
      <c r="A603" s="6" t="str">
        <f t="shared" ref="A603:A635" si="25">"040026"</f>
        <v>040026</v>
      </c>
      <c r="B603" s="6" t="s">
        <v>30</v>
      </c>
      <c r="C603" s="6" t="s">
        <v>29</v>
      </c>
      <c r="D603" s="6" t="str">
        <f>"512627321"</f>
        <v>512627321</v>
      </c>
      <c r="E603" s="7">
        <v>91.5</v>
      </c>
      <c r="F603" s="7">
        <v>84</v>
      </c>
      <c r="G603" s="7"/>
      <c r="H603" s="7">
        <v>88.5</v>
      </c>
      <c r="XCW603" s="9"/>
      <c r="XCX603" s="9"/>
      <c r="XCY603" s="9"/>
      <c r="XCZ603" s="9"/>
      <c r="XDA603" s="9"/>
      <c r="XDB603" s="9"/>
      <c r="XDC603" s="9"/>
      <c r="XDD603" s="9"/>
      <c r="XDE603" s="9"/>
      <c r="XDF603" s="9"/>
      <c r="XDG603" s="9"/>
      <c r="XDH603" s="9"/>
      <c r="XDI603" s="9"/>
      <c r="XDJ603" s="9"/>
      <c r="XDK603" s="9"/>
      <c r="XDL603" s="9"/>
      <c r="XDM603" s="9"/>
      <c r="XDN603" s="9"/>
      <c r="XDO603" s="9"/>
      <c r="XDP603" s="9"/>
      <c r="XDQ603" s="9"/>
      <c r="XDR603" s="9"/>
      <c r="XDS603" s="9"/>
      <c r="XDT603" s="9"/>
      <c r="XDU603" s="9"/>
      <c r="XDV603" s="9"/>
      <c r="XDW603" s="9"/>
      <c r="XDX603" s="9"/>
      <c r="XDY603" s="9"/>
      <c r="XDZ603" s="9"/>
      <c r="XEA603" s="9"/>
      <c r="XEB603" s="9"/>
      <c r="XEC603" s="9"/>
      <c r="XED603" s="9"/>
      <c r="XEE603" s="9"/>
      <c r="XEF603" s="9"/>
      <c r="XEG603" s="9"/>
      <c r="XEH603" s="9"/>
      <c r="XEI603" s="9"/>
      <c r="XEJ603" s="9"/>
      <c r="XEK603" s="9"/>
      <c r="XEL603" s="9"/>
      <c r="XEM603" s="9"/>
      <c r="XEN603" s="9"/>
      <c r="XEO603" s="9"/>
      <c r="XEP603" s="9"/>
      <c r="XEQ603" s="9"/>
      <c r="XER603" s="9"/>
      <c r="XES603" s="9"/>
      <c r="XET603" s="9"/>
      <c r="XEU603" s="9"/>
      <c r="XEV603" s="9"/>
      <c r="XEW603" s="9"/>
      <c r="XEX603" s="9"/>
      <c r="XEY603" s="9"/>
      <c r="XEZ603" s="9"/>
      <c r="XFA603" s="9"/>
      <c r="XFB603" s="9"/>
      <c r="XFC603" s="9"/>
      <c r="XFD603" s="9"/>
    </row>
    <row r="604" spans="1:8 16325:16384" s="3" customFormat="1" ht="19.95" customHeight="1">
      <c r="A604" s="6" t="str">
        <f t="shared" si="25"/>
        <v>040026</v>
      </c>
      <c r="B604" s="6" t="s">
        <v>30</v>
      </c>
      <c r="C604" s="6" t="s">
        <v>29</v>
      </c>
      <c r="D604" s="6" t="str">
        <f>"512627317"</f>
        <v>512627317</v>
      </c>
      <c r="E604" s="7">
        <v>94.5</v>
      </c>
      <c r="F604" s="7">
        <v>76.5</v>
      </c>
      <c r="G604" s="7"/>
      <c r="H604" s="7">
        <v>87.3</v>
      </c>
      <c r="XCW604" s="9"/>
      <c r="XCX604" s="9"/>
      <c r="XCY604" s="9"/>
      <c r="XCZ604" s="9"/>
      <c r="XDA604" s="9"/>
      <c r="XDB604" s="9"/>
      <c r="XDC604" s="9"/>
      <c r="XDD604" s="9"/>
      <c r="XDE604" s="9"/>
      <c r="XDF604" s="9"/>
      <c r="XDG604" s="9"/>
      <c r="XDH604" s="9"/>
      <c r="XDI604" s="9"/>
      <c r="XDJ604" s="9"/>
      <c r="XDK604" s="9"/>
      <c r="XDL604" s="9"/>
      <c r="XDM604" s="9"/>
      <c r="XDN604" s="9"/>
      <c r="XDO604" s="9"/>
      <c r="XDP604" s="9"/>
      <c r="XDQ604" s="9"/>
      <c r="XDR604" s="9"/>
      <c r="XDS604" s="9"/>
      <c r="XDT604" s="9"/>
      <c r="XDU604" s="9"/>
      <c r="XDV604" s="9"/>
      <c r="XDW604" s="9"/>
      <c r="XDX604" s="9"/>
      <c r="XDY604" s="9"/>
      <c r="XDZ604" s="9"/>
      <c r="XEA604" s="9"/>
      <c r="XEB604" s="9"/>
      <c r="XEC604" s="9"/>
      <c r="XED604" s="9"/>
      <c r="XEE604" s="9"/>
      <c r="XEF604" s="9"/>
      <c r="XEG604" s="9"/>
      <c r="XEH604" s="9"/>
      <c r="XEI604" s="9"/>
      <c r="XEJ604" s="9"/>
      <c r="XEK604" s="9"/>
      <c r="XEL604" s="9"/>
      <c r="XEM604" s="9"/>
      <c r="XEN604" s="9"/>
      <c r="XEO604" s="9"/>
      <c r="XEP604" s="9"/>
      <c r="XEQ604" s="9"/>
      <c r="XER604" s="9"/>
      <c r="XES604" s="9"/>
      <c r="XET604" s="9"/>
      <c r="XEU604" s="9"/>
      <c r="XEV604" s="9"/>
      <c r="XEW604" s="9"/>
      <c r="XEX604" s="9"/>
      <c r="XEY604" s="9"/>
      <c r="XEZ604" s="9"/>
      <c r="XFA604" s="9"/>
      <c r="XFB604" s="9"/>
      <c r="XFC604" s="9"/>
      <c r="XFD604" s="9"/>
    </row>
    <row r="605" spans="1:8 16325:16384" s="3" customFormat="1" ht="19.95" customHeight="1">
      <c r="A605" s="6" t="str">
        <f t="shared" si="25"/>
        <v>040026</v>
      </c>
      <c r="B605" s="6" t="s">
        <v>30</v>
      </c>
      <c r="C605" s="6" t="s">
        <v>29</v>
      </c>
      <c r="D605" s="6" t="str">
        <f>"512627327"</f>
        <v>512627327</v>
      </c>
      <c r="E605" s="7">
        <v>98</v>
      </c>
      <c r="F605" s="7">
        <v>84</v>
      </c>
      <c r="G605" s="7">
        <v>2</v>
      </c>
      <c r="H605" s="7">
        <v>94.4</v>
      </c>
      <c r="XCW605" s="9"/>
      <c r="XCX605" s="9"/>
      <c r="XCY605" s="9"/>
      <c r="XCZ605" s="9"/>
      <c r="XDA605" s="9"/>
      <c r="XDB605" s="9"/>
      <c r="XDC605" s="9"/>
      <c r="XDD605" s="9"/>
      <c r="XDE605" s="9"/>
      <c r="XDF605" s="9"/>
      <c r="XDG605" s="9"/>
      <c r="XDH605" s="9"/>
      <c r="XDI605" s="9"/>
      <c r="XDJ605" s="9"/>
      <c r="XDK605" s="9"/>
      <c r="XDL605" s="9"/>
      <c r="XDM605" s="9"/>
      <c r="XDN605" s="9"/>
      <c r="XDO605" s="9"/>
      <c r="XDP605" s="9"/>
      <c r="XDQ605" s="9"/>
      <c r="XDR605" s="9"/>
      <c r="XDS605" s="9"/>
      <c r="XDT605" s="9"/>
      <c r="XDU605" s="9"/>
      <c r="XDV605" s="9"/>
      <c r="XDW605" s="9"/>
      <c r="XDX605" s="9"/>
      <c r="XDY605" s="9"/>
      <c r="XDZ605" s="9"/>
      <c r="XEA605" s="9"/>
      <c r="XEB605" s="9"/>
      <c r="XEC605" s="9"/>
      <c r="XED605" s="9"/>
      <c r="XEE605" s="9"/>
      <c r="XEF605" s="9"/>
      <c r="XEG605" s="9"/>
      <c r="XEH605" s="9"/>
      <c r="XEI605" s="9"/>
      <c r="XEJ605" s="9"/>
      <c r="XEK605" s="9"/>
      <c r="XEL605" s="9"/>
      <c r="XEM605" s="9"/>
      <c r="XEN605" s="9"/>
      <c r="XEO605" s="9"/>
      <c r="XEP605" s="9"/>
      <c r="XEQ605" s="9"/>
      <c r="XER605" s="9"/>
      <c r="XES605" s="9"/>
      <c r="XET605" s="9"/>
      <c r="XEU605" s="9"/>
      <c r="XEV605" s="9"/>
      <c r="XEW605" s="9"/>
      <c r="XEX605" s="9"/>
      <c r="XEY605" s="9"/>
      <c r="XEZ605" s="9"/>
      <c r="XFA605" s="9"/>
      <c r="XFB605" s="9"/>
      <c r="XFC605" s="9"/>
      <c r="XFD605" s="9"/>
    </row>
    <row r="606" spans="1:8 16325:16384" s="3" customFormat="1" ht="19.95" customHeight="1">
      <c r="A606" s="6" t="str">
        <f t="shared" si="25"/>
        <v>040026</v>
      </c>
      <c r="B606" s="6" t="s">
        <v>30</v>
      </c>
      <c r="C606" s="6" t="s">
        <v>29</v>
      </c>
      <c r="D606" s="6" t="str">
        <f>"512627401"</f>
        <v>512627401</v>
      </c>
      <c r="E606" s="7">
        <v>78.5</v>
      </c>
      <c r="F606" s="7">
        <v>72</v>
      </c>
      <c r="G606" s="7"/>
      <c r="H606" s="7">
        <v>75.900000000000006</v>
      </c>
      <c r="XCW606" s="9"/>
      <c r="XCX606" s="9"/>
      <c r="XCY606" s="9"/>
      <c r="XCZ606" s="9"/>
      <c r="XDA606" s="9"/>
      <c r="XDB606" s="9"/>
      <c r="XDC606" s="9"/>
      <c r="XDD606" s="9"/>
      <c r="XDE606" s="9"/>
      <c r="XDF606" s="9"/>
      <c r="XDG606" s="9"/>
      <c r="XDH606" s="9"/>
      <c r="XDI606" s="9"/>
      <c r="XDJ606" s="9"/>
      <c r="XDK606" s="9"/>
      <c r="XDL606" s="9"/>
      <c r="XDM606" s="9"/>
      <c r="XDN606" s="9"/>
      <c r="XDO606" s="9"/>
      <c r="XDP606" s="9"/>
      <c r="XDQ606" s="9"/>
      <c r="XDR606" s="9"/>
      <c r="XDS606" s="9"/>
      <c r="XDT606" s="9"/>
      <c r="XDU606" s="9"/>
      <c r="XDV606" s="9"/>
      <c r="XDW606" s="9"/>
      <c r="XDX606" s="9"/>
      <c r="XDY606" s="9"/>
      <c r="XDZ606" s="9"/>
      <c r="XEA606" s="9"/>
      <c r="XEB606" s="9"/>
      <c r="XEC606" s="9"/>
      <c r="XED606" s="9"/>
      <c r="XEE606" s="9"/>
      <c r="XEF606" s="9"/>
      <c r="XEG606" s="9"/>
      <c r="XEH606" s="9"/>
      <c r="XEI606" s="9"/>
      <c r="XEJ606" s="9"/>
      <c r="XEK606" s="9"/>
      <c r="XEL606" s="9"/>
      <c r="XEM606" s="9"/>
      <c r="XEN606" s="9"/>
      <c r="XEO606" s="9"/>
      <c r="XEP606" s="9"/>
      <c r="XEQ606" s="9"/>
      <c r="XER606" s="9"/>
      <c r="XES606" s="9"/>
      <c r="XET606" s="9"/>
      <c r="XEU606" s="9"/>
      <c r="XEV606" s="9"/>
      <c r="XEW606" s="9"/>
      <c r="XEX606" s="9"/>
      <c r="XEY606" s="9"/>
      <c r="XEZ606" s="9"/>
      <c r="XFA606" s="9"/>
      <c r="XFB606" s="9"/>
      <c r="XFC606" s="9"/>
      <c r="XFD606" s="9"/>
    </row>
    <row r="607" spans="1:8 16325:16384" s="3" customFormat="1" ht="19.95" customHeight="1">
      <c r="A607" s="6" t="str">
        <f t="shared" si="25"/>
        <v>040026</v>
      </c>
      <c r="B607" s="6" t="s">
        <v>30</v>
      </c>
      <c r="C607" s="6" t="s">
        <v>29</v>
      </c>
      <c r="D607" s="6" t="str">
        <f>"512627322"</f>
        <v>512627322</v>
      </c>
      <c r="E607" s="7">
        <v>86</v>
      </c>
      <c r="F607" s="7">
        <v>74</v>
      </c>
      <c r="G607" s="7"/>
      <c r="H607" s="7">
        <v>81.2</v>
      </c>
      <c r="XCW607" s="9"/>
      <c r="XCX607" s="9"/>
      <c r="XCY607" s="9"/>
      <c r="XCZ607" s="9"/>
      <c r="XDA607" s="9"/>
      <c r="XDB607" s="9"/>
      <c r="XDC607" s="9"/>
      <c r="XDD607" s="9"/>
      <c r="XDE607" s="9"/>
      <c r="XDF607" s="9"/>
      <c r="XDG607" s="9"/>
      <c r="XDH607" s="9"/>
      <c r="XDI607" s="9"/>
      <c r="XDJ607" s="9"/>
      <c r="XDK607" s="9"/>
      <c r="XDL607" s="9"/>
      <c r="XDM607" s="9"/>
      <c r="XDN607" s="9"/>
      <c r="XDO607" s="9"/>
      <c r="XDP607" s="9"/>
      <c r="XDQ607" s="9"/>
      <c r="XDR607" s="9"/>
      <c r="XDS607" s="9"/>
      <c r="XDT607" s="9"/>
      <c r="XDU607" s="9"/>
      <c r="XDV607" s="9"/>
      <c r="XDW607" s="9"/>
      <c r="XDX607" s="9"/>
      <c r="XDY607" s="9"/>
      <c r="XDZ607" s="9"/>
      <c r="XEA607" s="9"/>
      <c r="XEB607" s="9"/>
      <c r="XEC607" s="9"/>
      <c r="XED607" s="9"/>
      <c r="XEE607" s="9"/>
      <c r="XEF607" s="9"/>
      <c r="XEG607" s="9"/>
      <c r="XEH607" s="9"/>
      <c r="XEI607" s="9"/>
      <c r="XEJ607" s="9"/>
      <c r="XEK607" s="9"/>
      <c r="XEL607" s="9"/>
      <c r="XEM607" s="9"/>
      <c r="XEN607" s="9"/>
      <c r="XEO607" s="9"/>
      <c r="XEP607" s="9"/>
      <c r="XEQ607" s="9"/>
      <c r="XER607" s="9"/>
      <c r="XES607" s="9"/>
      <c r="XET607" s="9"/>
      <c r="XEU607" s="9"/>
      <c r="XEV607" s="9"/>
      <c r="XEW607" s="9"/>
      <c r="XEX607" s="9"/>
      <c r="XEY607" s="9"/>
      <c r="XEZ607" s="9"/>
      <c r="XFA607" s="9"/>
      <c r="XFB607" s="9"/>
      <c r="XFC607" s="9"/>
      <c r="XFD607" s="9"/>
    </row>
    <row r="608" spans="1:8 16325:16384" s="3" customFormat="1" ht="19.95" customHeight="1">
      <c r="A608" s="6" t="str">
        <f t="shared" si="25"/>
        <v>040026</v>
      </c>
      <c r="B608" s="6" t="s">
        <v>30</v>
      </c>
      <c r="C608" s="6" t="s">
        <v>29</v>
      </c>
      <c r="D608" s="6" t="str">
        <f>"512627319"</f>
        <v>512627319</v>
      </c>
      <c r="E608" s="7">
        <v>91</v>
      </c>
      <c r="F608" s="7">
        <v>58</v>
      </c>
      <c r="G608" s="7"/>
      <c r="H608" s="7">
        <v>77.8</v>
      </c>
      <c r="XCW608" s="9"/>
      <c r="XCX608" s="9"/>
      <c r="XCY608" s="9"/>
      <c r="XCZ608" s="9"/>
      <c r="XDA608" s="9"/>
      <c r="XDB608" s="9"/>
      <c r="XDC608" s="9"/>
      <c r="XDD608" s="9"/>
      <c r="XDE608" s="9"/>
      <c r="XDF608" s="9"/>
      <c r="XDG608" s="9"/>
      <c r="XDH608" s="9"/>
      <c r="XDI608" s="9"/>
      <c r="XDJ608" s="9"/>
      <c r="XDK608" s="9"/>
      <c r="XDL608" s="9"/>
      <c r="XDM608" s="9"/>
      <c r="XDN608" s="9"/>
      <c r="XDO608" s="9"/>
      <c r="XDP608" s="9"/>
      <c r="XDQ608" s="9"/>
      <c r="XDR608" s="9"/>
      <c r="XDS608" s="9"/>
      <c r="XDT608" s="9"/>
      <c r="XDU608" s="9"/>
      <c r="XDV608" s="9"/>
      <c r="XDW608" s="9"/>
      <c r="XDX608" s="9"/>
      <c r="XDY608" s="9"/>
      <c r="XDZ608" s="9"/>
      <c r="XEA608" s="9"/>
      <c r="XEB608" s="9"/>
      <c r="XEC608" s="9"/>
      <c r="XED608" s="9"/>
      <c r="XEE608" s="9"/>
      <c r="XEF608" s="9"/>
      <c r="XEG608" s="9"/>
      <c r="XEH608" s="9"/>
      <c r="XEI608" s="9"/>
      <c r="XEJ608" s="9"/>
      <c r="XEK608" s="9"/>
      <c r="XEL608" s="9"/>
      <c r="XEM608" s="9"/>
      <c r="XEN608" s="9"/>
      <c r="XEO608" s="9"/>
      <c r="XEP608" s="9"/>
      <c r="XEQ608" s="9"/>
      <c r="XER608" s="9"/>
      <c r="XES608" s="9"/>
      <c r="XET608" s="9"/>
      <c r="XEU608" s="9"/>
      <c r="XEV608" s="9"/>
      <c r="XEW608" s="9"/>
      <c r="XEX608" s="9"/>
      <c r="XEY608" s="9"/>
      <c r="XEZ608" s="9"/>
      <c r="XFA608" s="9"/>
      <c r="XFB608" s="9"/>
      <c r="XFC608" s="9"/>
      <c r="XFD608" s="9"/>
    </row>
    <row r="609" spans="1:8 16325:16384" s="3" customFormat="1" ht="19.95" customHeight="1">
      <c r="A609" s="6" t="str">
        <f t="shared" si="25"/>
        <v>040026</v>
      </c>
      <c r="B609" s="6" t="s">
        <v>30</v>
      </c>
      <c r="C609" s="6" t="s">
        <v>29</v>
      </c>
      <c r="D609" s="6" t="str">
        <f>"512627416"</f>
        <v>512627416</v>
      </c>
      <c r="E609" s="7">
        <v>100</v>
      </c>
      <c r="F609" s="7">
        <v>82.5</v>
      </c>
      <c r="G609" s="7"/>
      <c r="H609" s="7">
        <v>93</v>
      </c>
      <c r="XCW609" s="9"/>
      <c r="XCX609" s="9"/>
      <c r="XCY609" s="9"/>
      <c r="XCZ609" s="9"/>
      <c r="XDA609" s="9"/>
      <c r="XDB609" s="9"/>
      <c r="XDC609" s="9"/>
      <c r="XDD609" s="9"/>
      <c r="XDE609" s="9"/>
      <c r="XDF609" s="9"/>
      <c r="XDG609" s="9"/>
      <c r="XDH609" s="9"/>
      <c r="XDI609" s="9"/>
      <c r="XDJ609" s="9"/>
      <c r="XDK609" s="9"/>
      <c r="XDL609" s="9"/>
      <c r="XDM609" s="9"/>
      <c r="XDN609" s="9"/>
      <c r="XDO609" s="9"/>
      <c r="XDP609" s="9"/>
      <c r="XDQ609" s="9"/>
      <c r="XDR609" s="9"/>
      <c r="XDS609" s="9"/>
      <c r="XDT609" s="9"/>
      <c r="XDU609" s="9"/>
      <c r="XDV609" s="9"/>
      <c r="XDW609" s="9"/>
      <c r="XDX609" s="9"/>
      <c r="XDY609" s="9"/>
      <c r="XDZ609" s="9"/>
      <c r="XEA609" s="9"/>
      <c r="XEB609" s="9"/>
      <c r="XEC609" s="9"/>
      <c r="XED609" s="9"/>
      <c r="XEE609" s="9"/>
      <c r="XEF609" s="9"/>
      <c r="XEG609" s="9"/>
      <c r="XEH609" s="9"/>
      <c r="XEI609" s="9"/>
      <c r="XEJ609" s="9"/>
      <c r="XEK609" s="9"/>
      <c r="XEL609" s="9"/>
      <c r="XEM609" s="9"/>
      <c r="XEN609" s="9"/>
      <c r="XEO609" s="9"/>
      <c r="XEP609" s="9"/>
      <c r="XEQ609" s="9"/>
      <c r="XER609" s="9"/>
      <c r="XES609" s="9"/>
      <c r="XET609" s="9"/>
      <c r="XEU609" s="9"/>
      <c r="XEV609" s="9"/>
      <c r="XEW609" s="9"/>
      <c r="XEX609" s="9"/>
      <c r="XEY609" s="9"/>
      <c r="XEZ609" s="9"/>
      <c r="XFA609" s="9"/>
      <c r="XFB609" s="9"/>
      <c r="XFC609" s="9"/>
      <c r="XFD609" s="9"/>
    </row>
    <row r="610" spans="1:8 16325:16384" s="3" customFormat="1" ht="19.95" customHeight="1">
      <c r="A610" s="6" t="str">
        <f t="shared" si="25"/>
        <v>040026</v>
      </c>
      <c r="B610" s="6" t="s">
        <v>30</v>
      </c>
      <c r="C610" s="6" t="s">
        <v>29</v>
      </c>
      <c r="D610" s="6" t="str">
        <f>"512627417"</f>
        <v>512627417</v>
      </c>
      <c r="E610" s="7">
        <v>99.5</v>
      </c>
      <c r="F610" s="7">
        <v>73.5</v>
      </c>
      <c r="G610" s="7"/>
      <c r="H610" s="7">
        <v>89.1</v>
      </c>
      <c r="XCW610" s="9"/>
      <c r="XCX610" s="9"/>
      <c r="XCY610" s="9"/>
      <c r="XCZ610" s="9"/>
      <c r="XDA610" s="9"/>
      <c r="XDB610" s="9"/>
      <c r="XDC610" s="9"/>
      <c r="XDD610" s="9"/>
      <c r="XDE610" s="9"/>
      <c r="XDF610" s="9"/>
      <c r="XDG610" s="9"/>
      <c r="XDH610" s="9"/>
      <c r="XDI610" s="9"/>
      <c r="XDJ610" s="9"/>
      <c r="XDK610" s="9"/>
      <c r="XDL610" s="9"/>
      <c r="XDM610" s="9"/>
      <c r="XDN610" s="9"/>
      <c r="XDO610" s="9"/>
      <c r="XDP610" s="9"/>
      <c r="XDQ610" s="9"/>
      <c r="XDR610" s="9"/>
      <c r="XDS610" s="9"/>
      <c r="XDT610" s="9"/>
      <c r="XDU610" s="9"/>
      <c r="XDV610" s="9"/>
      <c r="XDW610" s="9"/>
      <c r="XDX610" s="9"/>
      <c r="XDY610" s="9"/>
      <c r="XDZ610" s="9"/>
      <c r="XEA610" s="9"/>
      <c r="XEB610" s="9"/>
      <c r="XEC610" s="9"/>
      <c r="XED610" s="9"/>
      <c r="XEE610" s="9"/>
      <c r="XEF610" s="9"/>
      <c r="XEG610" s="9"/>
      <c r="XEH610" s="9"/>
      <c r="XEI610" s="9"/>
      <c r="XEJ610" s="9"/>
      <c r="XEK610" s="9"/>
      <c r="XEL610" s="9"/>
      <c r="XEM610" s="9"/>
      <c r="XEN610" s="9"/>
      <c r="XEO610" s="9"/>
      <c r="XEP610" s="9"/>
      <c r="XEQ610" s="9"/>
      <c r="XER610" s="9"/>
      <c r="XES610" s="9"/>
      <c r="XET610" s="9"/>
      <c r="XEU610" s="9"/>
      <c r="XEV610" s="9"/>
      <c r="XEW610" s="9"/>
      <c r="XEX610" s="9"/>
      <c r="XEY610" s="9"/>
      <c r="XEZ610" s="9"/>
      <c r="XFA610" s="9"/>
      <c r="XFB610" s="9"/>
      <c r="XFC610" s="9"/>
      <c r="XFD610" s="9"/>
    </row>
    <row r="611" spans="1:8 16325:16384" s="3" customFormat="1" ht="19.95" customHeight="1">
      <c r="A611" s="6" t="str">
        <f t="shared" si="25"/>
        <v>040026</v>
      </c>
      <c r="B611" s="6" t="s">
        <v>30</v>
      </c>
      <c r="C611" s="6" t="s">
        <v>29</v>
      </c>
      <c r="D611" s="6" t="str">
        <f>"512627328"</f>
        <v>512627328</v>
      </c>
      <c r="E611" s="7">
        <v>97.5</v>
      </c>
      <c r="F611" s="7">
        <v>88.5</v>
      </c>
      <c r="G611" s="7"/>
      <c r="H611" s="7">
        <v>93.9</v>
      </c>
      <c r="XCW611" s="9"/>
      <c r="XCX611" s="9"/>
      <c r="XCY611" s="9"/>
      <c r="XCZ611" s="9"/>
      <c r="XDA611" s="9"/>
      <c r="XDB611" s="9"/>
      <c r="XDC611" s="9"/>
      <c r="XDD611" s="9"/>
      <c r="XDE611" s="9"/>
      <c r="XDF611" s="9"/>
      <c r="XDG611" s="9"/>
      <c r="XDH611" s="9"/>
      <c r="XDI611" s="9"/>
      <c r="XDJ611" s="9"/>
      <c r="XDK611" s="9"/>
      <c r="XDL611" s="9"/>
      <c r="XDM611" s="9"/>
      <c r="XDN611" s="9"/>
      <c r="XDO611" s="9"/>
      <c r="XDP611" s="9"/>
      <c r="XDQ611" s="9"/>
      <c r="XDR611" s="9"/>
      <c r="XDS611" s="9"/>
      <c r="XDT611" s="9"/>
      <c r="XDU611" s="9"/>
      <c r="XDV611" s="9"/>
      <c r="XDW611" s="9"/>
      <c r="XDX611" s="9"/>
      <c r="XDY611" s="9"/>
      <c r="XDZ611" s="9"/>
      <c r="XEA611" s="9"/>
      <c r="XEB611" s="9"/>
      <c r="XEC611" s="9"/>
      <c r="XED611" s="9"/>
      <c r="XEE611" s="9"/>
      <c r="XEF611" s="9"/>
      <c r="XEG611" s="9"/>
      <c r="XEH611" s="9"/>
      <c r="XEI611" s="9"/>
      <c r="XEJ611" s="9"/>
      <c r="XEK611" s="9"/>
      <c r="XEL611" s="9"/>
      <c r="XEM611" s="9"/>
      <c r="XEN611" s="9"/>
      <c r="XEO611" s="9"/>
      <c r="XEP611" s="9"/>
      <c r="XEQ611" s="9"/>
      <c r="XER611" s="9"/>
      <c r="XES611" s="9"/>
      <c r="XET611" s="9"/>
      <c r="XEU611" s="9"/>
      <c r="XEV611" s="9"/>
      <c r="XEW611" s="9"/>
      <c r="XEX611" s="9"/>
      <c r="XEY611" s="9"/>
      <c r="XEZ611" s="9"/>
      <c r="XFA611" s="9"/>
      <c r="XFB611" s="9"/>
      <c r="XFC611" s="9"/>
      <c r="XFD611" s="9"/>
    </row>
    <row r="612" spans="1:8 16325:16384" s="3" customFormat="1" ht="19.95" customHeight="1">
      <c r="A612" s="6" t="str">
        <f t="shared" si="25"/>
        <v>040026</v>
      </c>
      <c r="B612" s="6" t="s">
        <v>30</v>
      </c>
      <c r="C612" s="6" t="s">
        <v>29</v>
      </c>
      <c r="D612" s="6" t="str">
        <f>"512627412"</f>
        <v>512627412</v>
      </c>
      <c r="E612" s="7">
        <v>77</v>
      </c>
      <c r="F612" s="7">
        <v>66.5</v>
      </c>
      <c r="G612" s="7"/>
      <c r="H612" s="7">
        <v>72.8</v>
      </c>
      <c r="XCW612" s="9"/>
      <c r="XCX612" s="9"/>
      <c r="XCY612" s="9"/>
      <c r="XCZ612" s="9"/>
      <c r="XDA612" s="9"/>
      <c r="XDB612" s="9"/>
      <c r="XDC612" s="9"/>
      <c r="XDD612" s="9"/>
      <c r="XDE612" s="9"/>
      <c r="XDF612" s="9"/>
      <c r="XDG612" s="9"/>
      <c r="XDH612" s="9"/>
      <c r="XDI612" s="9"/>
      <c r="XDJ612" s="9"/>
      <c r="XDK612" s="9"/>
      <c r="XDL612" s="9"/>
      <c r="XDM612" s="9"/>
      <c r="XDN612" s="9"/>
      <c r="XDO612" s="9"/>
      <c r="XDP612" s="9"/>
      <c r="XDQ612" s="9"/>
      <c r="XDR612" s="9"/>
      <c r="XDS612" s="9"/>
      <c r="XDT612" s="9"/>
      <c r="XDU612" s="9"/>
      <c r="XDV612" s="9"/>
      <c r="XDW612" s="9"/>
      <c r="XDX612" s="9"/>
      <c r="XDY612" s="9"/>
      <c r="XDZ612" s="9"/>
      <c r="XEA612" s="9"/>
      <c r="XEB612" s="9"/>
      <c r="XEC612" s="9"/>
      <c r="XED612" s="9"/>
      <c r="XEE612" s="9"/>
      <c r="XEF612" s="9"/>
      <c r="XEG612" s="9"/>
      <c r="XEH612" s="9"/>
      <c r="XEI612" s="9"/>
      <c r="XEJ612" s="9"/>
      <c r="XEK612" s="9"/>
      <c r="XEL612" s="9"/>
      <c r="XEM612" s="9"/>
      <c r="XEN612" s="9"/>
      <c r="XEO612" s="9"/>
      <c r="XEP612" s="9"/>
      <c r="XEQ612" s="9"/>
      <c r="XER612" s="9"/>
      <c r="XES612" s="9"/>
      <c r="XET612" s="9"/>
      <c r="XEU612" s="9"/>
      <c r="XEV612" s="9"/>
      <c r="XEW612" s="9"/>
      <c r="XEX612" s="9"/>
      <c r="XEY612" s="9"/>
      <c r="XEZ612" s="9"/>
      <c r="XFA612" s="9"/>
      <c r="XFB612" s="9"/>
      <c r="XFC612" s="9"/>
      <c r="XFD612" s="9"/>
    </row>
    <row r="613" spans="1:8 16325:16384" s="3" customFormat="1" ht="19.95" customHeight="1">
      <c r="A613" s="6" t="str">
        <f t="shared" si="25"/>
        <v>040026</v>
      </c>
      <c r="B613" s="6" t="s">
        <v>30</v>
      </c>
      <c r="C613" s="6" t="s">
        <v>29</v>
      </c>
      <c r="D613" s="6" t="str">
        <f>"512627414"</f>
        <v>512627414</v>
      </c>
      <c r="E613" s="7">
        <v>0</v>
      </c>
      <c r="F613" s="7">
        <v>0</v>
      </c>
      <c r="G613" s="7"/>
      <c r="H613" s="7">
        <v>0</v>
      </c>
      <c r="XCW613" s="9"/>
      <c r="XCX613" s="9"/>
      <c r="XCY613" s="9"/>
      <c r="XCZ613" s="9"/>
      <c r="XDA613" s="9"/>
      <c r="XDB613" s="9"/>
      <c r="XDC613" s="9"/>
      <c r="XDD613" s="9"/>
      <c r="XDE613" s="9"/>
      <c r="XDF613" s="9"/>
      <c r="XDG613" s="9"/>
      <c r="XDH613" s="9"/>
      <c r="XDI613" s="9"/>
      <c r="XDJ613" s="9"/>
      <c r="XDK613" s="9"/>
      <c r="XDL613" s="9"/>
      <c r="XDM613" s="9"/>
      <c r="XDN613" s="9"/>
      <c r="XDO613" s="9"/>
      <c r="XDP613" s="9"/>
      <c r="XDQ613" s="9"/>
      <c r="XDR613" s="9"/>
      <c r="XDS613" s="9"/>
      <c r="XDT613" s="9"/>
      <c r="XDU613" s="9"/>
      <c r="XDV613" s="9"/>
      <c r="XDW613" s="9"/>
      <c r="XDX613" s="9"/>
      <c r="XDY613" s="9"/>
      <c r="XDZ613" s="9"/>
      <c r="XEA613" s="9"/>
      <c r="XEB613" s="9"/>
      <c r="XEC613" s="9"/>
      <c r="XED613" s="9"/>
      <c r="XEE613" s="9"/>
      <c r="XEF613" s="9"/>
      <c r="XEG613" s="9"/>
      <c r="XEH613" s="9"/>
      <c r="XEI613" s="9"/>
      <c r="XEJ613" s="9"/>
      <c r="XEK613" s="9"/>
      <c r="XEL613" s="9"/>
      <c r="XEM613" s="9"/>
      <c r="XEN613" s="9"/>
      <c r="XEO613" s="9"/>
      <c r="XEP613" s="9"/>
      <c r="XEQ613" s="9"/>
      <c r="XER613" s="9"/>
      <c r="XES613" s="9"/>
      <c r="XET613" s="9"/>
      <c r="XEU613" s="9"/>
      <c r="XEV613" s="9"/>
      <c r="XEW613" s="9"/>
      <c r="XEX613" s="9"/>
      <c r="XEY613" s="9"/>
      <c r="XEZ613" s="9"/>
      <c r="XFA613" s="9"/>
      <c r="XFB613" s="9"/>
      <c r="XFC613" s="9"/>
      <c r="XFD613" s="9"/>
    </row>
    <row r="614" spans="1:8 16325:16384" s="3" customFormat="1" ht="19.95" customHeight="1">
      <c r="A614" s="6" t="str">
        <f t="shared" si="25"/>
        <v>040026</v>
      </c>
      <c r="B614" s="6" t="s">
        <v>30</v>
      </c>
      <c r="C614" s="6" t="s">
        <v>29</v>
      </c>
      <c r="D614" s="6" t="str">
        <f>"512627330"</f>
        <v>512627330</v>
      </c>
      <c r="E614" s="7">
        <v>98</v>
      </c>
      <c r="F614" s="7">
        <v>73.5</v>
      </c>
      <c r="G614" s="7"/>
      <c r="H614" s="7">
        <v>88.2</v>
      </c>
      <c r="XCW614" s="9"/>
      <c r="XCX614" s="9"/>
      <c r="XCY614" s="9"/>
      <c r="XCZ614" s="9"/>
      <c r="XDA614" s="9"/>
      <c r="XDB614" s="9"/>
      <c r="XDC614" s="9"/>
      <c r="XDD614" s="9"/>
      <c r="XDE614" s="9"/>
      <c r="XDF614" s="9"/>
      <c r="XDG614" s="9"/>
      <c r="XDH614" s="9"/>
      <c r="XDI614" s="9"/>
      <c r="XDJ614" s="9"/>
      <c r="XDK614" s="9"/>
      <c r="XDL614" s="9"/>
      <c r="XDM614" s="9"/>
      <c r="XDN614" s="9"/>
      <c r="XDO614" s="9"/>
      <c r="XDP614" s="9"/>
      <c r="XDQ614" s="9"/>
      <c r="XDR614" s="9"/>
      <c r="XDS614" s="9"/>
      <c r="XDT614" s="9"/>
      <c r="XDU614" s="9"/>
      <c r="XDV614" s="9"/>
      <c r="XDW614" s="9"/>
      <c r="XDX614" s="9"/>
      <c r="XDY614" s="9"/>
      <c r="XDZ614" s="9"/>
      <c r="XEA614" s="9"/>
      <c r="XEB614" s="9"/>
      <c r="XEC614" s="9"/>
      <c r="XED614" s="9"/>
      <c r="XEE614" s="9"/>
      <c r="XEF614" s="9"/>
      <c r="XEG614" s="9"/>
      <c r="XEH614" s="9"/>
      <c r="XEI614" s="9"/>
      <c r="XEJ614" s="9"/>
      <c r="XEK614" s="9"/>
      <c r="XEL614" s="9"/>
      <c r="XEM614" s="9"/>
      <c r="XEN614" s="9"/>
      <c r="XEO614" s="9"/>
      <c r="XEP614" s="9"/>
      <c r="XEQ614" s="9"/>
      <c r="XER614" s="9"/>
      <c r="XES614" s="9"/>
      <c r="XET614" s="9"/>
      <c r="XEU614" s="9"/>
      <c r="XEV614" s="9"/>
      <c r="XEW614" s="9"/>
      <c r="XEX614" s="9"/>
      <c r="XEY614" s="9"/>
      <c r="XEZ614" s="9"/>
      <c r="XFA614" s="9"/>
      <c r="XFB614" s="9"/>
      <c r="XFC614" s="9"/>
      <c r="XFD614" s="9"/>
    </row>
    <row r="615" spans="1:8 16325:16384" s="3" customFormat="1" ht="19.95" customHeight="1">
      <c r="A615" s="6" t="str">
        <f t="shared" si="25"/>
        <v>040026</v>
      </c>
      <c r="B615" s="6" t="s">
        <v>30</v>
      </c>
      <c r="C615" s="6" t="s">
        <v>29</v>
      </c>
      <c r="D615" s="6" t="str">
        <f>"512627323"</f>
        <v>512627323</v>
      </c>
      <c r="E615" s="7">
        <v>81</v>
      </c>
      <c r="F615" s="7">
        <v>75</v>
      </c>
      <c r="G615" s="7"/>
      <c r="H615" s="7">
        <v>78.599999999999994</v>
      </c>
      <c r="XCW615" s="9"/>
      <c r="XCX615" s="9"/>
      <c r="XCY615" s="9"/>
      <c r="XCZ615" s="9"/>
      <c r="XDA615" s="9"/>
      <c r="XDB615" s="9"/>
      <c r="XDC615" s="9"/>
      <c r="XDD615" s="9"/>
      <c r="XDE615" s="9"/>
      <c r="XDF615" s="9"/>
      <c r="XDG615" s="9"/>
      <c r="XDH615" s="9"/>
      <c r="XDI615" s="9"/>
      <c r="XDJ615" s="9"/>
      <c r="XDK615" s="9"/>
      <c r="XDL615" s="9"/>
      <c r="XDM615" s="9"/>
      <c r="XDN615" s="9"/>
      <c r="XDO615" s="9"/>
      <c r="XDP615" s="9"/>
      <c r="XDQ615" s="9"/>
      <c r="XDR615" s="9"/>
      <c r="XDS615" s="9"/>
      <c r="XDT615" s="9"/>
      <c r="XDU615" s="9"/>
      <c r="XDV615" s="9"/>
      <c r="XDW615" s="9"/>
      <c r="XDX615" s="9"/>
      <c r="XDY615" s="9"/>
      <c r="XDZ615" s="9"/>
      <c r="XEA615" s="9"/>
      <c r="XEB615" s="9"/>
      <c r="XEC615" s="9"/>
      <c r="XED615" s="9"/>
      <c r="XEE615" s="9"/>
      <c r="XEF615" s="9"/>
      <c r="XEG615" s="9"/>
      <c r="XEH615" s="9"/>
      <c r="XEI615" s="9"/>
      <c r="XEJ615" s="9"/>
      <c r="XEK615" s="9"/>
      <c r="XEL615" s="9"/>
      <c r="XEM615" s="9"/>
      <c r="XEN615" s="9"/>
      <c r="XEO615" s="9"/>
      <c r="XEP615" s="9"/>
      <c r="XEQ615" s="9"/>
      <c r="XER615" s="9"/>
      <c r="XES615" s="9"/>
      <c r="XET615" s="9"/>
      <c r="XEU615" s="9"/>
      <c r="XEV615" s="9"/>
      <c r="XEW615" s="9"/>
      <c r="XEX615" s="9"/>
      <c r="XEY615" s="9"/>
      <c r="XEZ615" s="9"/>
      <c r="XFA615" s="9"/>
      <c r="XFB615" s="9"/>
      <c r="XFC615" s="9"/>
      <c r="XFD615" s="9"/>
    </row>
    <row r="616" spans="1:8 16325:16384" s="3" customFormat="1" ht="19.95" customHeight="1">
      <c r="A616" s="6" t="str">
        <f t="shared" si="25"/>
        <v>040026</v>
      </c>
      <c r="B616" s="6" t="s">
        <v>30</v>
      </c>
      <c r="C616" s="6" t="s">
        <v>29</v>
      </c>
      <c r="D616" s="6" t="str">
        <f>"512627415"</f>
        <v>512627415</v>
      </c>
      <c r="E616" s="7">
        <v>99</v>
      </c>
      <c r="F616" s="7">
        <v>75.5</v>
      </c>
      <c r="G616" s="7"/>
      <c r="H616" s="7">
        <v>89.6</v>
      </c>
      <c r="XCW616" s="9"/>
      <c r="XCX616" s="9"/>
      <c r="XCY616" s="9"/>
      <c r="XCZ616" s="9"/>
      <c r="XDA616" s="9"/>
      <c r="XDB616" s="9"/>
      <c r="XDC616" s="9"/>
      <c r="XDD616" s="9"/>
      <c r="XDE616" s="9"/>
      <c r="XDF616" s="9"/>
      <c r="XDG616" s="9"/>
      <c r="XDH616" s="9"/>
      <c r="XDI616" s="9"/>
      <c r="XDJ616" s="9"/>
      <c r="XDK616" s="9"/>
      <c r="XDL616" s="9"/>
      <c r="XDM616" s="9"/>
      <c r="XDN616" s="9"/>
      <c r="XDO616" s="9"/>
      <c r="XDP616" s="9"/>
      <c r="XDQ616" s="9"/>
      <c r="XDR616" s="9"/>
      <c r="XDS616" s="9"/>
      <c r="XDT616" s="9"/>
      <c r="XDU616" s="9"/>
      <c r="XDV616" s="9"/>
      <c r="XDW616" s="9"/>
      <c r="XDX616" s="9"/>
      <c r="XDY616" s="9"/>
      <c r="XDZ616" s="9"/>
      <c r="XEA616" s="9"/>
      <c r="XEB616" s="9"/>
      <c r="XEC616" s="9"/>
      <c r="XED616" s="9"/>
      <c r="XEE616" s="9"/>
      <c r="XEF616" s="9"/>
      <c r="XEG616" s="9"/>
      <c r="XEH616" s="9"/>
      <c r="XEI616" s="9"/>
      <c r="XEJ616" s="9"/>
      <c r="XEK616" s="9"/>
      <c r="XEL616" s="9"/>
      <c r="XEM616" s="9"/>
      <c r="XEN616" s="9"/>
      <c r="XEO616" s="9"/>
      <c r="XEP616" s="9"/>
      <c r="XEQ616" s="9"/>
      <c r="XER616" s="9"/>
      <c r="XES616" s="9"/>
      <c r="XET616" s="9"/>
      <c r="XEU616" s="9"/>
      <c r="XEV616" s="9"/>
      <c r="XEW616" s="9"/>
      <c r="XEX616" s="9"/>
      <c r="XEY616" s="9"/>
      <c r="XEZ616" s="9"/>
      <c r="XFA616" s="9"/>
      <c r="XFB616" s="9"/>
      <c r="XFC616" s="9"/>
      <c r="XFD616" s="9"/>
    </row>
    <row r="617" spans="1:8 16325:16384" s="3" customFormat="1" ht="19.95" customHeight="1">
      <c r="A617" s="6" t="str">
        <f t="shared" si="25"/>
        <v>040026</v>
      </c>
      <c r="B617" s="6" t="s">
        <v>30</v>
      </c>
      <c r="C617" s="6" t="s">
        <v>29</v>
      </c>
      <c r="D617" s="6" t="str">
        <f>"512627413"</f>
        <v>512627413</v>
      </c>
      <c r="E617" s="7">
        <v>75.5</v>
      </c>
      <c r="F617" s="7">
        <v>84.5</v>
      </c>
      <c r="G617" s="7"/>
      <c r="H617" s="7">
        <v>79.099999999999994</v>
      </c>
      <c r="XCW617" s="9"/>
      <c r="XCX617" s="9"/>
      <c r="XCY617" s="9"/>
      <c r="XCZ617" s="9"/>
      <c r="XDA617" s="9"/>
      <c r="XDB617" s="9"/>
      <c r="XDC617" s="9"/>
      <c r="XDD617" s="9"/>
      <c r="XDE617" s="9"/>
      <c r="XDF617" s="9"/>
      <c r="XDG617" s="9"/>
      <c r="XDH617" s="9"/>
      <c r="XDI617" s="9"/>
      <c r="XDJ617" s="9"/>
      <c r="XDK617" s="9"/>
      <c r="XDL617" s="9"/>
      <c r="XDM617" s="9"/>
      <c r="XDN617" s="9"/>
      <c r="XDO617" s="9"/>
      <c r="XDP617" s="9"/>
      <c r="XDQ617" s="9"/>
      <c r="XDR617" s="9"/>
      <c r="XDS617" s="9"/>
      <c r="XDT617" s="9"/>
      <c r="XDU617" s="9"/>
      <c r="XDV617" s="9"/>
      <c r="XDW617" s="9"/>
      <c r="XDX617" s="9"/>
      <c r="XDY617" s="9"/>
      <c r="XDZ617" s="9"/>
      <c r="XEA617" s="9"/>
      <c r="XEB617" s="9"/>
      <c r="XEC617" s="9"/>
      <c r="XED617" s="9"/>
      <c r="XEE617" s="9"/>
      <c r="XEF617" s="9"/>
      <c r="XEG617" s="9"/>
      <c r="XEH617" s="9"/>
      <c r="XEI617" s="9"/>
      <c r="XEJ617" s="9"/>
      <c r="XEK617" s="9"/>
      <c r="XEL617" s="9"/>
      <c r="XEM617" s="9"/>
      <c r="XEN617" s="9"/>
      <c r="XEO617" s="9"/>
      <c r="XEP617" s="9"/>
      <c r="XEQ617" s="9"/>
      <c r="XER617" s="9"/>
      <c r="XES617" s="9"/>
      <c r="XET617" s="9"/>
      <c r="XEU617" s="9"/>
      <c r="XEV617" s="9"/>
      <c r="XEW617" s="9"/>
      <c r="XEX617" s="9"/>
      <c r="XEY617" s="9"/>
      <c r="XEZ617" s="9"/>
      <c r="XFA617" s="9"/>
      <c r="XFB617" s="9"/>
      <c r="XFC617" s="9"/>
      <c r="XFD617" s="9"/>
    </row>
    <row r="618" spans="1:8 16325:16384" s="3" customFormat="1" ht="19.95" customHeight="1">
      <c r="A618" s="6" t="str">
        <f t="shared" si="25"/>
        <v>040026</v>
      </c>
      <c r="B618" s="6" t="s">
        <v>30</v>
      </c>
      <c r="C618" s="6" t="s">
        <v>29</v>
      </c>
      <c r="D618" s="6" t="str">
        <f>"512627403"</f>
        <v>512627403</v>
      </c>
      <c r="E618" s="7">
        <v>97.5</v>
      </c>
      <c r="F618" s="7">
        <v>89</v>
      </c>
      <c r="G618" s="7"/>
      <c r="H618" s="7">
        <v>94.1</v>
      </c>
      <c r="XCW618" s="9"/>
      <c r="XCX618" s="9"/>
      <c r="XCY618" s="9"/>
      <c r="XCZ618" s="9"/>
      <c r="XDA618" s="9"/>
      <c r="XDB618" s="9"/>
      <c r="XDC618" s="9"/>
      <c r="XDD618" s="9"/>
      <c r="XDE618" s="9"/>
      <c r="XDF618" s="9"/>
      <c r="XDG618" s="9"/>
      <c r="XDH618" s="9"/>
      <c r="XDI618" s="9"/>
      <c r="XDJ618" s="9"/>
      <c r="XDK618" s="9"/>
      <c r="XDL618" s="9"/>
      <c r="XDM618" s="9"/>
      <c r="XDN618" s="9"/>
      <c r="XDO618" s="9"/>
      <c r="XDP618" s="9"/>
      <c r="XDQ618" s="9"/>
      <c r="XDR618" s="9"/>
      <c r="XDS618" s="9"/>
      <c r="XDT618" s="9"/>
      <c r="XDU618" s="9"/>
      <c r="XDV618" s="9"/>
      <c r="XDW618" s="9"/>
      <c r="XDX618" s="9"/>
      <c r="XDY618" s="9"/>
      <c r="XDZ618" s="9"/>
      <c r="XEA618" s="9"/>
      <c r="XEB618" s="9"/>
      <c r="XEC618" s="9"/>
      <c r="XED618" s="9"/>
      <c r="XEE618" s="9"/>
      <c r="XEF618" s="9"/>
      <c r="XEG618" s="9"/>
      <c r="XEH618" s="9"/>
      <c r="XEI618" s="9"/>
      <c r="XEJ618" s="9"/>
      <c r="XEK618" s="9"/>
      <c r="XEL618" s="9"/>
      <c r="XEM618" s="9"/>
      <c r="XEN618" s="9"/>
      <c r="XEO618" s="9"/>
      <c r="XEP618" s="9"/>
      <c r="XEQ618" s="9"/>
      <c r="XER618" s="9"/>
      <c r="XES618" s="9"/>
      <c r="XET618" s="9"/>
      <c r="XEU618" s="9"/>
      <c r="XEV618" s="9"/>
      <c r="XEW618" s="9"/>
      <c r="XEX618" s="9"/>
      <c r="XEY618" s="9"/>
      <c r="XEZ618" s="9"/>
      <c r="XFA618" s="9"/>
      <c r="XFB618" s="9"/>
      <c r="XFC618" s="9"/>
      <c r="XFD618" s="9"/>
    </row>
    <row r="619" spans="1:8 16325:16384" s="3" customFormat="1" ht="19.95" customHeight="1">
      <c r="A619" s="6" t="str">
        <f t="shared" si="25"/>
        <v>040026</v>
      </c>
      <c r="B619" s="6" t="s">
        <v>30</v>
      </c>
      <c r="C619" s="6" t="s">
        <v>29</v>
      </c>
      <c r="D619" s="6" t="str">
        <f>"512627329"</f>
        <v>512627329</v>
      </c>
      <c r="E619" s="7">
        <v>96</v>
      </c>
      <c r="F619" s="7">
        <v>82.5</v>
      </c>
      <c r="G619" s="7"/>
      <c r="H619" s="7">
        <v>90.6</v>
      </c>
      <c r="XCW619" s="9"/>
      <c r="XCX619" s="9"/>
      <c r="XCY619" s="9"/>
      <c r="XCZ619" s="9"/>
      <c r="XDA619" s="9"/>
      <c r="XDB619" s="9"/>
      <c r="XDC619" s="9"/>
      <c r="XDD619" s="9"/>
      <c r="XDE619" s="9"/>
      <c r="XDF619" s="9"/>
      <c r="XDG619" s="9"/>
      <c r="XDH619" s="9"/>
      <c r="XDI619" s="9"/>
      <c r="XDJ619" s="9"/>
      <c r="XDK619" s="9"/>
      <c r="XDL619" s="9"/>
      <c r="XDM619" s="9"/>
      <c r="XDN619" s="9"/>
      <c r="XDO619" s="9"/>
      <c r="XDP619" s="9"/>
      <c r="XDQ619" s="9"/>
      <c r="XDR619" s="9"/>
      <c r="XDS619" s="9"/>
      <c r="XDT619" s="9"/>
      <c r="XDU619" s="9"/>
      <c r="XDV619" s="9"/>
      <c r="XDW619" s="9"/>
      <c r="XDX619" s="9"/>
      <c r="XDY619" s="9"/>
      <c r="XDZ619" s="9"/>
      <c r="XEA619" s="9"/>
      <c r="XEB619" s="9"/>
      <c r="XEC619" s="9"/>
      <c r="XED619" s="9"/>
      <c r="XEE619" s="9"/>
      <c r="XEF619" s="9"/>
      <c r="XEG619" s="9"/>
      <c r="XEH619" s="9"/>
      <c r="XEI619" s="9"/>
      <c r="XEJ619" s="9"/>
      <c r="XEK619" s="9"/>
      <c r="XEL619" s="9"/>
      <c r="XEM619" s="9"/>
      <c r="XEN619" s="9"/>
      <c r="XEO619" s="9"/>
      <c r="XEP619" s="9"/>
      <c r="XEQ619" s="9"/>
      <c r="XER619" s="9"/>
      <c r="XES619" s="9"/>
      <c r="XET619" s="9"/>
      <c r="XEU619" s="9"/>
      <c r="XEV619" s="9"/>
      <c r="XEW619" s="9"/>
      <c r="XEX619" s="9"/>
      <c r="XEY619" s="9"/>
      <c r="XEZ619" s="9"/>
      <c r="XFA619" s="9"/>
      <c r="XFB619" s="9"/>
      <c r="XFC619" s="9"/>
      <c r="XFD619" s="9"/>
    </row>
    <row r="620" spans="1:8 16325:16384" s="3" customFormat="1" ht="19.95" customHeight="1">
      <c r="A620" s="6" t="str">
        <f t="shared" si="25"/>
        <v>040026</v>
      </c>
      <c r="B620" s="6" t="s">
        <v>30</v>
      </c>
      <c r="C620" s="6" t="s">
        <v>29</v>
      </c>
      <c r="D620" s="6" t="str">
        <f>"512627326"</f>
        <v>512627326</v>
      </c>
      <c r="E620" s="7">
        <v>86</v>
      </c>
      <c r="F620" s="7">
        <v>79</v>
      </c>
      <c r="G620" s="7"/>
      <c r="H620" s="7">
        <v>83.2</v>
      </c>
      <c r="XCW620" s="9"/>
      <c r="XCX620" s="9"/>
      <c r="XCY620" s="9"/>
      <c r="XCZ620" s="9"/>
      <c r="XDA620" s="9"/>
      <c r="XDB620" s="9"/>
      <c r="XDC620" s="9"/>
      <c r="XDD620" s="9"/>
      <c r="XDE620" s="9"/>
      <c r="XDF620" s="9"/>
      <c r="XDG620" s="9"/>
      <c r="XDH620" s="9"/>
      <c r="XDI620" s="9"/>
      <c r="XDJ620" s="9"/>
      <c r="XDK620" s="9"/>
      <c r="XDL620" s="9"/>
      <c r="XDM620" s="9"/>
      <c r="XDN620" s="9"/>
      <c r="XDO620" s="9"/>
      <c r="XDP620" s="9"/>
      <c r="XDQ620" s="9"/>
      <c r="XDR620" s="9"/>
      <c r="XDS620" s="9"/>
      <c r="XDT620" s="9"/>
      <c r="XDU620" s="9"/>
      <c r="XDV620" s="9"/>
      <c r="XDW620" s="9"/>
      <c r="XDX620" s="9"/>
      <c r="XDY620" s="9"/>
      <c r="XDZ620" s="9"/>
      <c r="XEA620" s="9"/>
      <c r="XEB620" s="9"/>
      <c r="XEC620" s="9"/>
      <c r="XED620" s="9"/>
      <c r="XEE620" s="9"/>
      <c r="XEF620" s="9"/>
      <c r="XEG620" s="9"/>
      <c r="XEH620" s="9"/>
      <c r="XEI620" s="9"/>
      <c r="XEJ620" s="9"/>
      <c r="XEK620" s="9"/>
      <c r="XEL620" s="9"/>
      <c r="XEM620" s="9"/>
      <c r="XEN620" s="9"/>
      <c r="XEO620" s="9"/>
      <c r="XEP620" s="9"/>
      <c r="XEQ620" s="9"/>
      <c r="XER620" s="9"/>
      <c r="XES620" s="9"/>
      <c r="XET620" s="9"/>
      <c r="XEU620" s="9"/>
      <c r="XEV620" s="9"/>
      <c r="XEW620" s="9"/>
      <c r="XEX620" s="9"/>
      <c r="XEY620" s="9"/>
      <c r="XEZ620" s="9"/>
      <c r="XFA620" s="9"/>
      <c r="XFB620" s="9"/>
      <c r="XFC620" s="9"/>
      <c r="XFD620" s="9"/>
    </row>
    <row r="621" spans="1:8 16325:16384" s="3" customFormat="1" ht="19.95" customHeight="1">
      <c r="A621" s="6" t="str">
        <f t="shared" si="25"/>
        <v>040026</v>
      </c>
      <c r="B621" s="6" t="s">
        <v>30</v>
      </c>
      <c r="C621" s="6" t="s">
        <v>29</v>
      </c>
      <c r="D621" s="6" t="str">
        <f>"512627418"</f>
        <v>512627418</v>
      </c>
      <c r="E621" s="7">
        <v>90.5</v>
      </c>
      <c r="F621" s="7">
        <v>71</v>
      </c>
      <c r="G621" s="7"/>
      <c r="H621" s="7">
        <v>82.7</v>
      </c>
      <c r="XCW621" s="9"/>
      <c r="XCX621" s="9"/>
      <c r="XCY621" s="9"/>
      <c r="XCZ621" s="9"/>
      <c r="XDA621" s="9"/>
      <c r="XDB621" s="9"/>
      <c r="XDC621" s="9"/>
      <c r="XDD621" s="9"/>
      <c r="XDE621" s="9"/>
      <c r="XDF621" s="9"/>
      <c r="XDG621" s="9"/>
      <c r="XDH621" s="9"/>
      <c r="XDI621" s="9"/>
      <c r="XDJ621" s="9"/>
      <c r="XDK621" s="9"/>
      <c r="XDL621" s="9"/>
      <c r="XDM621" s="9"/>
      <c r="XDN621" s="9"/>
      <c r="XDO621" s="9"/>
      <c r="XDP621" s="9"/>
      <c r="XDQ621" s="9"/>
      <c r="XDR621" s="9"/>
      <c r="XDS621" s="9"/>
      <c r="XDT621" s="9"/>
      <c r="XDU621" s="9"/>
      <c r="XDV621" s="9"/>
      <c r="XDW621" s="9"/>
      <c r="XDX621" s="9"/>
      <c r="XDY621" s="9"/>
      <c r="XDZ621" s="9"/>
      <c r="XEA621" s="9"/>
      <c r="XEB621" s="9"/>
      <c r="XEC621" s="9"/>
      <c r="XED621" s="9"/>
      <c r="XEE621" s="9"/>
      <c r="XEF621" s="9"/>
      <c r="XEG621" s="9"/>
      <c r="XEH621" s="9"/>
      <c r="XEI621" s="9"/>
      <c r="XEJ621" s="9"/>
      <c r="XEK621" s="9"/>
      <c r="XEL621" s="9"/>
      <c r="XEM621" s="9"/>
      <c r="XEN621" s="9"/>
      <c r="XEO621" s="9"/>
      <c r="XEP621" s="9"/>
      <c r="XEQ621" s="9"/>
      <c r="XER621" s="9"/>
      <c r="XES621" s="9"/>
      <c r="XET621" s="9"/>
      <c r="XEU621" s="9"/>
      <c r="XEV621" s="9"/>
      <c r="XEW621" s="9"/>
      <c r="XEX621" s="9"/>
      <c r="XEY621" s="9"/>
      <c r="XEZ621" s="9"/>
      <c r="XFA621" s="9"/>
      <c r="XFB621" s="9"/>
      <c r="XFC621" s="9"/>
      <c r="XFD621" s="9"/>
    </row>
    <row r="622" spans="1:8 16325:16384" s="3" customFormat="1" ht="19.95" customHeight="1">
      <c r="A622" s="6" t="str">
        <f t="shared" si="25"/>
        <v>040026</v>
      </c>
      <c r="B622" s="6" t="s">
        <v>30</v>
      </c>
      <c r="C622" s="6" t="s">
        <v>29</v>
      </c>
      <c r="D622" s="6" t="str">
        <f>"512627406"</f>
        <v>512627406</v>
      </c>
      <c r="E622" s="7">
        <v>88</v>
      </c>
      <c r="F622" s="7">
        <v>70</v>
      </c>
      <c r="G622" s="7"/>
      <c r="H622" s="7">
        <v>80.8</v>
      </c>
      <c r="XCW622" s="9"/>
      <c r="XCX622" s="9"/>
      <c r="XCY622" s="9"/>
      <c r="XCZ622" s="9"/>
      <c r="XDA622" s="9"/>
      <c r="XDB622" s="9"/>
      <c r="XDC622" s="9"/>
      <c r="XDD622" s="9"/>
      <c r="XDE622" s="9"/>
      <c r="XDF622" s="9"/>
      <c r="XDG622" s="9"/>
      <c r="XDH622" s="9"/>
      <c r="XDI622" s="9"/>
      <c r="XDJ622" s="9"/>
      <c r="XDK622" s="9"/>
      <c r="XDL622" s="9"/>
      <c r="XDM622" s="9"/>
      <c r="XDN622" s="9"/>
      <c r="XDO622" s="9"/>
      <c r="XDP622" s="9"/>
      <c r="XDQ622" s="9"/>
      <c r="XDR622" s="9"/>
      <c r="XDS622" s="9"/>
      <c r="XDT622" s="9"/>
      <c r="XDU622" s="9"/>
      <c r="XDV622" s="9"/>
      <c r="XDW622" s="9"/>
      <c r="XDX622" s="9"/>
      <c r="XDY622" s="9"/>
      <c r="XDZ622" s="9"/>
      <c r="XEA622" s="9"/>
      <c r="XEB622" s="9"/>
      <c r="XEC622" s="9"/>
      <c r="XED622" s="9"/>
      <c r="XEE622" s="9"/>
      <c r="XEF622" s="9"/>
      <c r="XEG622" s="9"/>
      <c r="XEH622" s="9"/>
      <c r="XEI622" s="9"/>
      <c r="XEJ622" s="9"/>
      <c r="XEK622" s="9"/>
      <c r="XEL622" s="9"/>
      <c r="XEM622" s="9"/>
      <c r="XEN622" s="9"/>
      <c r="XEO622" s="9"/>
      <c r="XEP622" s="9"/>
      <c r="XEQ622" s="9"/>
      <c r="XER622" s="9"/>
      <c r="XES622" s="9"/>
      <c r="XET622" s="9"/>
      <c r="XEU622" s="9"/>
      <c r="XEV622" s="9"/>
      <c r="XEW622" s="9"/>
      <c r="XEX622" s="9"/>
      <c r="XEY622" s="9"/>
      <c r="XEZ622" s="9"/>
      <c r="XFA622" s="9"/>
      <c r="XFB622" s="9"/>
      <c r="XFC622" s="9"/>
      <c r="XFD622" s="9"/>
    </row>
    <row r="623" spans="1:8 16325:16384" s="3" customFormat="1" ht="19.95" customHeight="1">
      <c r="A623" s="6" t="str">
        <f t="shared" si="25"/>
        <v>040026</v>
      </c>
      <c r="B623" s="6" t="s">
        <v>30</v>
      </c>
      <c r="C623" s="6" t="s">
        <v>29</v>
      </c>
      <c r="D623" s="6" t="str">
        <f>"512627320"</f>
        <v>512627320</v>
      </c>
      <c r="E623" s="7">
        <v>84</v>
      </c>
      <c r="F623" s="7">
        <v>73.5</v>
      </c>
      <c r="G623" s="7"/>
      <c r="H623" s="7">
        <v>79.8</v>
      </c>
      <c r="XCW623" s="9"/>
      <c r="XCX623" s="9"/>
      <c r="XCY623" s="9"/>
      <c r="XCZ623" s="9"/>
      <c r="XDA623" s="9"/>
      <c r="XDB623" s="9"/>
      <c r="XDC623" s="9"/>
      <c r="XDD623" s="9"/>
      <c r="XDE623" s="9"/>
      <c r="XDF623" s="9"/>
      <c r="XDG623" s="9"/>
      <c r="XDH623" s="9"/>
      <c r="XDI623" s="9"/>
      <c r="XDJ623" s="9"/>
      <c r="XDK623" s="9"/>
      <c r="XDL623" s="9"/>
      <c r="XDM623" s="9"/>
      <c r="XDN623" s="9"/>
      <c r="XDO623" s="9"/>
      <c r="XDP623" s="9"/>
      <c r="XDQ623" s="9"/>
      <c r="XDR623" s="9"/>
      <c r="XDS623" s="9"/>
      <c r="XDT623" s="9"/>
      <c r="XDU623" s="9"/>
      <c r="XDV623" s="9"/>
      <c r="XDW623" s="9"/>
      <c r="XDX623" s="9"/>
      <c r="XDY623" s="9"/>
      <c r="XDZ623" s="9"/>
      <c r="XEA623" s="9"/>
      <c r="XEB623" s="9"/>
      <c r="XEC623" s="9"/>
      <c r="XED623" s="9"/>
      <c r="XEE623" s="9"/>
      <c r="XEF623" s="9"/>
      <c r="XEG623" s="9"/>
      <c r="XEH623" s="9"/>
      <c r="XEI623" s="9"/>
      <c r="XEJ623" s="9"/>
      <c r="XEK623" s="9"/>
      <c r="XEL623" s="9"/>
      <c r="XEM623" s="9"/>
      <c r="XEN623" s="9"/>
      <c r="XEO623" s="9"/>
      <c r="XEP623" s="9"/>
      <c r="XEQ623" s="9"/>
      <c r="XER623" s="9"/>
      <c r="XES623" s="9"/>
      <c r="XET623" s="9"/>
      <c r="XEU623" s="9"/>
      <c r="XEV623" s="9"/>
      <c r="XEW623" s="9"/>
      <c r="XEX623" s="9"/>
      <c r="XEY623" s="9"/>
      <c r="XEZ623" s="9"/>
      <c r="XFA623" s="9"/>
      <c r="XFB623" s="9"/>
      <c r="XFC623" s="9"/>
      <c r="XFD623" s="9"/>
    </row>
    <row r="624" spans="1:8 16325:16384" s="3" customFormat="1" ht="19.95" customHeight="1">
      <c r="A624" s="6" t="str">
        <f t="shared" si="25"/>
        <v>040026</v>
      </c>
      <c r="B624" s="6" t="s">
        <v>30</v>
      </c>
      <c r="C624" s="6" t="s">
        <v>29</v>
      </c>
      <c r="D624" s="6" t="str">
        <f>"512627405"</f>
        <v>512627405</v>
      </c>
      <c r="E624" s="7">
        <v>82.5</v>
      </c>
      <c r="F624" s="7">
        <v>65.5</v>
      </c>
      <c r="G624" s="7"/>
      <c r="H624" s="7">
        <v>75.7</v>
      </c>
      <c r="XCW624" s="9"/>
      <c r="XCX624" s="9"/>
      <c r="XCY624" s="9"/>
      <c r="XCZ624" s="9"/>
      <c r="XDA624" s="9"/>
      <c r="XDB624" s="9"/>
      <c r="XDC624" s="9"/>
      <c r="XDD624" s="9"/>
      <c r="XDE624" s="9"/>
      <c r="XDF624" s="9"/>
      <c r="XDG624" s="9"/>
      <c r="XDH624" s="9"/>
      <c r="XDI624" s="9"/>
      <c r="XDJ624" s="9"/>
      <c r="XDK624" s="9"/>
      <c r="XDL624" s="9"/>
      <c r="XDM624" s="9"/>
      <c r="XDN624" s="9"/>
      <c r="XDO624" s="9"/>
      <c r="XDP624" s="9"/>
      <c r="XDQ624" s="9"/>
      <c r="XDR624" s="9"/>
      <c r="XDS624" s="9"/>
      <c r="XDT624" s="9"/>
      <c r="XDU624" s="9"/>
      <c r="XDV624" s="9"/>
      <c r="XDW624" s="9"/>
      <c r="XDX624" s="9"/>
      <c r="XDY624" s="9"/>
      <c r="XDZ624" s="9"/>
      <c r="XEA624" s="9"/>
      <c r="XEB624" s="9"/>
      <c r="XEC624" s="9"/>
      <c r="XED624" s="9"/>
      <c r="XEE624" s="9"/>
      <c r="XEF624" s="9"/>
      <c r="XEG624" s="9"/>
      <c r="XEH624" s="9"/>
      <c r="XEI624" s="9"/>
      <c r="XEJ624" s="9"/>
      <c r="XEK624" s="9"/>
      <c r="XEL624" s="9"/>
      <c r="XEM624" s="9"/>
      <c r="XEN624" s="9"/>
      <c r="XEO624" s="9"/>
      <c r="XEP624" s="9"/>
      <c r="XEQ624" s="9"/>
      <c r="XER624" s="9"/>
      <c r="XES624" s="9"/>
      <c r="XET624" s="9"/>
      <c r="XEU624" s="9"/>
      <c r="XEV624" s="9"/>
      <c r="XEW624" s="9"/>
      <c r="XEX624" s="9"/>
      <c r="XEY624" s="9"/>
      <c r="XEZ624" s="9"/>
      <c r="XFA624" s="9"/>
      <c r="XFB624" s="9"/>
      <c r="XFC624" s="9"/>
      <c r="XFD624" s="9"/>
    </row>
    <row r="625" spans="1:8 16325:16384" s="3" customFormat="1" ht="19.95" customHeight="1">
      <c r="A625" s="6" t="str">
        <f t="shared" si="25"/>
        <v>040026</v>
      </c>
      <c r="B625" s="6" t="s">
        <v>30</v>
      </c>
      <c r="C625" s="6" t="s">
        <v>29</v>
      </c>
      <c r="D625" s="6" t="str">
        <f>"512627324"</f>
        <v>512627324</v>
      </c>
      <c r="E625" s="7">
        <v>0</v>
      </c>
      <c r="F625" s="7">
        <v>0</v>
      </c>
      <c r="G625" s="7"/>
      <c r="H625" s="7">
        <v>0</v>
      </c>
      <c r="XCW625" s="9"/>
      <c r="XCX625" s="9"/>
      <c r="XCY625" s="9"/>
      <c r="XCZ625" s="9"/>
      <c r="XDA625" s="9"/>
      <c r="XDB625" s="9"/>
      <c r="XDC625" s="9"/>
      <c r="XDD625" s="9"/>
      <c r="XDE625" s="9"/>
      <c r="XDF625" s="9"/>
      <c r="XDG625" s="9"/>
      <c r="XDH625" s="9"/>
      <c r="XDI625" s="9"/>
      <c r="XDJ625" s="9"/>
      <c r="XDK625" s="9"/>
      <c r="XDL625" s="9"/>
      <c r="XDM625" s="9"/>
      <c r="XDN625" s="9"/>
      <c r="XDO625" s="9"/>
      <c r="XDP625" s="9"/>
      <c r="XDQ625" s="9"/>
      <c r="XDR625" s="9"/>
      <c r="XDS625" s="9"/>
      <c r="XDT625" s="9"/>
      <c r="XDU625" s="9"/>
      <c r="XDV625" s="9"/>
      <c r="XDW625" s="9"/>
      <c r="XDX625" s="9"/>
      <c r="XDY625" s="9"/>
      <c r="XDZ625" s="9"/>
      <c r="XEA625" s="9"/>
      <c r="XEB625" s="9"/>
      <c r="XEC625" s="9"/>
      <c r="XED625" s="9"/>
      <c r="XEE625" s="9"/>
      <c r="XEF625" s="9"/>
      <c r="XEG625" s="9"/>
      <c r="XEH625" s="9"/>
      <c r="XEI625" s="9"/>
      <c r="XEJ625" s="9"/>
      <c r="XEK625" s="9"/>
      <c r="XEL625" s="9"/>
      <c r="XEM625" s="9"/>
      <c r="XEN625" s="9"/>
      <c r="XEO625" s="9"/>
      <c r="XEP625" s="9"/>
      <c r="XEQ625" s="9"/>
      <c r="XER625" s="9"/>
      <c r="XES625" s="9"/>
      <c r="XET625" s="9"/>
      <c r="XEU625" s="9"/>
      <c r="XEV625" s="9"/>
      <c r="XEW625" s="9"/>
      <c r="XEX625" s="9"/>
      <c r="XEY625" s="9"/>
      <c r="XEZ625" s="9"/>
      <c r="XFA625" s="9"/>
      <c r="XFB625" s="9"/>
      <c r="XFC625" s="9"/>
      <c r="XFD625" s="9"/>
    </row>
    <row r="626" spans="1:8 16325:16384" s="3" customFormat="1" ht="19.95" customHeight="1">
      <c r="A626" s="6" t="str">
        <f t="shared" si="25"/>
        <v>040026</v>
      </c>
      <c r="B626" s="6" t="s">
        <v>30</v>
      </c>
      <c r="C626" s="6" t="s">
        <v>29</v>
      </c>
      <c r="D626" s="6" t="str">
        <f>"512627411"</f>
        <v>512627411</v>
      </c>
      <c r="E626" s="7">
        <v>107</v>
      </c>
      <c r="F626" s="7">
        <v>92</v>
      </c>
      <c r="G626" s="7"/>
      <c r="H626" s="7">
        <v>101</v>
      </c>
      <c r="XCW626" s="9"/>
      <c r="XCX626" s="9"/>
      <c r="XCY626" s="9"/>
      <c r="XCZ626" s="9"/>
      <c r="XDA626" s="9"/>
      <c r="XDB626" s="9"/>
      <c r="XDC626" s="9"/>
      <c r="XDD626" s="9"/>
      <c r="XDE626" s="9"/>
      <c r="XDF626" s="9"/>
      <c r="XDG626" s="9"/>
      <c r="XDH626" s="9"/>
      <c r="XDI626" s="9"/>
      <c r="XDJ626" s="9"/>
      <c r="XDK626" s="9"/>
      <c r="XDL626" s="9"/>
      <c r="XDM626" s="9"/>
      <c r="XDN626" s="9"/>
      <c r="XDO626" s="9"/>
      <c r="XDP626" s="9"/>
      <c r="XDQ626" s="9"/>
      <c r="XDR626" s="9"/>
      <c r="XDS626" s="9"/>
      <c r="XDT626" s="9"/>
      <c r="XDU626" s="9"/>
      <c r="XDV626" s="9"/>
      <c r="XDW626" s="9"/>
      <c r="XDX626" s="9"/>
      <c r="XDY626" s="9"/>
      <c r="XDZ626" s="9"/>
      <c r="XEA626" s="9"/>
      <c r="XEB626" s="9"/>
      <c r="XEC626" s="9"/>
      <c r="XED626" s="9"/>
      <c r="XEE626" s="9"/>
      <c r="XEF626" s="9"/>
      <c r="XEG626" s="9"/>
      <c r="XEH626" s="9"/>
      <c r="XEI626" s="9"/>
      <c r="XEJ626" s="9"/>
      <c r="XEK626" s="9"/>
      <c r="XEL626" s="9"/>
      <c r="XEM626" s="9"/>
      <c r="XEN626" s="9"/>
      <c r="XEO626" s="9"/>
      <c r="XEP626" s="9"/>
      <c r="XEQ626" s="9"/>
      <c r="XER626" s="9"/>
      <c r="XES626" s="9"/>
      <c r="XET626" s="9"/>
      <c r="XEU626" s="9"/>
      <c r="XEV626" s="9"/>
      <c r="XEW626" s="9"/>
      <c r="XEX626" s="9"/>
      <c r="XEY626" s="9"/>
      <c r="XEZ626" s="9"/>
      <c r="XFA626" s="9"/>
      <c r="XFB626" s="9"/>
      <c r="XFC626" s="9"/>
      <c r="XFD626" s="9"/>
    </row>
    <row r="627" spans="1:8 16325:16384" s="3" customFormat="1" ht="19.95" customHeight="1">
      <c r="A627" s="6" t="str">
        <f t="shared" si="25"/>
        <v>040026</v>
      </c>
      <c r="B627" s="6" t="s">
        <v>30</v>
      </c>
      <c r="C627" s="6" t="s">
        <v>29</v>
      </c>
      <c r="D627" s="6" t="str">
        <f>"512627402"</f>
        <v>512627402</v>
      </c>
      <c r="E627" s="7">
        <v>0</v>
      </c>
      <c r="F627" s="7">
        <v>0</v>
      </c>
      <c r="G627" s="7"/>
      <c r="H627" s="7">
        <v>0</v>
      </c>
      <c r="XCW627" s="9"/>
      <c r="XCX627" s="9"/>
      <c r="XCY627" s="9"/>
      <c r="XCZ627" s="9"/>
      <c r="XDA627" s="9"/>
      <c r="XDB627" s="9"/>
      <c r="XDC627" s="9"/>
      <c r="XDD627" s="9"/>
      <c r="XDE627" s="9"/>
      <c r="XDF627" s="9"/>
      <c r="XDG627" s="9"/>
      <c r="XDH627" s="9"/>
      <c r="XDI627" s="9"/>
      <c r="XDJ627" s="9"/>
      <c r="XDK627" s="9"/>
      <c r="XDL627" s="9"/>
      <c r="XDM627" s="9"/>
      <c r="XDN627" s="9"/>
      <c r="XDO627" s="9"/>
      <c r="XDP627" s="9"/>
      <c r="XDQ627" s="9"/>
      <c r="XDR627" s="9"/>
      <c r="XDS627" s="9"/>
      <c r="XDT627" s="9"/>
      <c r="XDU627" s="9"/>
      <c r="XDV627" s="9"/>
      <c r="XDW627" s="9"/>
      <c r="XDX627" s="9"/>
      <c r="XDY627" s="9"/>
      <c r="XDZ627" s="9"/>
      <c r="XEA627" s="9"/>
      <c r="XEB627" s="9"/>
      <c r="XEC627" s="9"/>
      <c r="XED627" s="9"/>
      <c r="XEE627" s="9"/>
      <c r="XEF627" s="9"/>
      <c r="XEG627" s="9"/>
      <c r="XEH627" s="9"/>
      <c r="XEI627" s="9"/>
      <c r="XEJ627" s="9"/>
      <c r="XEK627" s="9"/>
      <c r="XEL627" s="9"/>
      <c r="XEM627" s="9"/>
      <c r="XEN627" s="9"/>
      <c r="XEO627" s="9"/>
      <c r="XEP627" s="9"/>
      <c r="XEQ627" s="9"/>
      <c r="XER627" s="9"/>
      <c r="XES627" s="9"/>
      <c r="XET627" s="9"/>
      <c r="XEU627" s="9"/>
      <c r="XEV627" s="9"/>
      <c r="XEW627" s="9"/>
      <c r="XEX627" s="9"/>
      <c r="XEY627" s="9"/>
      <c r="XEZ627" s="9"/>
      <c r="XFA627" s="9"/>
      <c r="XFB627" s="9"/>
      <c r="XFC627" s="9"/>
      <c r="XFD627" s="9"/>
    </row>
    <row r="628" spans="1:8 16325:16384" s="3" customFormat="1" ht="19.95" customHeight="1">
      <c r="A628" s="6" t="str">
        <f t="shared" si="25"/>
        <v>040026</v>
      </c>
      <c r="B628" s="6" t="s">
        <v>30</v>
      </c>
      <c r="C628" s="6" t="s">
        <v>29</v>
      </c>
      <c r="D628" s="6" t="str">
        <f>"512627409"</f>
        <v>512627409</v>
      </c>
      <c r="E628" s="7">
        <v>98</v>
      </c>
      <c r="F628" s="7">
        <v>75.5</v>
      </c>
      <c r="G628" s="7"/>
      <c r="H628" s="7">
        <v>89</v>
      </c>
      <c r="XCW628" s="9"/>
      <c r="XCX628" s="9"/>
      <c r="XCY628" s="9"/>
      <c r="XCZ628" s="9"/>
      <c r="XDA628" s="9"/>
      <c r="XDB628" s="9"/>
      <c r="XDC628" s="9"/>
      <c r="XDD628" s="9"/>
      <c r="XDE628" s="9"/>
      <c r="XDF628" s="9"/>
      <c r="XDG628" s="9"/>
      <c r="XDH628" s="9"/>
      <c r="XDI628" s="9"/>
      <c r="XDJ628" s="9"/>
      <c r="XDK628" s="9"/>
      <c r="XDL628" s="9"/>
      <c r="XDM628" s="9"/>
      <c r="XDN628" s="9"/>
      <c r="XDO628" s="9"/>
      <c r="XDP628" s="9"/>
      <c r="XDQ628" s="9"/>
      <c r="XDR628" s="9"/>
      <c r="XDS628" s="9"/>
      <c r="XDT628" s="9"/>
      <c r="XDU628" s="9"/>
      <c r="XDV628" s="9"/>
      <c r="XDW628" s="9"/>
      <c r="XDX628" s="9"/>
      <c r="XDY628" s="9"/>
      <c r="XDZ628" s="9"/>
      <c r="XEA628" s="9"/>
      <c r="XEB628" s="9"/>
      <c r="XEC628" s="9"/>
      <c r="XED628" s="9"/>
      <c r="XEE628" s="9"/>
      <c r="XEF628" s="9"/>
      <c r="XEG628" s="9"/>
      <c r="XEH628" s="9"/>
      <c r="XEI628" s="9"/>
      <c r="XEJ628" s="9"/>
      <c r="XEK628" s="9"/>
      <c r="XEL628" s="9"/>
      <c r="XEM628" s="9"/>
      <c r="XEN628" s="9"/>
      <c r="XEO628" s="9"/>
      <c r="XEP628" s="9"/>
      <c r="XEQ628" s="9"/>
      <c r="XER628" s="9"/>
      <c r="XES628" s="9"/>
      <c r="XET628" s="9"/>
      <c r="XEU628" s="9"/>
      <c r="XEV628" s="9"/>
      <c r="XEW628" s="9"/>
      <c r="XEX628" s="9"/>
      <c r="XEY628" s="9"/>
      <c r="XEZ628" s="9"/>
      <c r="XFA628" s="9"/>
      <c r="XFB628" s="9"/>
      <c r="XFC628" s="9"/>
      <c r="XFD628" s="9"/>
    </row>
    <row r="629" spans="1:8 16325:16384" s="3" customFormat="1" ht="19.95" customHeight="1">
      <c r="A629" s="6" t="str">
        <f t="shared" si="25"/>
        <v>040026</v>
      </c>
      <c r="B629" s="6" t="s">
        <v>30</v>
      </c>
      <c r="C629" s="6" t="s">
        <v>29</v>
      </c>
      <c r="D629" s="6" t="str">
        <f>"512627410"</f>
        <v>512627410</v>
      </c>
      <c r="E629" s="7">
        <v>78</v>
      </c>
      <c r="F629" s="7">
        <v>64.5</v>
      </c>
      <c r="G629" s="7"/>
      <c r="H629" s="7">
        <v>72.599999999999994</v>
      </c>
      <c r="XCW629" s="9"/>
      <c r="XCX629" s="9"/>
      <c r="XCY629" s="9"/>
      <c r="XCZ629" s="9"/>
      <c r="XDA629" s="9"/>
      <c r="XDB629" s="9"/>
      <c r="XDC629" s="9"/>
      <c r="XDD629" s="9"/>
      <c r="XDE629" s="9"/>
      <c r="XDF629" s="9"/>
      <c r="XDG629" s="9"/>
      <c r="XDH629" s="9"/>
      <c r="XDI629" s="9"/>
      <c r="XDJ629" s="9"/>
      <c r="XDK629" s="9"/>
      <c r="XDL629" s="9"/>
      <c r="XDM629" s="9"/>
      <c r="XDN629" s="9"/>
      <c r="XDO629" s="9"/>
      <c r="XDP629" s="9"/>
      <c r="XDQ629" s="9"/>
      <c r="XDR629" s="9"/>
      <c r="XDS629" s="9"/>
      <c r="XDT629" s="9"/>
      <c r="XDU629" s="9"/>
      <c r="XDV629" s="9"/>
      <c r="XDW629" s="9"/>
      <c r="XDX629" s="9"/>
      <c r="XDY629" s="9"/>
      <c r="XDZ629" s="9"/>
      <c r="XEA629" s="9"/>
      <c r="XEB629" s="9"/>
      <c r="XEC629" s="9"/>
      <c r="XED629" s="9"/>
      <c r="XEE629" s="9"/>
      <c r="XEF629" s="9"/>
      <c r="XEG629" s="9"/>
      <c r="XEH629" s="9"/>
      <c r="XEI629" s="9"/>
      <c r="XEJ629" s="9"/>
      <c r="XEK629" s="9"/>
      <c r="XEL629" s="9"/>
      <c r="XEM629" s="9"/>
      <c r="XEN629" s="9"/>
      <c r="XEO629" s="9"/>
      <c r="XEP629" s="9"/>
      <c r="XEQ629" s="9"/>
      <c r="XER629" s="9"/>
      <c r="XES629" s="9"/>
      <c r="XET629" s="9"/>
      <c r="XEU629" s="9"/>
      <c r="XEV629" s="9"/>
      <c r="XEW629" s="9"/>
      <c r="XEX629" s="9"/>
      <c r="XEY629" s="9"/>
      <c r="XEZ629" s="9"/>
      <c r="XFA629" s="9"/>
      <c r="XFB629" s="9"/>
      <c r="XFC629" s="9"/>
      <c r="XFD629" s="9"/>
    </row>
    <row r="630" spans="1:8 16325:16384" s="3" customFormat="1" ht="19.95" customHeight="1">
      <c r="A630" s="6" t="str">
        <f t="shared" si="25"/>
        <v>040026</v>
      </c>
      <c r="B630" s="6" t="s">
        <v>30</v>
      </c>
      <c r="C630" s="6" t="s">
        <v>29</v>
      </c>
      <c r="D630" s="6" t="str">
        <f>"512627407"</f>
        <v>512627407</v>
      </c>
      <c r="E630" s="7">
        <v>87.5</v>
      </c>
      <c r="F630" s="7">
        <v>79.5</v>
      </c>
      <c r="G630" s="7"/>
      <c r="H630" s="7">
        <v>84.3</v>
      </c>
      <c r="XCW630" s="9"/>
      <c r="XCX630" s="9"/>
      <c r="XCY630" s="9"/>
      <c r="XCZ630" s="9"/>
      <c r="XDA630" s="9"/>
      <c r="XDB630" s="9"/>
      <c r="XDC630" s="9"/>
      <c r="XDD630" s="9"/>
      <c r="XDE630" s="9"/>
      <c r="XDF630" s="9"/>
      <c r="XDG630" s="9"/>
      <c r="XDH630" s="9"/>
      <c r="XDI630" s="9"/>
      <c r="XDJ630" s="9"/>
      <c r="XDK630" s="9"/>
      <c r="XDL630" s="9"/>
      <c r="XDM630" s="9"/>
      <c r="XDN630" s="9"/>
      <c r="XDO630" s="9"/>
      <c r="XDP630" s="9"/>
      <c r="XDQ630" s="9"/>
      <c r="XDR630" s="9"/>
      <c r="XDS630" s="9"/>
      <c r="XDT630" s="9"/>
      <c r="XDU630" s="9"/>
      <c r="XDV630" s="9"/>
      <c r="XDW630" s="9"/>
      <c r="XDX630" s="9"/>
      <c r="XDY630" s="9"/>
      <c r="XDZ630" s="9"/>
      <c r="XEA630" s="9"/>
      <c r="XEB630" s="9"/>
      <c r="XEC630" s="9"/>
      <c r="XED630" s="9"/>
      <c r="XEE630" s="9"/>
      <c r="XEF630" s="9"/>
      <c r="XEG630" s="9"/>
      <c r="XEH630" s="9"/>
      <c r="XEI630" s="9"/>
      <c r="XEJ630" s="9"/>
      <c r="XEK630" s="9"/>
      <c r="XEL630" s="9"/>
      <c r="XEM630" s="9"/>
      <c r="XEN630" s="9"/>
      <c r="XEO630" s="9"/>
      <c r="XEP630" s="9"/>
      <c r="XEQ630" s="9"/>
      <c r="XER630" s="9"/>
      <c r="XES630" s="9"/>
      <c r="XET630" s="9"/>
      <c r="XEU630" s="9"/>
      <c r="XEV630" s="9"/>
      <c r="XEW630" s="9"/>
      <c r="XEX630" s="9"/>
      <c r="XEY630" s="9"/>
      <c r="XEZ630" s="9"/>
      <c r="XFA630" s="9"/>
      <c r="XFB630" s="9"/>
      <c r="XFC630" s="9"/>
      <c r="XFD630" s="9"/>
    </row>
    <row r="631" spans="1:8 16325:16384" s="3" customFormat="1" ht="19.95" customHeight="1">
      <c r="A631" s="6" t="str">
        <f t="shared" si="25"/>
        <v>040026</v>
      </c>
      <c r="B631" s="6" t="s">
        <v>30</v>
      </c>
      <c r="C631" s="6" t="s">
        <v>29</v>
      </c>
      <c r="D631" s="6" t="str">
        <f>"512627316"</f>
        <v>512627316</v>
      </c>
      <c r="E631" s="7">
        <v>98.5</v>
      </c>
      <c r="F631" s="7">
        <v>87.5</v>
      </c>
      <c r="G631" s="7"/>
      <c r="H631" s="7">
        <v>94.1</v>
      </c>
      <c r="XCW631" s="9"/>
      <c r="XCX631" s="9"/>
      <c r="XCY631" s="9"/>
      <c r="XCZ631" s="9"/>
      <c r="XDA631" s="9"/>
      <c r="XDB631" s="9"/>
      <c r="XDC631" s="9"/>
      <c r="XDD631" s="9"/>
      <c r="XDE631" s="9"/>
      <c r="XDF631" s="9"/>
      <c r="XDG631" s="9"/>
      <c r="XDH631" s="9"/>
      <c r="XDI631" s="9"/>
      <c r="XDJ631" s="9"/>
      <c r="XDK631" s="9"/>
      <c r="XDL631" s="9"/>
      <c r="XDM631" s="9"/>
      <c r="XDN631" s="9"/>
      <c r="XDO631" s="9"/>
      <c r="XDP631" s="9"/>
      <c r="XDQ631" s="9"/>
      <c r="XDR631" s="9"/>
      <c r="XDS631" s="9"/>
      <c r="XDT631" s="9"/>
      <c r="XDU631" s="9"/>
      <c r="XDV631" s="9"/>
      <c r="XDW631" s="9"/>
      <c r="XDX631" s="9"/>
      <c r="XDY631" s="9"/>
      <c r="XDZ631" s="9"/>
      <c r="XEA631" s="9"/>
      <c r="XEB631" s="9"/>
      <c r="XEC631" s="9"/>
      <c r="XED631" s="9"/>
      <c r="XEE631" s="9"/>
      <c r="XEF631" s="9"/>
      <c r="XEG631" s="9"/>
      <c r="XEH631" s="9"/>
      <c r="XEI631" s="9"/>
      <c r="XEJ631" s="9"/>
      <c r="XEK631" s="9"/>
      <c r="XEL631" s="9"/>
      <c r="XEM631" s="9"/>
      <c r="XEN631" s="9"/>
      <c r="XEO631" s="9"/>
      <c r="XEP631" s="9"/>
      <c r="XEQ631" s="9"/>
      <c r="XER631" s="9"/>
      <c r="XES631" s="9"/>
      <c r="XET631" s="9"/>
      <c r="XEU631" s="9"/>
      <c r="XEV631" s="9"/>
      <c r="XEW631" s="9"/>
      <c r="XEX631" s="9"/>
      <c r="XEY631" s="9"/>
      <c r="XEZ631" s="9"/>
      <c r="XFA631" s="9"/>
      <c r="XFB631" s="9"/>
      <c r="XFC631" s="9"/>
      <c r="XFD631" s="9"/>
    </row>
    <row r="632" spans="1:8 16325:16384" s="3" customFormat="1" ht="19.95" customHeight="1">
      <c r="A632" s="6" t="str">
        <f t="shared" si="25"/>
        <v>040026</v>
      </c>
      <c r="B632" s="6" t="s">
        <v>30</v>
      </c>
      <c r="C632" s="6" t="s">
        <v>29</v>
      </c>
      <c r="D632" s="6" t="str">
        <f>"512627408"</f>
        <v>512627408</v>
      </c>
      <c r="E632" s="7">
        <v>70.5</v>
      </c>
      <c r="F632" s="7">
        <v>75.5</v>
      </c>
      <c r="G632" s="7"/>
      <c r="H632" s="7">
        <v>72.5</v>
      </c>
      <c r="XCW632" s="9"/>
      <c r="XCX632" s="9"/>
      <c r="XCY632" s="9"/>
      <c r="XCZ632" s="9"/>
      <c r="XDA632" s="9"/>
      <c r="XDB632" s="9"/>
      <c r="XDC632" s="9"/>
      <c r="XDD632" s="9"/>
      <c r="XDE632" s="9"/>
      <c r="XDF632" s="9"/>
      <c r="XDG632" s="9"/>
      <c r="XDH632" s="9"/>
      <c r="XDI632" s="9"/>
      <c r="XDJ632" s="9"/>
      <c r="XDK632" s="9"/>
      <c r="XDL632" s="9"/>
      <c r="XDM632" s="9"/>
      <c r="XDN632" s="9"/>
      <c r="XDO632" s="9"/>
      <c r="XDP632" s="9"/>
      <c r="XDQ632" s="9"/>
      <c r="XDR632" s="9"/>
      <c r="XDS632" s="9"/>
      <c r="XDT632" s="9"/>
      <c r="XDU632" s="9"/>
      <c r="XDV632" s="9"/>
      <c r="XDW632" s="9"/>
      <c r="XDX632" s="9"/>
      <c r="XDY632" s="9"/>
      <c r="XDZ632" s="9"/>
      <c r="XEA632" s="9"/>
      <c r="XEB632" s="9"/>
      <c r="XEC632" s="9"/>
      <c r="XED632" s="9"/>
      <c r="XEE632" s="9"/>
      <c r="XEF632" s="9"/>
      <c r="XEG632" s="9"/>
      <c r="XEH632" s="9"/>
      <c r="XEI632" s="9"/>
      <c r="XEJ632" s="9"/>
      <c r="XEK632" s="9"/>
      <c r="XEL632" s="9"/>
      <c r="XEM632" s="9"/>
      <c r="XEN632" s="9"/>
      <c r="XEO632" s="9"/>
      <c r="XEP632" s="9"/>
      <c r="XEQ632" s="9"/>
      <c r="XER632" s="9"/>
      <c r="XES632" s="9"/>
      <c r="XET632" s="9"/>
      <c r="XEU632" s="9"/>
      <c r="XEV632" s="9"/>
      <c r="XEW632" s="9"/>
      <c r="XEX632" s="9"/>
      <c r="XEY632" s="9"/>
      <c r="XEZ632" s="9"/>
      <c r="XFA632" s="9"/>
      <c r="XFB632" s="9"/>
      <c r="XFC632" s="9"/>
      <c r="XFD632" s="9"/>
    </row>
    <row r="633" spans="1:8 16325:16384" s="3" customFormat="1" ht="19.95" customHeight="1">
      <c r="A633" s="6" t="str">
        <f t="shared" si="25"/>
        <v>040026</v>
      </c>
      <c r="B633" s="6" t="s">
        <v>30</v>
      </c>
      <c r="C633" s="6" t="s">
        <v>29</v>
      </c>
      <c r="D633" s="6" t="str">
        <f>"512627325"</f>
        <v>512627325</v>
      </c>
      <c r="E633" s="7">
        <v>89</v>
      </c>
      <c r="F633" s="7">
        <v>66</v>
      </c>
      <c r="G633" s="7"/>
      <c r="H633" s="7">
        <v>79.8</v>
      </c>
      <c r="XCW633" s="9"/>
      <c r="XCX633" s="9"/>
      <c r="XCY633" s="9"/>
      <c r="XCZ633" s="9"/>
      <c r="XDA633" s="9"/>
      <c r="XDB633" s="9"/>
      <c r="XDC633" s="9"/>
      <c r="XDD633" s="9"/>
      <c r="XDE633" s="9"/>
      <c r="XDF633" s="9"/>
      <c r="XDG633" s="9"/>
      <c r="XDH633" s="9"/>
      <c r="XDI633" s="9"/>
      <c r="XDJ633" s="9"/>
      <c r="XDK633" s="9"/>
      <c r="XDL633" s="9"/>
      <c r="XDM633" s="9"/>
      <c r="XDN633" s="9"/>
      <c r="XDO633" s="9"/>
      <c r="XDP633" s="9"/>
      <c r="XDQ633" s="9"/>
      <c r="XDR633" s="9"/>
      <c r="XDS633" s="9"/>
      <c r="XDT633" s="9"/>
      <c r="XDU633" s="9"/>
      <c r="XDV633" s="9"/>
      <c r="XDW633" s="9"/>
      <c r="XDX633" s="9"/>
      <c r="XDY633" s="9"/>
      <c r="XDZ633" s="9"/>
      <c r="XEA633" s="9"/>
      <c r="XEB633" s="9"/>
      <c r="XEC633" s="9"/>
      <c r="XED633" s="9"/>
      <c r="XEE633" s="9"/>
      <c r="XEF633" s="9"/>
      <c r="XEG633" s="9"/>
      <c r="XEH633" s="9"/>
      <c r="XEI633" s="9"/>
      <c r="XEJ633" s="9"/>
      <c r="XEK633" s="9"/>
      <c r="XEL633" s="9"/>
      <c r="XEM633" s="9"/>
      <c r="XEN633" s="9"/>
      <c r="XEO633" s="9"/>
      <c r="XEP633" s="9"/>
      <c r="XEQ633" s="9"/>
      <c r="XER633" s="9"/>
      <c r="XES633" s="9"/>
      <c r="XET633" s="9"/>
      <c r="XEU633" s="9"/>
      <c r="XEV633" s="9"/>
      <c r="XEW633" s="9"/>
      <c r="XEX633" s="9"/>
      <c r="XEY633" s="9"/>
      <c r="XEZ633" s="9"/>
      <c r="XFA633" s="9"/>
      <c r="XFB633" s="9"/>
      <c r="XFC633" s="9"/>
      <c r="XFD633" s="9"/>
    </row>
    <row r="634" spans="1:8 16325:16384" s="3" customFormat="1" ht="19.95" customHeight="1">
      <c r="A634" s="6" t="str">
        <f t="shared" si="25"/>
        <v>040026</v>
      </c>
      <c r="B634" s="6" t="s">
        <v>30</v>
      </c>
      <c r="C634" s="6" t="s">
        <v>29</v>
      </c>
      <c r="D634" s="6" t="str">
        <f>"512627318"</f>
        <v>512627318</v>
      </c>
      <c r="E634" s="7">
        <v>82</v>
      </c>
      <c r="F634" s="7">
        <v>70.5</v>
      </c>
      <c r="G634" s="7"/>
      <c r="H634" s="7">
        <v>77.400000000000006</v>
      </c>
      <c r="XCW634" s="9"/>
      <c r="XCX634" s="9"/>
      <c r="XCY634" s="9"/>
      <c r="XCZ634" s="9"/>
      <c r="XDA634" s="9"/>
      <c r="XDB634" s="9"/>
      <c r="XDC634" s="9"/>
      <c r="XDD634" s="9"/>
      <c r="XDE634" s="9"/>
      <c r="XDF634" s="9"/>
      <c r="XDG634" s="9"/>
      <c r="XDH634" s="9"/>
      <c r="XDI634" s="9"/>
      <c r="XDJ634" s="9"/>
      <c r="XDK634" s="9"/>
      <c r="XDL634" s="9"/>
      <c r="XDM634" s="9"/>
      <c r="XDN634" s="9"/>
      <c r="XDO634" s="9"/>
      <c r="XDP634" s="9"/>
      <c r="XDQ634" s="9"/>
      <c r="XDR634" s="9"/>
      <c r="XDS634" s="9"/>
      <c r="XDT634" s="9"/>
      <c r="XDU634" s="9"/>
      <c r="XDV634" s="9"/>
      <c r="XDW634" s="9"/>
      <c r="XDX634" s="9"/>
      <c r="XDY634" s="9"/>
      <c r="XDZ634" s="9"/>
      <c r="XEA634" s="9"/>
      <c r="XEB634" s="9"/>
      <c r="XEC634" s="9"/>
      <c r="XED634" s="9"/>
      <c r="XEE634" s="9"/>
      <c r="XEF634" s="9"/>
      <c r="XEG634" s="9"/>
      <c r="XEH634" s="9"/>
      <c r="XEI634" s="9"/>
      <c r="XEJ634" s="9"/>
      <c r="XEK634" s="9"/>
      <c r="XEL634" s="9"/>
      <c r="XEM634" s="9"/>
      <c r="XEN634" s="9"/>
      <c r="XEO634" s="9"/>
      <c r="XEP634" s="9"/>
      <c r="XEQ634" s="9"/>
      <c r="XER634" s="9"/>
      <c r="XES634" s="9"/>
      <c r="XET634" s="9"/>
      <c r="XEU634" s="9"/>
      <c r="XEV634" s="9"/>
      <c r="XEW634" s="9"/>
      <c r="XEX634" s="9"/>
      <c r="XEY634" s="9"/>
      <c r="XEZ634" s="9"/>
      <c r="XFA634" s="9"/>
      <c r="XFB634" s="9"/>
      <c r="XFC634" s="9"/>
      <c r="XFD634" s="9"/>
    </row>
    <row r="635" spans="1:8 16325:16384" s="3" customFormat="1" ht="19.95" customHeight="1">
      <c r="A635" s="6" t="str">
        <f t="shared" si="25"/>
        <v>040026</v>
      </c>
      <c r="B635" s="6" t="s">
        <v>30</v>
      </c>
      <c r="C635" s="6" t="s">
        <v>29</v>
      </c>
      <c r="D635" s="6" t="str">
        <f>"512627404"</f>
        <v>512627404</v>
      </c>
      <c r="E635" s="7">
        <v>68</v>
      </c>
      <c r="F635" s="7">
        <v>62</v>
      </c>
      <c r="G635" s="7"/>
      <c r="H635" s="7">
        <v>65.599999999999994</v>
      </c>
      <c r="XCW635" s="9"/>
      <c r="XCX635" s="9"/>
      <c r="XCY635" s="9"/>
      <c r="XCZ635" s="9"/>
      <c r="XDA635" s="9"/>
      <c r="XDB635" s="9"/>
      <c r="XDC635" s="9"/>
      <c r="XDD635" s="9"/>
      <c r="XDE635" s="9"/>
      <c r="XDF635" s="9"/>
      <c r="XDG635" s="9"/>
      <c r="XDH635" s="9"/>
      <c r="XDI635" s="9"/>
      <c r="XDJ635" s="9"/>
      <c r="XDK635" s="9"/>
      <c r="XDL635" s="9"/>
      <c r="XDM635" s="9"/>
      <c r="XDN635" s="9"/>
      <c r="XDO635" s="9"/>
      <c r="XDP635" s="9"/>
      <c r="XDQ635" s="9"/>
      <c r="XDR635" s="9"/>
      <c r="XDS635" s="9"/>
      <c r="XDT635" s="9"/>
      <c r="XDU635" s="9"/>
      <c r="XDV635" s="9"/>
      <c r="XDW635" s="9"/>
      <c r="XDX635" s="9"/>
      <c r="XDY635" s="9"/>
      <c r="XDZ635" s="9"/>
      <c r="XEA635" s="9"/>
      <c r="XEB635" s="9"/>
      <c r="XEC635" s="9"/>
      <c r="XED635" s="9"/>
      <c r="XEE635" s="9"/>
      <c r="XEF635" s="9"/>
      <c r="XEG635" s="9"/>
      <c r="XEH635" s="9"/>
      <c r="XEI635" s="9"/>
      <c r="XEJ635" s="9"/>
      <c r="XEK635" s="9"/>
      <c r="XEL635" s="9"/>
      <c r="XEM635" s="9"/>
      <c r="XEN635" s="9"/>
      <c r="XEO635" s="9"/>
      <c r="XEP635" s="9"/>
      <c r="XEQ635" s="9"/>
      <c r="XER635" s="9"/>
      <c r="XES635" s="9"/>
      <c r="XET635" s="9"/>
      <c r="XEU635" s="9"/>
      <c r="XEV635" s="9"/>
      <c r="XEW635" s="9"/>
      <c r="XEX635" s="9"/>
      <c r="XEY635" s="9"/>
      <c r="XEZ635" s="9"/>
      <c r="XFA635" s="9"/>
      <c r="XFB635" s="9"/>
      <c r="XFC635" s="9"/>
      <c r="XFD635" s="9"/>
    </row>
    <row r="636" spans="1:8 16325:16384" s="3" customFormat="1" ht="19.95" customHeight="1">
      <c r="A636" s="6" t="str">
        <f t="shared" ref="A636:A642" si="26">"040027"</f>
        <v>040027</v>
      </c>
      <c r="B636" s="6" t="s">
        <v>18</v>
      </c>
      <c r="C636" s="6" t="s">
        <v>29</v>
      </c>
      <c r="D636" s="6" t="str">
        <f>"512421307"</f>
        <v>512421307</v>
      </c>
      <c r="E636" s="7">
        <v>84.5</v>
      </c>
      <c r="F636" s="7">
        <v>72.5</v>
      </c>
      <c r="G636" s="7"/>
      <c r="H636" s="7">
        <v>79.7</v>
      </c>
      <c r="XCW636" s="9"/>
      <c r="XCX636" s="9"/>
      <c r="XCY636" s="9"/>
      <c r="XCZ636" s="9"/>
      <c r="XDA636" s="9"/>
      <c r="XDB636" s="9"/>
      <c r="XDC636" s="9"/>
      <c r="XDD636" s="9"/>
      <c r="XDE636" s="9"/>
      <c r="XDF636" s="9"/>
      <c r="XDG636" s="9"/>
      <c r="XDH636" s="9"/>
      <c r="XDI636" s="9"/>
      <c r="XDJ636" s="9"/>
      <c r="XDK636" s="9"/>
      <c r="XDL636" s="9"/>
      <c r="XDM636" s="9"/>
      <c r="XDN636" s="9"/>
      <c r="XDO636" s="9"/>
      <c r="XDP636" s="9"/>
      <c r="XDQ636" s="9"/>
      <c r="XDR636" s="9"/>
      <c r="XDS636" s="9"/>
      <c r="XDT636" s="9"/>
      <c r="XDU636" s="9"/>
      <c r="XDV636" s="9"/>
      <c r="XDW636" s="9"/>
      <c r="XDX636" s="9"/>
      <c r="XDY636" s="9"/>
      <c r="XDZ636" s="9"/>
      <c r="XEA636" s="9"/>
      <c r="XEB636" s="9"/>
      <c r="XEC636" s="9"/>
      <c r="XED636" s="9"/>
      <c r="XEE636" s="9"/>
      <c r="XEF636" s="9"/>
      <c r="XEG636" s="9"/>
      <c r="XEH636" s="9"/>
      <c r="XEI636" s="9"/>
      <c r="XEJ636" s="9"/>
      <c r="XEK636" s="9"/>
      <c r="XEL636" s="9"/>
      <c r="XEM636" s="9"/>
      <c r="XEN636" s="9"/>
      <c r="XEO636" s="9"/>
      <c r="XEP636" s="9"/>
      <c r="XEQ636" s="9"/>
      <c r="XER636" s="9"/>
      <c r="XES636" s="9"/>
      <c r="XET636" s="9"/>
      <c r="XEU636" s="9"/>
      <c r="XEV636" s="9"/>
      <c r="XEW636" s="9"/>
      <c r="XEX636" s="9"/>
      <c r="XEY636" s="9"/>
      <c r="XEZ636" s="9"/>
      <c r="XFA636" s="9"/>
      <c r="XFB636" s="9"/>
      <c r="XFC636" s="9"/>
      <c r="XFD636" s="9"/>
    </row>
    <row r="637" spans="1:8 16325:16384" s="3" customFormat="1" ht="19.95" customHeight="1">
      <c r="A637" s="6" t="str">
        <f t="shared" si="26"/>
        <v>040027</v>
      </c>
      <c r="B637" s="6" t="s">
        <v>18</v>
      </c>
      <c r="C637" s="6" t="s">
        <v>29</v>
      </c>
      <c r="D637" s="6" t="str">
        <f>"512421306"</f>
        <v>512421306</v>
      </c>
      <c r="E637" s="7">
        <v>79</v>
      </c>
      <c r="F637" s="7">
        <v>66.5</v>
      </c>
      <c r="G637" s="7"/>
      <c r="H637" s="7">
        <v>74</v>
      </c>
      <c r="XCW637" s="9"/>
      <c r="XCX637" s="9"/>
      <c r="XCY637" s="9"/>
      <c r="XCZ637" s="9"/>
      <c r="XDA637" s="9"/>
      <c r="XDB637" s="9"/>
      <c r="XDC637" s="9"/>
      <c r="XDD637" s="9"/>
      <c r="XDE637" s="9"/>
      <c r="XDF637" s="9"/>
      <c r="XDG637" s="9"/>
      <c r="XDH637" s="9"/>
      <c r="XDI637" s="9"/>
      <c r="XDJ637" s="9"/>
      <c r="XDK637" s="9"/>
      <c r="XDL637" s="9"/>
      <c r="XDM637" s="9"/>
      <c r="XDN637" s="9"/>
      <c r="XDO637" s="9"/>
      <c r="XDP637" s="9"/>
      <c r="XDQ637" s="9"/>
      <c r="XDR637" s="9"/>
      <c r="XDS637" s="9"/>
      <c r="XDT637" s="9"/>
      <c r="XDU637" s="9"/>
      <c r="XDV637" s="9"/>
      <c r="XDW637" s="9"/>
      <c r="XDX637" s="9"/>
      <c r="XDY637" s="9"/>
      <c r="XDZ637" s="9"/>
      <c r="XEA637" s="9"/>
      <c r="XEB637" s="9"/>
      <c r="XEC637" s="9"/>
      <c r="XED637" s="9"/>
      <c r="XEE637" s="9"/>
      <c r="XEF637" s="9"/>
      <c r="XEG637" s="9"/>
      <c r="XEH637" s="9"/>
      <c r="XEI637" s="9"/>
      <c r="XEJ637" s="9"/>
      <c r="XEK637" s="9"/>
      <c r="XEL637" s="9"/>
      <c r="XEM637" s="9"/>
      <c r="XEN637" s="9"/>
      <c r="XEO637" s="9"/>
      <c r="XEP637" s="9"/>
      <c r="XEQ637" s="9"/>
      <c r="XER637" s="9"/>
      <c r="XES637" s="9"/>
      <c r="XET637" s="9"/>
      <c r="XEU637" s="9"/>
      <c r="XEV637" s="9"/>
      <c r="XEW637" s="9"/>
      <c r="XEX637" s="9"/>
      <c r="XEY637" s="9"/>
      <c r="XEZ637" s="9"/>
      <c r="XFA637" s="9"/>
      <c r="XFB637" s="9"/>
      <c r="XFC637" s="9"/>
      <c r="XFD637" s="9"/>
    </row>
    <row r="638" spans="1:8 16325:16384" s="3" customFormat="1" ht="19.95" customHeight="1">
      <c r="A638" s="6" t="str">
        <f t="shared" si="26"/>
        <v>040027</v>
      </c>
      <c r="B638" s="6" t="s">
        <v>18</v>
      </c>
      <c r="C638" s="6" t="s">
        <v>29</v>
      </c>
      <c r="D638" s="6" t="str">
        <f>"512421309"</f>
        <v>512421309</v>
      </c>
      <c r="E638" s="7">
        <v>82.5</v>
      </c>
      <c r="F638" s="7">
        <v>74</v>
      </c>
      <c r="G638" s="7"/>
      <c r="H638" s="7">
        <v>79.099999999999994</v>
      </c>
      <c r="XCW638" s="9"/>
      <c r="XCX638" s="9"/>
      <c r="XCY638" s="9"/>
      <c r="XCZ638" s="9"/>
      <c r="XDA638" s="9"/>
      <c r="XDB638" s="9"/>
      <c r="XDC638" s="9"/>
      <c r="XDD638" s="9"/>
      <c r="XDE638" s="9"/>
      <c r="XDF638" s="9"/>
      <c r="XDG638" s="9"/>
      <c r="XDH638" s="9"/>
      <c r="XDI638" s="9"/>
      <c r="XDJ638" s="9"/>
      <c r="XDK638" s="9"/>
      <c r="XDL638" s="9"/>
      <c r="XDM638" s="9"/>
      <c r="XDN638" s="9"/>
      <c r="XDO638" s="9"/>
      <c r="XDP638" s="9"/>
      <c r="XDQ638" s="9"/>
      <c r="XDR638" s="9"/>
      <c r="XDS638" s="9"/>
      <c r="XDT638" s="9"/>
      <c r="XDU638" s="9"/>
      <c r="XDV638" s="9"/>
      <c r="XDW638" s="9"/>
      <c r="XDX638" s="9"/>
      <c r="XDY638" s="9"/>
      <c r="XDZ638" s="9"/>
      <c r="XEA638" s="9"/>
      <c r="XEB638" s="9"/>
      <c r="XEC638" s="9"/>
      <c r="XED638" s="9"/>
      <c r="XEE638" s="9"/>
      <c r="XEF638" s="9"/>
      <c r="XEG638" s="9"/>
      <c r="XEH638" s="9"/>
      <c r="XEI638" s="9"/>
      <c r="XEJ638" s="9"/>
      <c r="XEK638" s="9"/>
      <c r="XEL638" s="9"/>
      <c r="XEM638" s="9"/>
      <c r="XEN638" s="9"/>
      <c r="XEO638" s="9"/>
      <c r="XEP638" s="9"/>
      <c r="XEQ638" s="9"/>
      <c r="XER638" s="9"/>
      <c r="XES638" s="9"/>
      <c r="XET638" s="9"/>
      <c r="XEU638" s="9"/>
      <c r="XEV638" s="9"/>
      <c r="XEW638" s="9"/>
      <c r="XEX638" s="9"/>
      <c r="XEY638" s="9"/>
      <c r="XEZ638" s="9"/>
      <c r="XFA638" s="9"/>
      <c r="XFB638" s="9"/>
      <c r="XFC638" s="9"/>
      <c r="XFD638" s="9"/>
    </row>
    <row r="639" spans="1:8 16325:16384" s="3" customFormat="1" ht="19.95" customHeight="1">
      <c r="A639" s="6" t="str">
        <f t="shared" si="26"/>
        <v>040027</v>
      </c>
      <c r="B639" s="6" t="s">
        <v>18</v>
      </c>
      <c r="C639" s="6" t="s">
        <v>29</v>
      </c>
      <c r="D639" s="6" t="str">
        <f>"512421310"</f>
        <v>512421310</v>
      </c>
      <c r="E639" s="7">
        <v>98</v>
      </c>
      <c r="F639" s="7">
        <v>79.5</v>
      </c>
      <c r="G639" s="7"/>
      <c r="H639" s="7">
        <v>90.6</v>
      </c>
      <c r="XCW639" s="9"/>
      <c r="XCX639" s="9"/>
      <c r="XCY639" s="9"/>
      <c r="XCZ639" s="9"/>
      <c r="XDA639" s="9"/>
      <c r="XDB639" s="9"/>
      <c r="XDC639" s="9"/>
      <c r="XDD639" s="9"/>
      <c r="XDE639" s="9"/>
      <c r="XDF639" s="9"/>
      <c r="XDG639" s="9"/>
      <c r="XDH639" s="9"/>
      <c r="XDI639" s="9"/>
      <c r="XDJ639" s="9"/>
      <c r="XDK639" s="9"/>
      <c r="XDL639" s="9"/>
      <c r="XDM639" s="9"/>
      <c r="XDN639" s="9"/>
      <c r="XDO639" s="9"/>
      <c r="XDP639" s="9"/>
      <c r="XDQ639" s="9"/>
      <c r="XDR639" s="9"/>
      <c r="XDS639" s="9"/>
      <c r="XDT639" s="9"/>
      <c r="XDU639" s="9"/>
      <c r="XDV639" s="9"/>
      <c r="XDW639" s="9"/>
      <c r="XDX639" s="9"/>
      <c r="XDY639" s="9"/>
      <c r="XDZ639" s="9"/>
      <c r="XEA639" s="9"/>
      <c r="XEB639" s="9"/>
      <c r="XEC639" s="9"/>
      <c r="XED639" s="9"/>
      <c r="XEE639" s="9"/>
      <c r="XEF639" s="9"/>
      <c r="XEG639" s="9"/>
      <c r="XEH639" s="9"/>
      <c r="XEI639" s="9"/>
      <c r="XEJ639" s="9"/>
      <c r="XEK639" s="9"/>
      <c r="XEL639" s="9"/>
      <c r="XEM639" s="9"/>
      <c r="XEN639" s="9"/>
      <c r="XEO639" s="9"/>
      <c r="XEP639" s="9"/>
      <c r="XEQ639" s="9"/>
      <c r="XER639" s="9"/>
      <c r="XES639" s="9"/>
      <c r="XET639" s="9"/>
      <c r="XEU639" s="9"/>
      <c r="XEV639" s="9"/>
      <c r="XEW639" s="9"/>
      <c r="XEX639" s="9"/>
      <c r="XEY639" s="9"/>
      <c r="XEZ639" s="9"/>
      <c r="XFA639" s="9"/>
      <c r="XFB639" s="9"/>
      <c r="XFC639" s="9"/>
      <c r="XFD639" s="9"/>
    </row>
    <row r="640" spans="1:8 16325:16384" s="3" customFormat="1" ht="19.95" customHeight="1">
      <c r="A640" s="6" t="str">
        <f t="shared" si="26"/>
        <v>040027</v>
      </c>
      <c r="B640" s="6" t="s">
        <v>18</v>
      </c>
      <c r="C640" s="6" t="s">
        <v>29</v>
      </c>
      <c r="D640" s="6" t="str">
        <f>"512421305"</f>
        <v>512421305</v>
      </c>
      <c r="E640" s="7">
        <v>0</v>
      </c>
      <c r="F640" s="7">
        <v>0</v>
      </c>
      <c r="G640" s="7"/>
      <c r="H640" s="7">
        <v>0</v>
      </c>
      <c r="XCW640" s="9"/>
      <c r="XCX640" s="9"/>
      <c r="XCY640" s="9"/>
      <c r="XCZ640" s="9"/>
      <c r="XDA640" s="9"/>
      <c r="XDB640" s="9"/>
      <c r="XDC640" s="9"/>
      <c r="XDD640" s="9"/>
      <c r="XDE640" s="9"/>
      <c r="XDF640" s="9"/>
      <c r="XDG640" s="9"/>
      <c r="XDH640" s="9"/>
      <c r="XDI640" s="9"/>
      <c r="XDJ640" s="9"/>
      <c r="XDK640" s="9"/>
      <c r="XDL640" s="9"/>
      <c r="XDM640" s="9"/>
      <c r="XDN640" s="9"/>
      <c r="XDO640" s="9"/>
      <c r="XDP640" s="9"/>
      <c r="XDQ640" s="9"/>
      <c r="XDR640" s="9"/>
      <c r="XDS640" s="9"/>
      <c r="XDT640" s="9"/>
      <c r="XDU640" s="9"/>
      <c r="XDV640" s="9"/>
      <c r="XDW640" s="9"/>
      <c r="XDX640" s="9"/>
      <c r="XDY640" s="9"/>
      <c r="XDZ640" s="9"/>
      <c r="XEA640" s="9"/>
      <c r="XEB640" s="9"/>
      <c r="XEC640" s="9"/>
      <c r="XED640" s="9"/>
      <c r="XEE640" s="9"/>
      <c r="XEF640" s="9"/>
      <c r="XEG640" s="9"/>
      <c r="XEH640" s="9"/>
      <c r="XEI640" s="9"/>
      <c r="XEJ640" s="9"/>
      <c r="XEK640" s="9"/>
      <c r="XEL640" s="9"/>
      <c r="XEM640" s="9"/>
      <c r="XEN640" s="9"/>
      <c r="XEO640" s="9"/>
      <c r="XEP640" s="9"/>
      <c r="XEQ640" s="9"/>
      <c r="XER640" s="9"/>
      <c r="XES640" s="9"/>
      <c r="XET640" s="9"/>
      <c r="XEU640" s="9"/>
      <c r="XEV640" s="9"/>
      <c r="XEW640" s="9"/>
      <c r="XEX640" s="9"/>
      <c r="XEY640" s="9"/>
      <c r="XEZ640" s="9"/>
      <c r="XFA640" s="9"/>
      <c r="XFB640" s="9"/>
      <c r="XFC640" s="9"/>
      <c r="XFD640" s="9"/>
    </row>
    <row r="641" spans="1:8 16325:16384" s="3" customFormat="1" ht="19.95" customHeight="1">
      <c r="A641" s="6" t="str">
        <f t="shared" si="26"/>
        <v>040027</v>
      </c>
      <c r="B641" s="6" t="s">
        <v>18</v>
      </c>
      <c r="C641" s="6" t="s">
        <v>29</v>
      </c>
      <c r="D641" s="6" t="str">
        <f>"512421304"</f>
        <v>512421304</v>
      </c>
      <c r="E641" s="7">
        <v>92</v>
      </c>
      <c r="F641" s="7">
        <v>73</v>
      </c>
      <c r="G641" s="7"/>
      <c r="H641" s="7">
        <v>84.4</v>
      </c>
      <c r="XCW641" s="9"/>
      <c r="XCX641" s="9"/>
      <c r="XCY641" s="9"/>
      <c r="XCZ641" s="9"/>
      <c r="XDA641" s="9"/>
      <c r="XDB641" s="9"/>
      <c r="XDC641" s="9"/>
      <c r="XDD641" s="9"/>
      <c r="XDE641" s="9"/>
      <c r="XDF641" s="9"/>
      <c r="XDG641" s="9"/>
      <c r="XDH641" s="9"/>
      <c r="XDI641" s="9"/>
      <c r="XDJ641" s="9"/>
      <c r="XDK641" s="9"/>
      <c r="XDL641" s="9"/>
      <c r="XDM641" s="9"/>
      <c r="XDN641" s="9"/>
      <c r="XDO641" s="9"/>
      <c r="XDP641" s="9"/>
      <c r="XDQ641" s="9"/>
      <c r="XDR641" s="9"/>
      <c r="XDS641" s="9"/>
      <c r="XDT641" s="9"/>
      <c r="XDU641" s="9"/>
      <c r="XDV641" s="9"/>
      <c r="XDW641" s="9"/>
      <c r="XDX641" s="9"/>
      <c r="XDY641" s="9"/>
      <c r="XDZ641" s="9"/>
      <c r="XEA641" s="9"/>
      <c r="XEB641" s="9"/>
      <c r="XEC641" s="9"/>
      <c r="XED641" s="9"/>
      <c r="XEE641" s="9"/>
      <c r="XEF641" s="9"/>
      <c r="XEG641" s="9"/>
      <c r="XEH641" s="9"/>
      <c r="XEI641" s="9"/>
      <c r="XEJ641" s="9"/>
      <c r="XEK641" s="9"/>
      <c r="XEL641" s="9"/>
      <c r="XEM641" s="9"/>
      <c r="XEN641" s="9"/>
      <c r="XEO641" s="9"/>
      <c r="XEP641" s="9"/>
      <c r="XEQ641" s="9"/>
      <c r="XER641" s="9"/>
      <c r="XES641" s="9"/>
      <c r="XET641" s="9"/>
      <c r="XEU641" s="9"/>
      <c r="XEV641" s="9"/>
      <c r="XEW641" s="9"/>
      <c r="XEX641" s="9"/>
      <c r="XEY641" s="9"/>
      <c r="XEZ641" s="9"/>
      <c r="XFA641" s="9"/>
      <c r="XFB641" s="9"/>
      <c r="XFC641" s="9"/>
      <c r="XFD641" s="9"/>
    </row>
    <row r="642" spans="1:8 16325:16384" s="3" customFormat="1" ht="19.95" customHeight="1">
      <c r="A642" s="6" t="str">
        <f t="shared" si="26"/>
        <v>040027</v>
      </c>
      <c r="B642" s="6" t="s">
        <v>18</v>
      </c>
      <c r="C642" s="6" t="s">
        <v>29</v>
      </c>
      <c r="D642" s="6" t="str">
        <f>"512421308"</f>
        <v>512421308</v>
      </c>
      <c r="E642" s="7">
        <v>82.5</v>
      </c>
      <c r="F642" s="7">
        <v>70.5</v>
      </c>
      <c r="G642" s="7"/>
      <c r="H642" s="7">
        <v>77.7</v>
      </c>
      <c r="XCW642" s="9"/>
      <c r="XCX642" s="9"/>
      <c r="XCY642" s="9"/>
      <c r="XCZ642" s="9"/>
      <c r="XDA642" s="9"/>
      <c r="XDB642" s="9"/>
      <c r="XDC642" s="9"/>
      <c r="XDD642" s="9"/>
      <c r="XDE642" s="9"/>
      <c r="XDF642" s="9"/>
      <c r="XDG642" s="9"/>
      <c r="XDH642" s="9"/>
      <c r="XDI642" s="9"/>
      <c r="XDJ642" s="9"/>
      <c r="XDK642" s="9"/>
      <c r="XDL642" s="9"/>
      <c r="XDM642" s="9"/>
      <c r="XDN642" s="9"/>
      <c r="XDO642" s="9"/>
      <c r="XDP642" s="9"/>
      <c r="XDQ642" s="9"/>
      <c r="XDR642" s="9"/>
      <c r="XDS642" s="9"/>
      <c r="XDT642" s="9"/>
      <c r="XDU642" s="9"/>
      <c r="XDV642" s="9"/>
      <c r="XDW642" s="9"/>
      <c r="XDX642" s="9"/>
      <c r="XDY642" s="9"/>
      <c r="XDZ642" s="9"/>
      <c r="XEA642" s="9"/>
      <c r="XEB642" s="9"/>
      <c r="XEC642" s="9"/>
      <c r="XED642" s="9"/>
      <c r="XEE642" s="9"/>
      <c r="XEF642" s="9"/>
      <c r="XEG642" s="9"/>
      <c r="XEH642" s="9"/>
      <c r="XEI642" s="9"/>
      <c r="XEJ642" s="9"/>
      <c r="XEK642" s="9"/>
      <c r="XEL642" s="9"/>
      <c r="XEM642" s="9"/>
      <c r="XEN642" s="9"/>
      <c r="XEO642" s="9"/>
      <c r="XEP642" s="9"/>
      <c r="XEQ642" s="9"/>
      <c r="XER642" s="9"/>
      <c r="XES642" s="9"/>
      <c r="XET642" s="9"/>
      <c r="XEU642" s="9"/>
      <c r="XEV642" s="9"/>
      <c r="XEW642" s="9"/>
      <c r="XEX642" s="9"/>
      <c r="XEY642" s="9"/>
      <c r="XEZ642" s="9"/>
      <c r="XFA642" s="9"/>
      <c r="XFB642" s="9"/>
      <c r="XFC642" s="9"/>
      <c r="XFD642" s="9"/>
    </row>
    <row r="643" spans="1:8 16325:16384" s="3" customFormat="1" ht="19.95" customHeight="1">
      <c r="A643" s="6" t="str">
        <f t="shared" ref="A643:A647" si="27">"040028"</f>
        <v>040028</v>
      </c>
      <c r="B643" s="6" t="s">
        <v>23</v>
      </c>
      <c r="C643" s="6" t="s">
        <v>31</v>
      </c>
      <c r="D643" s="6" t="str">
        <f>"512420203"</f>
        <v>512420203</v>
      </c>
      <c r="E643" s="7">
        <v>54</v>
      </c>
      <c r="F643" s="7">
        <v>60</v>
      </c>
      <c r="G643" s="7"/>
      <c r="H643" s="7">
        <v>56.4</v>
      </c>
      <c r="XCW643" s="9"/>
      <c r="XCX643" s="9"/>
      <c r="XCY643" s="9"/>
      <c r="XCZ643" s="9"/>
      <c r="XDA643" s="9"/>
      <c r="XDB643" s="9"/>
      <c r="XDC643" s="9"/>
      <c r="XDD643" s="9"/>
      <c r="XDE643" s="9"/>
      <c r="XDF643" s="9"/>
      <c r="XDG643" s="9"/>
      <c r="XDH643" s="9"/>
      <c r="XDI643" s="9"/>
      <c r="XDJ643" s="9"/>
      <c r="XDK643" s="9"/>
      <c r="XDL643" s="9"/>
      <c r="XDM643" s="9"/>
      <c r="XDN643" s="9"/>
      <c r="XDO643" s="9"/>
      <c r="XDP643" s="9"/>
      <c r="XDQ643" s="9"/>
      <c r="XDR643" s="9"/>
      <c r="XDS643" s="9"/>
      <c r="XDT643" s="9"/>
      <c r="XDU643" s="9"/>
      <c r="XDV643" s="9"/>
      <c r="XDW643" s="9"/>
      <c r="XDX643" s="9"/>
      <c r="XDY643" s="9"/>
      <c r="XDZ643" s="9"/>
      <c r="XEA643" s="9"/>
      <c r="XEB643" s="9"/>
      <c r="XEC643" s="9"/>
      <c r="XED643" s="9"/>
      <c r="XEE643" s="9"/>
      <c r="XEF643" s="9"/>
      <c r="XEG643" s="9"/>
      <c r="XEH643" s="9"/>
      <c r="XEI643" s="9"/>
      <c r="XEJ643" s="9"/>
      <c r="XEK643" s="9"/>
      <c r="XEL643" s="9"/>
      <c r="XEM643" s="9"/>
      <c r="XEN643" s="9"/>
      <c r="XEO643" s="9"/>
      <c r="XEP643" s="9"/>
      <c r="XEQ643" s="9"/>
      <c r="XER643" s="9"/>
      <c r="XES643" s="9"/>
      <c r="XET643" s="9"/>
      <c r="XEU643" s="9"/>
      <c r="XEV643" s="9"/>
      <c r="XEW643" s="9"/>
      <c r="XEX643" s="9"/>
      <c r="XEY643" s="9"/>
      <c r="XEZ643" s="9"/>
      <c r="XFA643" s="9"/>
      <c r="XFB643" s="9"/>
      <c r="XFC643" s="9"/>
      <c r="XFD643" s="9"/>
    </row>
    <row r="644" spans="1:8 16325:16384" s="3" customFormat="1" ht="19.95" customHeight="1">
      <c r="A644" s="6" t="str">
        <f t="shared" si="27"/>
        <v>040028</v>
      </c>
      <c r="B644" s="6" t="s">
        <v>23</v>
      </c>
      <c r="C644" s="6" t="s">
        <v>31</v>
      </c>
      <c r="D644" s="6" t="str">
        <f>"512420204"</f>
        <v>512420204</v>
      </c>
      <c r="E644" s="7">
        <v>73</v>
      </c>
      <c r="F644" s="7">
        <v>64</v>
      </c>
      <c r="G644" s="7"/>
      <c r="H644" s="7">
        <v>69.400000000000006</v>
      </c>
      <c r="XCW644" s="9"/>
      <c r="XCX644" s="9"/>
      <c r="XCY644" s="9"/>
      <c r="XCZ644" s="9"/>
      <c r="XDA644" s="9"/>
      <c r="XDB644" s="9"/>
      <c r="XDC644" s="9"/>
      <c r="XDD644" s="9"/>
      <c r="XDE644" s="9"/>
      <c r="XDF644" s="9"/>
      <c r="XDG644" s="9"/>
      <c r="XDH644" s="9"/>
      <c r="XDI644" s="9"/>
      <c r="XDJ644" s="9"/>
      <c r="XDK644" s="9"/>
      <c r="XDL644" s="9"/>
      <c r="XDM644" s="9"/>
      <c r="XDN644" s="9"/>
      <c r="XDO644" s="9"/>
      <c r="XDP644" s="9"/>
      <c r="XDQ644" s="9"/>
      <c r="XDR644" s="9"/>
      <c r="XDS644" s="9"/>
      <c r="XDT644" s="9"/>
      <c r="XDU644" s="9"/>
      <c r="XDV644" s="9"/>
      <c r="XDW644" s="9"/>
      <c r="XDX644" s="9"/>
      <c r="XDY644" s="9"/>
      <c r="XDZ644" s="9"/>
      <c r="XEA644" s="9"/>
      <c r="XEB644" s="9"/>
      <c r="XEC644" s="9"/>
      <c r="XED644" s="9"/>
      <c r="XEE644" s="9"/>
      <c r="XEF644" s="9"/>
      <c r="XEG644" s="9"/>
      <c r="XEH644" s="9"/>
      <c r="XEI644" s="9"/>
      <c r="XEJ644" s="9"/>
      <c r="XEK644" s="9"/>
      <c r="XEL644" s="9"/>
      <c r="XEM644" s="9"/>
      <c r="XEN644" s="9"/>
      <c r="XEO644" s="9"/>
      <c r="XEP644" s="9"/>
      <c r="XEQ644" s="9"/>
      <c r="XER644" s="9"/>
      <c r="XES644" s="9"/>
      <c r="XET644" s="9"/>
      <c r="XEU644" s="9"/>
      <c r="XEV644" s="9"/>
      <c r="XEW644" s="9"/>
      <c r="XEX644" s="9"/>
      <c r="XEY644" s="9"/>
      <c r="XEZ644" s="9"/>
      <c r="XFA644" s="9"/>
      <c r="XFB644" s="9"/>
      <c r="XFC644" s="9"/>
      <c r="XFD644" s="9"/>
    </row>
    <row r="645" spans="1:8 16325:16384" s="3" customFormat="1" ht="19.95" customHeight="1">
      <c r="A645" s="6" t="str">
        <f t="shared" si="27"/>
        <v>040028</v>
      </c>
      <c r="B645" s="6" t="s">
        <v>23</v>
      </c>
      <c r="C645" s="6" t="s">
        <v>31</v>
      </c>
      <c r="D645" s="6" t="str">
        <f>"512420202"</f>
        <v>512420202</v>
      </c>
      <c r="E645" s="7">
        <v>70.5</v>
      </c>
      <c r="F645" s="7">
        <v>67.5</v>
      </c>
      <c r="G645" s="7"/>
      <c r="H645" s="7">
        <v>69.3</v>
      </c>
      <c r="XCW645" s="9"/>
      <c r="XCX645" s="9"/>
      <c r="XCY645" s="9"/>
      <c r="XCZ645" s="9"/>
      <c r="XDA645" s="9"/>
      <c r="XDB645" s="9"/>
      <c r="XDC645" s="9"/>
      <c r="XDD645" s="9"/>
      <c r="XDE645" s="9"/>
      <c r="XDF645" s="9"/>
      <c r="XDG645" s="9"/>
      <c r="XDH645" s="9"/>
      <c r="XDI645" s="9"/>
      <c r="XDJ645" s="9"/>
      <c r="XDK645" s="9"/>
      <c r="XDL645" s="9"/>
      <c r="XDM645" s="9"/>
      <c r="XDN645" s="9"/>
      <c r="XDO645" s="9"/>
      <c r="XDP645" s="9"/>
      <c r="XDQ645" s="9"/>
      <c r="XDR645" s="9"/>
      <c r="XDS645" s="9"/>
      <c r="XDT645" s="9"/>
      <c r="XDU645" s="9"/>
      <c r="XDV645" s="9"/>
      <c r="XDW645" s="9"/>
      <c r="XDX645" s="9"/>
      <c r="XDY645" s="9"/>
      <c r="XDZ645" s="9"/>
      <c r="XEA645" s="9"/>
      <c r="XEB645" s="9"/>
      <c r="XEC645" s="9"/>
      <c r="XED645" s="9"/>
      <c r="XEE645" s="9"/>
      <c r="XEF645" s="9"/>
      <c r="XEG645" s="9"/>
      <c r="XEH645" s="9"/>
      <c r="XEI645" s="9"/>
      <c r="XEJ645" s="9"/>
      <c r="XEK645" s="9"/>
      <c r="XEL645" s="9"/>
      <c r="XEM645" s="9"/>
      <c r="XEN645" s="9"/>
      <c r="XEO645" s="9"/>
      <c r="XEP645" s="9"/>
      <c r="XEQ645" s="9"/>
      <c r="XER645" s="9"/>
      <c r="XES645" s="9"/>
      <c r="XET645" s="9"/>
      <c r="XEU645" s="9"/>
      <c r="XEV645" s="9"/>
      <c r="XEW645" s="9"/>
      <c r="XEX645" s="9"/>
      <c r="XEY645" s="9"/>
      <c r="XEZ645" s="9"/>
      <c r="XFA645" s="9"/>
      <c r="XFB645" s="9"/>
      <c r="XFC645" s="9"/>
      <c r="XFD645" s="9"/>
    </row>
    <row r="646" spans="1:8 16325:16384" s="3" customFormat="1" ht="19.95" customHeight="1">
      <c r="A646" s="6" t="str">
        <f t="shared" si="27"/>
        <v>040028</v>
      </c>
      <c r="B646" s="6" t="s">
        <v>23</v>
      </c>
      <c r="C646" s="6" t="s">
        <v>31</v>
      </c>
      <c r="D646" s="6" t="str">
        <f>"512420201"</f>
        <v>512420201</v>
      </c>
      <c r="E646" s="7">
        <v>55</v>
      </c>
      <c r="F646" s="7">
        <v>71</v>
      </c>
      <c r="G646" s="7"/>
      <c r="H646" s="7">
        <v>61.4</v>
      </c>
      <c r="XCW646" s="9"/>
      <c r="XCX646" s="9"/>
      <c r="XCY646" s="9"/>
      <c r="XCZ646" s="9"/>
      <c r="XDA646" s="9"/>
      <c r="XDB646" s="9"/>
      <c r="XDC646" s="9"/>
      <c r="XDD646" s="9"/>
      <c r="XDE646" s="9"/>
      <c r="XDF646" s="9"/>
      <c r="XDG646" s="9"/>
      <c r="XDH646" s="9"/>
      <c r="XDI646" s="9"/>
      <c r="XDJ646" s="9"/>
      <c r="XDK646" s="9"/>
      <c r="XDL646" s="9"/>
      <c r="XDM646" s="9"/>
      <c r="XDN646" s="9"/>
      <c r="XDO646" s="9"/>
      <c r="XDP646" s="9"/>
      <c r="XDQ646" s="9"/>
      <c r="XDR646" s="9"/>
      <c r="XDS646" s="9"/>
      <c r="XDT646" s="9"/>
      <c r="XDU646" s="9"/>
      <c r="XDV646" s="9"/>
      <c r="XDW646" s="9"/>
      <c r="XDX646" s="9"/>
      <c r="XDY646" s="9"/>
      <c r="XDZ646" s="9"/>
      <c r="XEA646" s="9"/>
      <c r="XEB646" s="9"/>
      <c r="XEC646" s="9"/>
      <c r="XED646" s="9"/>
      <c r="XEE646" s="9"/>
      <c r="XEF646" s="9"/>
      <c r="XEG646" s="9"/>
      <c r="XEH646" s="9"/>
      <c r="XEI646" s="9"/>
      <c r="XEJ646" s="9"/>
      <c r="XEK646" s="9"/>
      <c r="XEL646" s="9"/>
      <c r="XEM646" s="9"/>
      <c r="XEN646" s="9"/>
      <c r="XEO646" s="9"/>
      <c r="XEP646" s="9"/>
      <c r="XEQ646" s="9"/>
      <c r="XER646" s="9"/>
      <c r="XES646" s="9"/>
      <c r="XET646" s="9"/>
      <c r="XEU646" s="9"/>
      <c r="XEV646" s="9"/>
      <c r="XEW646" s="9"/>
      <c r="XEX646" s="9"/>
      <c r="XEY646" s="9"/>
      <c r="XEZ646" s="9"/>
      <c r="XFA646" s="9"/>
      <c r="XFB646" s="9"/>
      <c r="XFC646" s="9"/>
      <c r="XFD646" s="9"/>
    </row>
    <row r="647" spans="1:8 16325:16384" s="3" customFormat="1" ht="19.95" customHeight="1">
      <c r="A647" s="6" t="str">
        <f t="shared" si="27"/>
        <v>040028</v>
      </c>
      <c r="B647" s="6" t="s">
        <v>23</v>
      </c>
      <c r="C647" s="6" t="s">
        <v>31</v>
      </c>
      <c r="D647" s="6" t="str">
        <f>"512420205"</f>
        <v>512420205</v>
      </c>
      <c r="E647" s="7">
        <v>0</v>
      </c>
      <c r="F647" s="7">
        <v>0</v>
      </c>
      <c r="G647" s="7"/>
      <c r="H647" s="7">
        <v>0</v>
      </c>
      <c r="XCW647" s="9"/>
      <c r="XCX647" s="9"/>
      <c r="XCY647" s="9"/>
      <c r="XCZ647" s="9"/>
      <c r="XDA647" s="9"/>
      <c r="XDB647" s="9"/>
      <c r="XDC647" s="9"/>
      <c r="XDD647" s="9"/>
      <c r="XDE647" s="9"/>
      <c r="XDF647" s="9"/>
      <c r="XDG647" s="9"/>
      <c r="XDH647" s="9"/>
      <c r="XDI647" s="9"/>
      <c r="XDJ647" s="9"/>
      <c r="XDK647" s="9"/>
      <c r="XDL647" s="9"/>
      <c r="XDM647" s="9"/>
      <c r="XDN647" s="9"/>
      <c r="XDO647" s="9"/>
      <c r="XDP647" s="9"/>
      <c r="XDQ647" s="9"/>
      <c r="XDR647" s="9"/>
      <c r="XDS647" s="9"/>
      <c r="XDT647" s="9"/>
      <c r="XDU647" s="9"/>
      <c r="XDV647" s="9"/>
      <c r="XDW647" s="9"/>
      <c r="XDX647" s="9"/>
      <c r="XDY647" s="9"/>
      <c r="XDZ647" s="9"/>
      <c r="XEA647" s="9"/>
      <c r="XEB647" s="9"/>
      <c r="XEC647" s="9"/>
      <c r="XED647" s="9"/>
      <c r="XEE647" s="9"/>
      <c r="XEF647" s="9"/>
      <c r="XEG647" s="9"/>
      <c r="XEH647" s="9"/>
      <c r="XEI647" s="9"/>
      <c r="XEJ647" s="9"/>
      <c r="XEK647" s="9"/>
      <c r="XEL647" s="9"/>
      <c r="XEM647" s="9"/>
      <c r="XEN647" s="9"/>
      <c r="XEO647" s="9"/>
      <c r="XEP647" s="9"/>
      <c r="XEQ647" s="9"/>
      <c r="XER647" s="9"/>
      <c r="XES647" s="9"/>
      <c r="XET647" s="9"/>
      <c r="XEU647" s="9"/>
      <c r="XEV647" s="9"/>
      <c r="XEW647" s="9"/>
      <c r="XEX647" s="9"/>
      <c r="XEY647" s="9"/>
      <c r="XEZ647" s="9"/>
      <c r="XFA647" s="9"/>
      <c r="XFB647" s="9"/>
      <c r="XFC647" s="9"/>
      <c r="XFD647" s="9"/>
    </row>
    <row r="648" spans="1:8 16325:16384" s="3" customFormat="1" ht="19.95" customHeight="1">
      <c r="A648" s="6" t="str">
        <f t="shared" ref="A648:A659" si="28">"040029"</f>
        <v>040029</v>
      </c>
      <c r="B648" s="6" t="s">
        <v>32</v>
      </c>
      <c r="C648" s="6" t="s">
        <v>31</v>
      </c>
      <c r="D648" s="6" t="str">
        <f>"512630627"</f>
        <v>512630627</v>
      </c>
      <c r="E648" s="7">
        <v>0</v>
      </c>
      <c r="F648" s="7">
        <v>0</v>
      </c>
      <c r="G648" s="7"/>
      <c r="H648" s="7">
        <v>0</v>
      </c>
      <c r="XCW648" s="9"/>
      <c r="XCX648" s="9"/>
      <c r="XCY648" s="9"/>
      <c r="XCZ648" s="9"/>
      <c r="XDA648" s="9"/>
      <c r="XDB648" s="9"/>
      <c r="XDC648" s="9"/>
      <c r="XDD648" s="9"/>
      <c r="XDE648" s="9"/>
      <c r="XDF648" s="9"/>
      <c r="XDG648" s="9"/>
      <c r="XDH648" s="9"/>
      <c r="XDI648" s="9"/>
      <c r="XDJ648" s="9"/>
      <c r="XDK648" s="9"/>
      <c r="XDL648" s="9"/>
      <c r="XDM648" s="9"/>
      <c r="XDN648" s="9"/>
      <c r="XDO648" s="9"/>
      <c r="XDP648" s="9"/>
      <c r="XDQ648" s="9"/>
      <c r="XDR648" s="9"/>
      <c r="XDS648" s="9"/>
      <c r="XDT648" s="9"/>
      <c r="XDU648" s="9"/>
      <c r="XDV648" s="9"/>
      <c r="XDW648" s="9"/>
      <c r="XDX648" s="9"/>
      <c r="XDY648" s="9"/>
      <c r="XDZ648" s="9"/>
      <c r="XEA648" s="9"/>
      <c r="XEB648" s="9"/>
      <c r="XEC648" s="9"/>
      <c r="XED648" s="9"/>
      <c r="XEE648" s="9"/>
      <c r="XEF648" s="9"/>
      <c r="XEG648" s="9"/>
      <c r="XEH648" s="9"/>
      <c r="XEI648" s="9"/>
      <c r="XEJ648" s="9"/>
      <c r="XEK648" s="9"/>
      <c r="XEL648" s="9"/>
      <c r="XEM648" s="9"/>
      <c r="XEN648" s="9"/>
      <c r="XEO648" s="9"/>
      <c r="XEP648" s="9"/>
      <c r="XEQ648" s="9"/>
      <c r="XER648" s="9"/>
      <c r="XES648" s="9"/>
      <c r="XET648" s="9"/>
      <c r="XEU648" s="9"/>
      <c r="XEV648" s="9"/>
      <c r="XEW648" s="9"/>
      <c r="XEX648" s="9"/>
      <c r="XEY648" s="9"/>
      <c r="XEZ648" s="9"/>
      <c r="XFA648" s="9"/>
      <c r="XFB648" s="9"/>
      <c r="XFC648" s="9"/>
      <c r="XFD648" s="9"/>
    </row>
    <row r="649" spans="1:8 16325:16384" s="3" customFormat="1" ht="19.95" customHeight="1">
      <c r="A649" s="6" t="str">
        <f t="shared" si="28"/>
        <v>040029</v>
      </c>
      <c r="B649" s="6" t="s">
        <v>32</v>
      </c>
      <c r="C649" s="6" t="s">
        <v>31</v>
      </c>
      <c r="D649" s="6" t="str">
        <f>"512630625"</f>
        <v>512630625</v>
      </c>
      <c r="E649" s="7">
        <v>0</v>
      </c>
      <c r="F649" s="7">
        <v>0</v>
      </c>
      <c r="G649" s="7"/>
      <c r="H649" s="7">
        <v>0</v>
      </c>
      <c r="XCW649" s="9"/>
      <c r="XCX649" s="9"/>
      <c r="XCY649" s="9"/>
      <c r="XCZ649" s="9"/>
      <c r="XDA649" s="9"/>
      <c r="XDB649" s="9"/>
      <c r="XDC649" s="9"/>
      <c r="XDD649" s="9"/>
      <c r="XDE649" s="9"/>
      <c r="XDF649" s="9"/>
      <c r="XDG649" s="9"/>
      <c r="XDH649" s="9"/>
      <c r="XDI649" s="9"/>
      <c r="XDJ649" s="9"/>
      <c r="XDK649" s="9"/>
      <c r="XDL649" s="9"/>
      <c r="XDM649" s="9"/>
      <c r="XDN649" s="9"/>
      <c r="XDO649" s="9"/>
      <c r="XDP649" s="9"/>
      <c r="XDQ649" s="9"/>
      <c r="XDR649" s="9"/>
      <c r="XDS649" s="9"/>
      <c r="XDT649" s="9"/>
      <c r="XDU649" s="9"/>
      <c r="XDV649" s="9"/>
      <c r="XDW649" s="9"/>
      <c r="XDX649" s="9"/>
      <c r="XDY649" s="9"/>
      <c r="XDZ649" s="9"/>
      <c r="XEA649" s="9"/>
      <c r="XEB649" s="9"/>
      <c r="XEC649" s="9"/>
      <c r="XED649" s="9"/>
      <c r="XEE649" s="9"/>
      <c r="XEF649" s="9"/>
      <c r="XEG649" s="9"/>
      <c r="XEH649" s="9"/>
      <c r="XEI649" s="9"/>
      <c r="XEJ649" s="9"/>
      <c r="XEK649" s="9"/>
      <c r="XEL649" s="9"/>
      <c r="XEM649" s="9"/>
      <c r="XEN649" s="9"/>
      <c r="XEO649" s="9"/>
      <c r="XEP649" s="9"/>
      <c r="XEQ649" s="9"/>
      <c r="XER649" s="9"/>
      <c r="XES649" s="9"/>
      <c r="XET649" s="9"/>
      <c r="XEU649" s="9"/>
      <c r="XEV649" s="9"/>
      <c r="XEW649" s="9"/>
      <c r="XEX649" s="9"/>
      <c r="XEY649" s="9"/>
      <c r="XEZ649" s="9"/>
      <c r="XFA649" s="9"/>
      <c r="XFB649" s="9"/>
      <c r="XFC649" s="9"/>
      <c r="XFD649" s="9"/>
    </row>
    <row r="650" spans="1:8 16325:16384" s="3" customFormat="1" ht="19.95" customHeight="1">
      <c r="A650" s="6" t="str">
        <f t="shared" si="28"/>
        <v>040029</v>
      </c>
      <c r="B650" s="6" t="s">
        <v>32</v>
      </c>
      <c r="C650" s="6" t="s">
        <v>31</v>
      </c>
      <c r="D650" s="6" t="str">
        <f>"512630628"</f>
        <v>512630628</v>
      </c>
      <c r="E650" s="7">
        <v>45</v>
      </c>
      <c r="F650" s="7">
        <v>64</v>
      </c>
      <c r="G650" s="7"/>
      <c r="H650" s="7">
        <v>52.6</v>
      </c>
      <c r="XCW650" s="9"/>
      <c r="XCX650" s="9"/>
      <c r="XCY650" s="9"/>
      <c r="XCZ650" s="9"/>
      <c r="XDA650" s="9"/>
      <c r="XDB650" s="9"/>
      <c r="XDC650" s="9"/>
      <c r="XDD650" s="9"/>
      <c r="XDE650" s="9"/>
      <c r="XDF650" s="9"/>
      <c r="XDG650" s="9"/>
      <c r="XDH650" s="9"/>
      <c r="XDI650" s="9"/>
      <c r="XDJ650" s="9"/>
      <c r="XDK650" s="9"/>
      <c r="XDL650" s="9"/>
      <c r="XDM650" s="9"/>
      <c r="XDN650" s="9"/>
      <c r="XDO650" s="9"/>
      <c r="XDP650" s="9"/>
      <c r="XDQ650" s="9"/>
      <c r="XDR650" s="9"/>
      <c r="XDS650" s="9"/>
      <c r="XDT650" s="9"/>
      <c r="XDU650" s="9"/>
      <c r="XDV650" s="9"/>
      <c r="XDW650" s="9"/>
      <c r="XDX650" s="9"/>
      <c r="XDY650" s="9"/>
      <c r="XDZ650" s="9"/>
      <c r="XEA650" s="9"/>
      <c r="XEB650" s="9"/>
      <c r="XEC650" s="9"/>
      <c r="XED650" s="9"/>
      <c r="XEE650" s="9"/>
      <c r="XEF650" s="9"/>
      <c r="XEG650" s="9"/>
      <c r="XEH650" s="9"/>
      <c r="XEI650" s="9"/>
      <c r="XEJ650" s="9"/>
      <c r="XEK650" s="9"/>
      <c r="XEL650" s="9"/>
      <c r="XEM650" s="9"/>
      <c r="XEN650" s="9"/>
      <c r="XEO650" s="9"/>
      <c r="XEP650" s="9"/>
      <c r="XEQ650" s="9"/>
      <c r="XER650" s="9"/>
      <c r="XES650" s="9"/>
      <c r="XET650" s="9"/>
      <c r="XEU650" s="9"/>
      <c r="XEV650" s="9"/>
      <c r="XEW650" s="9"/>
      <c r="XEX650" s="9"/>
      <c r="XEY650" s="9"/>
      <c r="XEZ650" s="9"/>
      <c r="XFA650" s="9"/>
      <c r="XFB650" s="9"/>
      <c r="XFC650" s="9"/>
      <c r="XFD650" s="9"/>
    </row>
    <row r="651" spans="1:8 16325:16384" s="3" customFormat="1" ht="19.95" customHeight="1">
      <c r="A651" s="6" t="str">
        <f t="shared" si="28"/>
        <v>040029</v>
      </c>
      <c r="B651" s="6" t="s">
        <v>32</v>
      </c>
      <c r="C651" s="6" t="s">
        <v>31</v>
      </c>
      <c r="D651" s="6" t="str">
        <f>"512630623"</f>
        <v>512630623</v>
      </c>
      <c r="E651" s="7">
        <v>49.5</v>
      </c>
      <c r="F651" s="7">
        <v>74</v>
      </c>
      <c r="G651" s="7"/>
      <c r="H651" s="7">
        <v>59.3</v>
      </c>
      <c r="XCW651" s="9"/>
      <c r="XCX651" s="9"/>
      <c r="XCY651" s="9"/>
      <c r="XCZ651" s="9"/>
      <c r="XDA651" s="9"/>
      <c r="XDB651" s="9"/>
      <c r="XDC651" s="9"/>
      <c r="XDD651" s="9"/>
      <c r="XDE651" s="9"/>
      <c r="XDF651" s="9"/>
      <c r="XDG651" s="9"/>
      <c r="XDH651" s="9"/>
      <c r="XDI651" s="9"/>
      <c r="XDJ651" s="9"/>
      <c r="XDK651" s="9"/>
      <c r="XDL651" s="9"/>
      <c r="XDM651" s="9"/>
      <c r="XDN651" s="9"/>
      <c r="XDO651" s="9"/>
      <c r="XDP651" s="9"/>
      <c r="XDQ651" s="9"/>
      <c r="XDR651" s="9"/>
      <c r="XDS651" s="9"/>
      <c r="XDT651" s="9"/>
      <c r="XDU651" s="9"/>
      <c r="XDV651" s="9"/>
      <c r="XDW651" s="9"/>
      <c r="XDX651" s="9"/>
      <c r="XDY651" s="9"/>
      <c r="XDZ651" s="9"/>
      <c r="XEA651" s="9"/>
      <c r="XEB651" s="9"/>
      <c r="XEC651" s="9"/>
      <c r="XED651" s="9"/>
      <c r="XEE651" s="9"/>
      <c r="XEF651" s="9"/>
      <c r="XEG651" s="9"/>
      <c r="XEH651" s="9"/>
      <c r="XEI651" s="9"/>
      <c r="XEJ651" s="9"/>
      <c r="XEK651" s="9"/>
      <c r="XEL651" s="9"/>
      <c r="XEM651" s="9"/>
      <c r="XEN651" s="9"/>
      <c r="XEO651" s="9"/>
      <c r="XEP651" s="9"/>
      <c r="XEQ651" s="9"/>
      <c r="XER651" s="9"/>
      <c r="XES651" s="9"/>
      <c r="XET651" s="9"/>
      <c r="XEU651" s="9"/>
      <c r="XEV651" s="9"/>
      <c r="XEW651" s="9"/>
      <c r="XEX651" s="9"/>
      <c r="XEY651" s="9"/>
      <c r="XEZ651" s="9"/>
      <c r="XFA651" s="9"/>
      <c r="XFB651" s="9"/>
      <c r="XFC651" s="9"/>
      <c r="XFD651" s="9"/>
    </row>
    <row r="652" spans="1:8 16325:16384" s="3" customFormat="1" ht="19.95" customHeight="1">
      <c r="A652" s="6" t="str">
        <f t="shared" si="28"/>
        <v>040029</v>
      </c>
      <c r="B652" s="6" t="s">
        <v>32</v>
      </c>
      <c r="C652" s="6" t="s">
        <v>31</v>
      </c>
      <c r="D652" s="6" t="str">
        <f>"512630629"</f>
        <v>512630629</v>
      </c>
      <c r="E652" s="7">
        <v>69.5</v>
      </c>
      <c r="F652" s="7">
        <v>61.5</v>
      </c>
      <c r="G652" s="7"/>
      <c r="H652" s="7">
        <v>66.3</v>
      </c>
      <c r="XCW652" s="9"/>
      <c r="XCX652" s="9"/>
      <c r="XCY652" s="9"/>
      <c r="XCZ652" s="9"/>
      <c r="XDA652" s="9"/>
      <c r="XDB652" s="9"/>
      <c r="XDC652" s="9"/>
      <c r="XDD652" s="9"/>
      <c r="XDE652" s="9"/>
      <c r="XDF652" s="9"/>
      <c r="XDG652" s="9"/>
      <c r="XDH652" s="9"/>
      <c r="XDI652" s="9"/>
      <c r="XDJ652" s="9"/>
      <c r="XDK652" s="9"/>
      <c r="XDL652" s="9"/>
      <c r="XDM652" s="9"/>
      <c r="XDN652" s="9"/>
      <c r="XDO652" s="9"/>
      <c r="XDP652" s="9"/>
      <c r="XDQ652" s="9"/>
      <c r="XDR652" s="9"/>
      <c r="XDS652" s="9"/>
      <c r="XDT652" s="9"/>
      <c r="XDU652" s="9"/>
      <c r="XDV652" s="9"/>
      <c r="XDW652" s="9"/>
      <c r="XDX652" s="9"/>
      <c r="XDY652" s="9"/>
      <c r="XDZ652" s="9"/>
      <c r="XEA652" s="9"/>
      <c r="XEB652" s="9"/>
      <c r="XEC652" s="9"/>
      <c r="XED652" s="9"/>
      <c r="XEE652" s="9"/>
      <c r="XEF652" s="9"/>
      <c r="XEG652" s="9"/>
      <c r="XEH652" s="9"/>
      <c r="XEI652" s="9"/>
      <c r="XEJ652" s="9"/>
      <c r="XEK652" s="9"/>
      <c r="XEL652" s="9"/>
      <c r="XEM652" s="9"/>
      <c r="XEN652" s="9"/>
      <c r="XEO652" s="9"/>
      <c r="XEP652" s="9"/>
      <c r="XEQ652" s="9"/>
      <c r="XER652" s="9"/>
      <c r="XES652" s="9"/>
      <c r="XET652" s="9"/>
      <c r="XEU652" s="9"/>
      <c r="XEV652" s="9"/>
      <c r="XEW652" s="9"/>
      <c r="XEX652" s="9"/>
      <c r="XEY652" s="9"/>
      <c r="XEZ652" s="9"/>
      <c r="XFA652" s="9"/>
      <c r="XFB652" s="9"/>
      <c r="XFC652" s="9"/>
      <c r="XFD652" s="9"/>
    </row>
    <row r="653" spans="1:8 16325:16384" s="3" customFormat="1" ht="19.95" customHeight="1">
      <c r="A653" s="6" t="str">
        <f t="shared" si="28"/>
        <v>040029</v>
      </c>
      <c r="B653" s="6" t="s">
        <v>32</v>
      </c>
      <c r="C653" s="6" t="s">
        <v>31</v>
      </c>
      <c r="D653" s="6" t="str">
        <f>"512630619"</f>
        <v>512630619</v>
      </c>
      <c r="E653" s="7">
        <v>96</v>
      </c>
      <c r="F653" s="7">
        <v>70.5</v>
      </c>
      <c r="G653" s="7"/>
      <c r="H653" s="7">
        <v>85.8</v>
      </c>
      <c r="XCW653" s="9"/>
      <c r="XCX653" s="9"/>
      <c r="XCY653" s="9"/>
      <c r="XCZ653" s="9"/>
      <c r="XDA653" s="9"/>
      <c r="XDB653" s="9"/>
      <c r="XDC653" s="9"/>
      <c r="XDD653" s="9"/>
      <c r="XDE653" s="9"/>
      <c r="XDF653" s="9"/>
      <c r="XDG653" s="9"/>
      <c r="XDH653" s="9"/>
      <c r="XDI653" s="9"/>
      <c r="XDJ653" s="9"/>
      <c r="XDK653" s="9"/>
      <c r="XDL653" s="9"/>
      <c r="XDM653" s="9"/>
      <c r="XDN653" s="9"/>
      <c r="XDO653" s="9"/>
      <c r="XDP653" s="9"/>
      <c r="XDQ653" s="9"/>
      <c r="XDR653" s="9"/>
      <c r="XDS653" s="9"/>
      <c r="XDT653" s="9"/>
      <c r="XDU653" s="9"/>
      <c r="XDV653" s="9"/>
      <c r="XDW653" s="9"/>
      <c r="XDX653" s="9"/>
      <c r="XDY653" s="9"/>
      <c r="XDZ653" s="9"/>
      <c r="XEA653" s="9"/>
      <c r="XEB653" s="9"/>
      <c r="XEC653" s="9"/>
      <c r="XED653" s="9"/>
      <c r="XEE653" s="9"/>
      <c r="XEF653" s="9"/>
      <c r="XEG653" s="9"/>
      <c r="XEH653" s="9"/>
      <c r="XEI653" s="9"/>
      <c r="XEJ653" s="9"/>
      <c r="XEK653" s="9"/>
      <c r="XEL653" s="9"/>
      <c r="XEM653" s="9"/>
      <c r="XEN653" s="9"/>
      <c r="XEO653" s="9"/>
      <c r="XEP653" s="9"/>
      <c r="XEQ653" s="9"/>
      <c r="XER653" s="9"/>
      <c r="XES653" s="9"/>
      <c r="XET653" s="9"/>
      <c r="XEU653" s="9"/>
      <c r="XEV653" s="9"/>
      <c r="XEW653" s="9"/>
      <c r="XEX653" s="9"/>
      <c r="XEY653" s="9"/>
      <c r="XEZ653" s="9"/>
      <c r="XFA653" s="9"/>
      <c r="XFB653" s="9"/>
      <c r="XFC653" s="9"/>
      <c r="XFD653" s="9"/>
    </row>
    <row r="654" spans="1:8 16325:16384" s="3" customFormat="1" ht="19.95" customHeight="1">
      <c r="A654" s="6" t="str">
        <f t="shared" si="28"/>
        <v>040029</v>
      </c>
      <c r="B654" s="6" t="s">
        <v>32</v>
      </c>
      <c r="C654" s="6" t="s">
        <v>31</v>
      </c>
      <c r="D654" s="6" t="str">
        <f>"512630624"</f>
        <v>512630624</v>
      </c>
      <c r="E654" s="7">
        <v>54</v>
      </c>
      <c r="F654" s="7">
        <v>65.5</v>
      </c>
      <c r="G654" s="7"/>
      <c r="H654" s="7">
        <v>58.6</v>
      </c>
      <c r="XCW654" s="9"/>
      <c r="XCX654" s="9"/>
      <c r="XCY654" s="9"/>
      <c r="XCZ654" s="9"/>
      <c r="XDA654" s="9"/>
      <c r="XDB654" s="9"/>
      <c r="XDC654" s="9"/>
      <c r="XDD654" s="9"/>
      <c r="XDE654" s="9"/>
      <c r="XDF654" s="9"/>
      <c r="XDG654" s="9"/>
      <c r="XDH654" s="9"/>
      <c r="XDI654" s="9"/>
      <c r="XDJ654" s="9"/>
      <c r="XDK654" s="9"/>
      <c r="XDL654" s="9"/>
      <c r="XDM654" s="9"/>
      <c r="XDN654" s="9"/>
      <c r="XDO654" s="9"/>
      <c r="XDP654" s="9"/>
      <c r="XDQ654" s="9"/>
      <c r="XDR654" s="9"/>
      <c r="XDS654" s="9"/>
      <c r="XDT654" s="9"/>
      <c r="XDU654" s="9"/>
      <c r="XDV654" s="9"/>
      <c r="XDW654" s="9"/>
      <c r="XDX654" s="9"/>
      <c r="XDY654" s="9"/>
      <c r="XDZ654" s="9"/>
      <c r="XEA654" s="9"/>
      <c r="XEB654" s="9"/>
      <c r="XEC654" s="9"/>
      <c r="XED654" s="9"/>
      <c r="XEE654" s="9"/>
      <c r="XEF654" s="9"/>
      <c r="XEG654" s="9"/>
      <c r="XEH654" s="9"/>
      <c r="XEI654" s="9"/>
      <c r="XEJ654" s="9"/>
      <c r="XEK654" s="9"/>
      <c r="XEL654" s="9"/>
      <c r="XEM654" s="9"/>
      <c r="XEN654" s="9"/>
      <c r="XEO654" s="9"/>
      <c r="XEP654" s="9"/>
      <c r="XEQ654" s="9"/>
      <c r="XER654" s="9"/>
      <c r="XES654" s="9"/>
      <c r="XET654" s="9"/>
      <c r="XEU654" s="9"/>
      <c r="XEV654" s="9"/>
      <c r="XEW654" s="9"/>
      <c r="XEX654" s="9"/>
      <c r="XEY654" s="9"/>
      <c r="XEZ654" s="9"/>
      <c r="XFA654" s="9"/>
      <c r="XFB654" s="9"/>
      <c r="XFC654" s="9"/>
      <c r="XFD654" s="9"/>
    </row>
    <row r="655" spans="1:8 16325:16384" s="3" customFormat="1" ht="19.95" customHeight="1">
      <c r="A655" s="6" t="str">
        <f t="shared" si="28"/>
        <v>040029</v>
      </c>
      <c r="B655" s="6" t="s">
        <v>32</v>
      </c>
      <c r="C655" s="6" t="s">
        <v>31</v>
      </c>
      <c r="D655" s="6" t="str">
        <f>"512630626"</f>
        <v>512630626</v>
      </c>
      <c r="E655" s="7">
        <v>37.5</v>
      </c>
      <c r="F655" s="7">
        <v>57</v>
      </c>
      <c r="G655" s="7"/>
      <c r="H655" s="7">
        <v>45.3</v>
      </c>
      <c r="XCW655" s="9"/>
      <c r="XCX655" s="9"/>
      <c r="XCY655" s="9"/>
      <c r="XCZ655" s="9"/>
      <c r="XDA655" s="9"/>
      <c r="XDB655" s="9"/>
      <c r="XDC655" s="9"/>
      <c r="XDD655" s="9"/>
      <c r="XDE655" s="9"/>
      <c r="XDF655" s="9"/>
      <c r="XDG655" s="9"/>
      <c r="XDH655" s="9"/>
      <c r="XDI655" s="9"/>
      <c r="XDJ655" s="9"/>
      <c r="XDK655" s="9"/>
      <c r="XDL655" s="9"/>
      <c r="XDM655" s="9"/>
      <c r="XDN655" s="9"/>
      <c r="XDO655" s="9"/>
      <c r="XDP655" s="9"/>
      <c r="XDQ655" s="9"/>
      <c r="XDR655" s="9"/>
      <c r="XDS655" s="9"/>
      <c r="XDT655" s="9"/>
      <c r="XDU655" s="9"/>
      <c r="XDV655" s="9"/>
      <c r="XDW655" s="9"/>
      <c r="XDX655" s="9"/>
      <c r="XDY655" s="9"/>
      <c r="XDZ655" s="9"/>
      <c r="XEA655" s="9"/>
      <c r="XEB655" s="9"/>
      <c r="XEC655" s="9"/>
      <c r="XED655" s="9"/>
      <c r="XEE655" s="9"/>
      <c r="XEF655" s="9"/>
      <c r="XEG655" s="9"/>
      <c r="XEH655" s="9"/>
      <c r="XEI655" s="9"/>
      <c r="XEJ655" s="9"/>
      <c r="XEK655" s="9"/>
      <c r="XEL655" s="9"/>
      <c r="XEM655" s="9"/>
      <c r="XEN655" s="9"/>
      <c r="XEO655" s="9"/>
      <c r="XEP655" s="9"/>
      <c r="XEQ655" s="9"/>
      <c r="XER655" s="9"/>
      <c r="XES655" s="9"/>
      <c r="XET655" s="9"/>
      <c r="XEU655" s="9"/>
      <c r="XEV655" s="9"/>
      <c r="XEW655" s="9"/>
      <c r="XEX655" s="9"/>
      <c r="XEY655" s="9"/>
      <c r="XEZ655" s="9"/>
      <c r="XFA655" s="9"/>
      <c r="XFB655" s="9"/>
      <c r="XFC655" s="9"/>
      <c r="XFD655" s="9"/>
    </row>
    <row r="656" spans="1:8 16325:16384" s="3" customFormat="1" ht="19.95" customHeight="1">
      <c r="A656" s="6" t="str">
        <f t="shared" si="28"/>
        <v>040029</v>
      </c>
      <c r="B656" s="6" t="s">
        <v>32</v>
      </c>
      <c r="C656" s="6" t="s">
        <v>31</v>
      </c>
      <c r="D656" s="6" t="str">
        <f>"512630622"</f>
        <v>512630622</v>
      </c>
      <c r="E656" s="7">
        <v>50</v>
      </c>
      <c r="F656" s="7">
        <v>66</v>
      </c>
      <c r="G656" s="7"/>
      <c r="H656" s="7">
        <v>56.4</v>
      </c>
      <c r="XCW656" s="9"/>
      <c r="XCX656" s="9"/>
      <c r="XCY656" s="9"/>
      <c r="XCZ656" s="9"/>
      <c r="XDA656" s="9"/>
      <c r="XDB656" s="9"/>
      <c r="XDC656" s="9"/>
      <c r="XDD656" s="9"/>
      <c r="XDE656" s="9"/>
      <c r="XDF656" s="9"/>
      <c r="XDG656" s="9"/>
      <c r="XDH656" s="9"/>
      <c r="XDI656" s="9"/>
      <c r="XDJ656" s="9"/>
      <c r="XDK656" s="9"/>
      <c r="XDL656" s="9"/>
      <c r="XDM656" s="9"/>
      <c r="XDN656" s="9"/>
      <c r="XDO656" s="9"/>
      <c r="XDP656" s="9"/>
      <c r="XDQ656" s="9"/>
      <c r="XDR656" s="9"/>
      <c r="XDS656" s="9"/>
      <c r="XDT656" s="9"/>
      <c r="XDU656" s="9"/>
      <c r="XDV656" s="9"/>
      <c r="XDW656" s="9"/>
      <c r="XDX656" s="9"/>
      <c r="XDY656" s="9"/>
      <c r="XDZ656" s="9"/>
      <c r="XEA656" s="9"/>
      <c r="XEB656" s="9"/>
      <c r="XEC656" s="9"/>
      <c r="XED656" s="9"/>
      <c r="XEE656" s="9"/>
      <c r="XEF656" s="9"/>
      <c r="XEG656" s="9"/>
      <c r="XEH656" s="9"/>
      <c r="XEI656" s="9"/>
      <c r="XEJ656" s="9"/>
      <c r="XEK656" s="9"/>
      <c r="XEL656" s="9"/>
      <c r="XEM656" s="9"/>
      <c r="XEN656" s="9"/>
      <c r="XEO656" s="9"/>
      <c r="XEP656" s="9"/>
      <c r="XEQ656" s="9"/>
      <c r="XER656" s="9"/>
      <c r="XES656" s="9"/>
      <c r="XET656" s="9"/>
      <c r="XEU656" s="9"/>
      <c r="XEV656" s="9"/>
      <c r="XEW656" s="9"/>
      <c r="XEX656" s="9"/>
      <c r="XEY656" s="9"/>
      <c r="XEZ656" s="9"/>
      <c r="XFA656" s="9"/>
      <c r="XFB656" s="9"/>
      <c r="XFC656" s="9"/>
      <c r="XFD656" s="9"/>
    </row>
    <row r="657" spans="1:8 16325:16384" s="3" customFormat="1" ht="19.95" customHeight="1">
      <c r="A657" s="6" t="str">
        <f t="shared" si="28"/>
        <v>040029</v>
      </c>
      <c r="B657" s="6" t="s">
        <v>32</v>
      </c>
      <c r="C657" s="6" t="s">
        <v>31</v>
      </c>
      <c r="D657" s="6" t="str">
        <f>"512630621"</f>
        <v>512630621</v>
      </c>
      <c r="E657" s="7">
        <v>54</v>
      </c>
      <c r="F657" s="7">
        <v>68</v>
      </c>
      <c r="G657" s="7"/>
      <c r="H657" s="7">
        <v>59.6</v>
      </c>
      <c r="XCW657" s="9"/>
      <c r="XCX657" s="9"/>
      <c r="XCY657" s="9"/>
      <c r="XCZ657" s="9"/>
      <c r="XDA657" s="9"/>
      <c r="XDB657" s="9"/>
      <c r="XDC657" s="9"/>
      <c r="XDD657" s="9"/>
      <c r="XDE657" s="9"/>
      <c r="XDF657" s="9"/>
      <c r="XDG657" s="9"/>
      <c r="XDH657" s="9"/>
      <c r="XDI657" s="9"/>
      <c r="XDJ657" s="9"/>
      <c r="XDK657" s="9"/>
      <c r="XDL657" s="9"/>
      <c r="XDM657" s="9"/>
      <c r="XDN657" s="9"/>
      <c r="XDO657" s="9"/>
      <c r="XDP657" s="9"/>
      <c r="XDQ657" s="9"/>
      <c r="XDR657" s="9"/>
      <c r="XDS657" s="9"/>
      <c r="XDT657" s="9"/>
      <c r="XDU657" s="9"/>
      <c r="XDV657" s="9"/>
      <c r="XDW657" s="9"/>
      <c r="XDX657" s="9"/>
      <c r="XDY657" s="9"/>
      <c r="XDZ657" s="9"/>
      <c r="XEA657" s="9"/>
      <c r="XEB657" s="9"/>
      <c r="XEC657" s="9"/>
      <c r="XED657" s="9"/>
      <c r="XEE657" s="9"/>
      <c r="XEF657" s="9"/>
      <c r="XEG657" s="9"/>
      <c r="XEH657" s="9"/>
      <c r="XEI657" s="9"/>
      <c r="XEJ657" s="9"/>
      <c r="XEK657" s="9"/>
      <c r="XEL657" s="9"/>
      <c r="XEM657" s="9"/>
      <c r="XEN657" s="9"/>
      <c r="XEO657" s="9"/>
      <c r="XEP657" s="9"/>
      <c r="XEQ657" s="9"/>
      <c r="XER657" s="9"/>
      <c r="XES657" s="9"/>
      <c r="XET657" s="9"/>
      <c r="XEU657" s="9"/>
      <c r="XEV657" s="9"/>
      <c r="XEW657" s="9"/>
      <c r="XEX657" s="9"/>
      <c r="XEY657" s="9"/>
      <c r="XEZ657" s="9"/>
      <c r="XFA657" s="9"/>
      <c r="XFB657" s="9"/>
      <c r="XFC657" s="9"/>
      <c r="XFD657" s="9"/>
    </row>
    <row r="658" spans="1:8 16325:16384" s="3" customFormat="1" ht="19.95" customHeight="1">
      <c r="A658" s="6" t="str">
        <f t="shared" si="28"/>
        <v>040029</v>
      </c>
      <c r="B658" s="6" t="s">
        <v>32</v>
      </c>
      <c r="C658" s="6" t="s">
        <v>31</v>
      </c>
      <c r="D658" s="6" t="str">
        <f>"512630620"</f>
        <v>512630620</v>
      </c>
      <c r="E658" s="7">
        <v>81.5</v>
      </c>
      <c r="F658" s="7">
        <v>84.5</v>
      </c>
      <c r="G658" s="7"/>
      <c r="H658" s="7">
        <v>82.7</v>
      </c>
      <c r="XCW658" s="9"/>
      <c r="XCX658" s="9"/>
      <c r="XCY658" s="9"/>
      <c r="XCZ658" s="9"/>
      <c r="XDA658" s="9"/>
      <c r="XDB658" s="9"/>
      <c r="XDC658" s="9"/>
      <c r="XDD658" s="9"/>
      <c r="XDE658" s="9"/>
      <c r="XDF658" s="9"/>
      <c r="XDG658" s="9"/>
      <c r="XDH658" s="9"/>
      <c r="XDI658" s="9"/>
      <c r="XDJ658" s="9"/>
      <c r="XDK658" s="9"/>
      <c r="XDL658" s="9"/>
      <c r="XDM658" s="9"/>
      <c r="XDN658" s="9"/>
      <c r="XDO658" s="9"/>
      <c r="XDP658" s="9"/>
      <c r="XDQ658" s="9"/>
      <c r="XDR658" s="9"/>
      <c r="XDS658" s="9"/>
      <c r="XDT658" s="9"/>
      <c r="XDU658" s="9"/>
      <c r="XDV658" s="9"/>
      <c r="XDW658" s="9"/>
      <c r="XDX658" s="9"/>
      <c r="XDY658" s="9"/>
      <c r="XDZ658" s="9"/>
      <c r="XEA658" s="9"/>
      <c r="XEB658" s="9"/>
      <c r="XEC658" s="9"/>
      <c r="XED658" s="9"/>
      <c r="XEE658" s="9"/>
      <c r="XEF658" s="9"/>
      <c r="XEG658" s="9"/>
      <c r="XEH658" s="9"/>
      <c r="XEI658" s="9"/>
      <c r="XEJ658" s="9"/>
      <c r="XEK658" s="9"/>
      <c r="XEL658" s="9"/>
      <c r="XEM658" s="9"/>
      <c r="XEN658" s="9"/>
      <c r="XEO658" s="9"/>
      <c r="XEP658" s="9"/>
      <c r="XEQ658" s="9"/>
      <c r="XER658" s="9"/>
      <c r="XES658" s="9"/>
      <c r="XET658" s="9"/>
      <c r="XEU658" s="9"/>
      <c r="XEV658" s="9"/>
      <c r="XEW658" s="9"/>
      <c r="XEX658" s="9"/>
      <c r="XEY658" s="9"/>
      <c r="XEZ658" s="9"/>
      <c r="XFA658" s="9"/>
      <c r="XFB658" s="9"/>
      <c r="XFC658" s="9"/>
      <c r="XFD658" s="9"/>
    </row>
    <row r="659" spans="1:8 16325:16384" s="3" customFormat="1" ht="19.95" customHeight="1">
      <c r="A659" s="6" t="str">
        <f t="shared" si="28"/>
        <v>040029</v>
      </c>
      <c r="B659" s="6" t="s">
        <v>32</v>
      </c>
      <c r="C659" s="6" t="s">
        <v>31</v>
      </c>
      <c r="D659" s="6" t="str">
        <f>"512630618"</f>
        <v>512630618</v>
      </c>
      <c r="E659" s="7">
        <v>0</v>
      </c>
      <c r="F659" s="7">
        <v>0</v>
      </c>
      <c r="G659" s="7"/>
      <c r="H659" s="7">
        <v>0</v>
      </c>
      <c r="XCW659" s="9"/>
      <c r="XCX659" s="9"/>
      <c r="XCY659" s="9"/>
      <c r="XCZ659" s="9"/>
      <c r="XDA659" s="9"/>
      <c r="XDB659" s="9"/>
      <c r="XDC659" s="9"/>
      <c r="XDD659" s="9"/>
      <c r="XDE659" s="9"/>
      <c r="XDF659" s="9"/>
      <c r="XDG659" s="9"/>
      <c r="XDH659" s="9"/>
      <c r="XDI659" s="9"/>
      <c r="XDJ659" s="9"/>
      <c r="XDK659" s="9"/>
      <c r="XDL659" s="9"/>
      <c r="XDM659" s="9"/>
      <c r="XDN659" s="9"/>
      <c r="XDO659" s="9"/>
      <c r="XDP659" s="9"/>
      <c r="XDQ659" s="9"/>
      <c r="XDR659" s="9"/>
      <c r="XDS659" s="9"/>
      <c r="XDT659" s="9"/>
      <c r="XDU659" s="9"/>
      <c r="XDV659" s="9"/>
      <c r="XDW659" s="9"/>
      <c r="XDX659" s="9"/>
      <c r="XDY659" s="9"/>
      <c r="XDZ659" s="9"/>
      <c r="XEA659" s="9"/>
      <c r="XEB659" s="9"/>
      <c r="XEC659" s="9"/>
      <c r="XED659" s="9"/>
      <c r="XEE659" s="9"/>
      <c r="XEF659" s="9"/>
      <c r="XEG659" s="9"/>
      <c r="XEH659" s="9"/>
      <c r="XEI659" s="9"/>
      <c r="XEJ659" s="9"/>
      <c r="XEK659" s="9"/>
      <c r="XEL659" s="9"/>
      <c r="XEM659" s="9"/>
      <c r="XEN659" s="9"/>
      <c r="XEO659" s="9"/>
      <c r="XEP659" s="9"/>
      <c r="XEQ659" s="9"/>
      <c r="XER659" s="9"/>
      <c r="XES659" s="9"/>
      <c r="XET659" s="9"/>
      <c r="XEU659" s="9"/>
      <c r="XEV659" s="9"/>
      <c r="XEW659" s="9"/>
      <c r="XEX659" s="9"/>
      <c r="XEY659" s="9"/>
      <c r="XEZ659" s="9"/>
      <c r="XFA659" s="9"/>
      <c r="XFB659" s="9"/>
      <c r="XFC659" s="9"/>
      <c r="XFD659" s="9"/>
    </row>
    <row r="660" spans="1:8 16325:16384" s="3" customFormat="1" ht="19.95" customHeight="1">
      <c r="A660" s="6" t="str">
        <f t="shared" ref="A660:A669" si="29">"040030"</f>
        <v>040030</v>
      </c>
      <c r="B660" s="6" t="s">
        <v>19</v>
      </c>
      <c r="C660" s="6" t="s">
        <v>31</v>
      </c>
      <c r="D660" s="6" t="str">
        <f>"512732528"</f>
        <v>512732528</v>
      </c>
      <c r="E660" s="7">
        <v>53.5</v>
      </c>
      <c r="F660" s="7">
        <v>0</v>
      </c>
      <c r="G660" s="7"/>
      <c r="H660" s="7">
        <v>32.1</v>
      </c>
      <c r="XCW660" s="9"/>
      <c r="XCX660" s="9"/>
      <c r="XCY660" s="9"/>
      <c r="XCZ660" s="9"/>
      <c r="XDA660" s="9"/>
      <c r="XDB660" s="9"/>
      <c r="XDC660" s="9"/>
      <c r="XDD660" s="9"/>
      <c r="XDE660" s="9"/>
      <c r="XDF660" s="9"/>
      <c r="XDG660" s="9"/>
      <c r="XDH660" s="9"/>
      <c r="XDI660" s="9"/>
      <c r="XDJ660" s="9"/>
      <c r="XDK660" s="9"/>
      <c r="XDL660" s="9"/>
      <c r="XDM660" s="9"/>
      <c r="XDN660" s="9"/>
      <c r="XDO660" s="9"/>
      <c r="XDP660" s="9"/>
      <c r="XDQ660" s="9"/>
      <c r="XDR660" s="9"/>
      <c r="XDS660" s="9"/>
      <c r="XDT660" s="9"/>
      <c r="XDU660" s="9"/>
      <c r="XDV660" s="9"/>
      <c r="XDW660" s="9"/>
      <c r="XDX660" s="9"/>
      <c r="XDY660" s="9"/>
      <c r="XDZ660" s="9"/>
      <c r="XEA660" s="9"/>
      <c r="XEB660" s="9"/>
      <c r="XEC660" s="9"/>
      <c r="XED660" s="9"/>
      <c r="XEE660" s="9"/>
      <c r="XEF660" s="9"/>
      <c r="XEG660" s="9"/>
      <c r="XEH660" s="9"/>
      <c r="XEI660" s="9"/>
      <c r="XEJ660" s="9"/>
      <c r="XEK660" s="9"/>
      <c r="XEL660" s="9"/>
      <c r="XEM660" s="9"/>
      <c r="XEN660" s="9"/>
      <c r="XEO660" s="9"/>
      <c r="XEP660" s="9"/>
      <c r="XEQ660" s="9"/>
      <c r="XER660" s="9"/>
      <c r="XES660" s="9"/>
      <c r="XET660" s="9"/>
      <c r="XEU660" s="9"/>
      <c r="XEV660" s="9"/>
      <c r="XEW660" s="9"/>
      <c r="XEX660" s="9"/>
      <c r="XEY660" s="9"/>
      <c r="XEZ660" s="9"/>
      <c r="XFA660" s="9"/>
      <c r="XFB660" s="9"/>
      <c r="XFC660" s="9"/>
      <c r="XFD660" s="9"/>
    </row>
    <row r="661" spans="1:8 16325:16384" s="3" customFormat="1" ht="19.95" customHeight="1">
      <c r="A661" s="6" t="str">
        <f t="shared" si="29"/>
        <v>040030</v>
      </c>
      <c r="B661" s="6" t="s">
        <v>19</v>
      </c>
      <c r="C661" s="6" t="s">
        <v>31</v>
      </c>
      <c r="D661" s="6" t="str">
        <f>"512732523"</f>
        <v>512732523</v>
      </c>
      <c r="E661" s="7">
        <v>73.5</v>
      </c>
      <c r="F661" s="7">
        <v>67.5</v>
      </c>
      <c r="G661" s="7">
        <v>2</v>
      </c>
      <c r="H661" s="7">
        <v>73.099999999999994</v>
      </c>
      <c r="XCW661" s="9"/>
      <c r="XCX661" s="9"/>
      <c r="XCY661" s="9"/>
      <c r="XCZ661" s="9"/>
      <c r="XDA661" s="9"/>
      <c r="XDB661" s="9"/>
      <c r="XDC661" s="9"/>
      <c r="XDD661" s="9"/>
      <c r="XDE661" s="9"/>
      <c r="XDF661" s="9"/>
      <c r="XDG661" s="9"/>
      <c r="XDH661" s="9"/>
      <c r="XDI661" s="9"/>
      <c r="XDJ661" s="9"/>
      <c r="XDK661" s="9"/>
      <c r="XDL661" s="9"/>
      <c r="XDM661" s="9"/>
      <c r="XDN661" s="9"/>
      <c r="XDO661" s="9"/>
      <c r="XDP661" s="9"/>
      <c r="XDQ661" s="9"/>
      <c r="XDR661" s="9"/>
      <c r="XDS661" s="9"/>
      <c r="XDT661" s="9"/>
      <c r="XDU661" s="9"/>
      <c r="XDV661" s="9"/>
      <c r="XDW661" s="9"/>
      <c r="XDX661" s="9"/>
      <c r="XDY661" s="9"/>
      <c r="XDZ661" s="9"/>
      <c r="XEA661" s="9"/>
      <c r="XEB661" s="9"/>
      <c r="XEC661" s="9"/>
      <c r="XED661" s="9"/>
      <c r="XEE661" s="9"/>
      <c r="XEF661" s="9"/>
      <c r="XEG661" s="9"/>
      <c r="XEH661" s="9"/>
      <c r="XEI661" s="9"/>
      <c r="XEJ661" s="9"/>
      <c r="XEK661" s="9"/>
      <c r="XEL661" s="9"/>
      <c r="XEM661" s="9"/>
      <c r="XEN661" s="9"/>
      <c r="XEO661" s="9"/>
      <c r="XEP661" s="9"/>
      <c r="XEQ661" s="9"/>
      <c r="XER661" s="9"/>
      <c r="XES661" s="9"/>
      <c r="XET661" s="9"/>
      <c r="XEU661" s="9"/>
      <c r="XEV661" s="9"/>
      <c r="XEW661" s="9"/>
      <c r="XEX661" s="9"/>
      <c r="XEY661" s="9"/>
      <c r="XEZ661" s="9"/>
      <c r="XFA661" s="9"/>
      <c r="XFB661" s="9"/>
      <c r="XFC661" s="9"/>
      <c r="XFD661" s="9"/>
    </row>
    <row r="662" spans="1:8 16325:16384" s="3" customFormat="1" ht="19.95" customHeight="1">
      <c r="A662" s="6" t="str">
        <f t="shared" si="29"/>
        <v>040030</v>
      </c>
      <c r="B662" s="6" t="s">
        <v>19</v>
      </c>
      <c r="C662" s="6" t="s">
        <v>31</v>
      </c>
      <c r="D662" s="6" t="str">
        <f>"512732522"</f>
        <v>512732522</v>
      </c>
      <c r="E662" s="7">
        <v>77.5</v>
      </c>
      <c r="F662" s="7">
        <v>64</v>
      </c>
      <c r="G662" s="7"/>
      <c r="H662" s="7">
        <v>72.099999999999994</v>
      </c>
      <c r="XCW662" s="9"/>
      <c r="XCX662" s="9"/>
      <c r="XCY662" s="9"/>
      <c r="XCZ662" s="9"/>
      <c r="XDA662" s="9"/>
      <c r="XDB662" s="9"/>
      <c r="XDC662" s="9"/>
      <c r="XDD662" s="9"/>
      <c r="XDE662" s="9"/>
      <c r="XDF662" s="9"/>
      <c r="XDG662" s="9"/>
      <c r="XDH662" s="9"/>
      <c r="XDI662" s="9"/>
      <c r="XDJ662" s="9"/>
      <c r="XDK662" s="9"/>
      <c r="XDL662" s="9"/>
      <c r="XDM662" s="9"/>
      <c r="XDN662" s="9"/>
      <c r="XDO662" s="9"/>
      <c r="XDP662" s="9"/>
      <c r="XDQ662" s="9"/>
      <c r="XDR662" s="9"/>
      <c r="XDS662" s="9"/>
      <c r="XDT662" s="9"/>
      <c r="XDU662" s="9"/>
      <c r="XDV662" s="9"/>
      <c r="XDW662" s="9"/>
      <c r="XDX662" s="9"/>
      <c r="XDY662" s="9"/>
      <c r="XDZ662" s="9"/>
      <c r="XEA662" s="9"/>
      <c r="XEB662" s="9"/>
      <c r="XEC662" s="9"/>
      <c r="XED662" s="9"/>
      <c r="XEE662" s="9"/>
      <c r="XEF662" s="9"/>
      <c r="XEG662" s="9"/>
      <c r="XEH662" s="9"/>
      <c r="XEI662" s="9"/>
      <c r="XEJ662" s="9"/>
      <c r="XEK662" s="9"/>
      <c r="XEL662" s="9"/>
      <c r="XEM662" s="9"/>
      <c r="XEN662" s="9"/>
      <c r="XEO662" s="9"/>
      <c r="XEP662" s="9"/>
      <c r="XEQ662" s="9"/>
      <c r="XER662" s="9"/>
      <c r="XES662" s="9"/>
      <c r="XET662" s="9"/>
      <c r="XEU662" s="9"/>
      <c r="XEV662" s="9"/>
      <c r="XEW662" s="9"/>
      <c r="XEX662" s="9"/>
      <c r="XEY662" s="9"/>
      <c r="XEZ662" s="9"/>
      <c r="XFA662" s="9"/>
      <c r="XFB662" s="9"/>
      <c r="XFC662" s="9"/>
      <c r="XFD662" s="9"/>
    </row>
    <row r="663" spans="1:8 16325:16384" s="3" customFormat="1" ht="19.95" customHeight="1">
      <c r="A663" s="6" t="str">
        <f t="shared" si="29"/>
        <v>040030</v>
      </c>
      <c r="B663" s="6" t="s">
        <v>19</v>
      </c>
      <c r="C663" s="6" t="s">
        <v>31</v>
      </c>
      <c r="D663" s="6" t="str">
        <f>"512732526"</f>
        <v>512732526</v>
      </c>
      <c r="E663" s="7">
        <v>0</v>
      </c>
      <c r="F663" s="7">
        <v>0</v>
      </c>
      <c r="G663" s="7"/>
      <c r="H663" s="7">
        <v>0</v>
      </c>
      <c r="XCW663" s="9"/>
      <c r="XCX663" s="9"/>
      <c r="XCY663" s="9"/>
      <c r="XCZ663" s="9"/>
      <c r="XDA663" s="9"/>
      <c r="XDB663" s="9"/>
      <c r="XDC663" s="9"/>
      <c r="XDD663" s="9"/>
      <c r="XDE663" s="9"/>
      <c r="XDF663" s="9"/>
      <c r="XDG663" s="9"/>
      <c r="XDH663" s="9"/>
      <c r="XDI663" s="9"/>
      <c r="XDJ663" s="9"/>
      <c r="XDK663" s="9"/>
      <c r="XDL663" s="9"/>
      <c r="XDM663" s="9"/>
      <c r="XDN663" s="9"/>
      <c r="XDO663" s="9"/>
      <c r="XDP663" s="9"/>
      <c r="XDQ663" s="9"/>
      <c r="XDR663" s="9"/>
      <c r="XDS663" s="9"/>
      <c r="XDT663" s="9"/>
      <c r="XDU663" s="9"/>
      <c r="XDV663" s="9"/>
      <c r="XDW663" s="9"/>
      <c r="XDX663" s="9"/>
      <c r="XDY663" s="9"/>
      <c r="XDZ663" s="9"/>
      <c r="XEA663" s="9"/>
      <c r="XEB663" s="9"/>
      <c r="XEC663" s="9"/>
      <c r="XED663" s="9"/>
      <c r="XEE663" s="9"/>
      <c r="XEF663" s="9"/>
      <c r="XEG663" s="9"/>
      <c r="XEH663" s="9"/>
      <c r="XEI663" s="9"/>
      <c r="XEJ663" s="9"/>
      <c r="XEK663" s="9"/>
      <c r="XEL663" s="9"/>
      <c r="XEM663" s="9"/>
      <c r="XEN663" s="9"/>
      <c r="XEO663" s="9"/>
      <c r="XEP663" s="9"/>
      <c r="XEQ663" s="9"/>
      <c r="XER663" s="9"/>
      <c r="XES663" s="9"/>
      <c r="XET663" s="9"/>
      <c r="XEU663" s="9"/>
      <c r="XEV663" s="9"/>
      <c r="XEW663" s="9"/>
      <c r="XEX663" s="9"/>
      <c r="XEY663" s="9"/>
      <c r="XEZ663" s="9"/>
      <c r="XFA663" s="9"/>
      <c r="XFB663" s="9"/>
      <c r="XFC663" s="9"/>
      <c r="XFD663" s="9"/>
    </row>
    <row r="664" spans="1:8 16325:16384" s="3" customFormat="1" ht="19.95" customHeight="1">
      <c r="A664" s="6" t="str">
        <f t="shared" si="29"/>
        <v>040030</v>
      </c>
      <c r="B664" s="6" t="s">
        <v>19</v>
      </c>
      <c r="C664" s="6" t="s">
        <v>31</v>
      </c>
      <c r="D664" s="6" t="str">
        <f>"512732520"</f>
        <v>512732520</v>
      </c>
      <c r="E664" s="7">
        <v>70.5</v>
      </c>
      <c r="F664" s="7">
        <v>69.5</v>
      </c>
      <c r="G664" s="7"/>
      <c r="H664" s="7">
        <v>70.099999999999994</v>
      </c>
      <c r="XCW664" s="9"/>
      <c r="XCX664" s="9"/>
      <c r="XCY664" s="9"/>
      <c r="XCZ664" s="9"/>
      <c r="XDA664" s="9"/>
      <c r="XDB664" s="9"/>
      <c r="XDC664" s="9"/>
      <c r="XDD664" s="9"/>
      <c r="XDE664" s="9"/>
      <c r="XDF664" s="9"/>
      <c r="XDG664" s="9"/>
      <c r="XDH664" s="9"/>
      <c r="XDI664" s="9"/>
      <c r="XDJ664" s="9"/>
      <c r="XDK664" s="9"/>
      <c r="XDL664" s="9"/>
      <c r="XDM664" s="9"/>
      <c r="XDN664" s="9"/>
      <c r="XDO664" s="9"/>
      <c r="XDP664" s="9"/>
      <c r="XDQ664" s="9"/>
      <c r="XDR664" s="9"/>
      <c r="XDS664" s="9"/>
      <c r="XDT664" s="9"/>
      <c r="XDU664" s="9"/>
      <c r="XDV664" s="9"/>
      <c r="XDW664" s="9"/>
      <c r="XDX664" s="9"/>
      <c r="XDY664" s="9"/>
      <c r="XDZ664" s="9"/>
      <c r="XEA664" s="9"/>
      <c r="XEB664" s="9"/>
      <c r="XEC664" s="9"/>
      <c r="XED664" s="9"/>
      <c r="XEE664" s="9"/>
      <c r="XEF664" s="9"/>
      <c r="XEG664" s="9"/>
      <c r="XEH664" s="9"/>
      <c r="XEI664" s="9"/>
      <c r="XEJ664" s="9"/>
      <c r="XEK664" s="9"/>
      <c r="XEL664" s="9"/>
      <c r="XEM664" s="9"/>
      <c r="XEN664" s="9"/>
      <c r="XEO664" s="9"/>
      <c r="XEP664" s="9"/>
      <c r="XEQ664" s="9"/>
      <c r="XER664" s="9"/>
      <c r="XES664" s="9"/>
      <c r="XET664" s="9"/>
      <c r="XEU664" s="9"/>
      <c r="XEV664" s="9"/>
      <c r="XEW664" s="9"/>
      <c r="XEX664" s="9"/>
      <c r="XEY664" s="9"/>
      <c r="XEZ664" s="9"/>
      <c r="XFA664" s="9"/>
      <c r="XFB664" s="9"/>
      <c r="XFC664" s="9"/>
      <c r="XFD664" s="9"/>
    </row>
    <row r="665" spans="1:8 16325:16384" s="3" customFormat="1" ht="19.95" customHeight="1">
      <c r="A665" s="6" t="str">
        <f t="shared" si="29"/>
        <v>040030</v>
      </c>
      <c r="B665" s="6" t="s">
        <v>19</v>
      </c>
      <c r="C665" s="6" t="s">
        <v>31</v>
      </c>
      <c r="D665" s="6" t="str">
        <f>"512732524"</f>
        <v>512732524</v>
      </c>
      <c r="E665" s="7">
        <v>88.5</v>
      </c>
      <c r="F665" s="7">
        <v>83.5</v>
      </c>
      <c r="G665" s="7"/>
      <c r="H665" s="7">
        <v>86.5</v>
      </c>
      <c r="XCW665" s="9"/>
      <c r="XCX665" s="9"/>
      <c r="XCY665" s="9"/>
      <c r="XCZ665" s="9"/>
      <c r="XDA665" s="9"/>
      <c r="XDB665" s="9"/>
      <c r="XDC665" s="9"/>
      <c r="XDD665" s="9"/>
      <c r="XDE665" s="9"/>
      <c r="XDF665" s="9"/>
      <c r="XDG665" s="9"/>
      <c r="XDH665" s="9"/>
      <c r="XDI665" s="9"/>
      <c r="XDJ665" s="9"/>
      <c r="XDK665" s="9"/>
      <c r="XDL665" s="9"/>
      <c r="XDM665" s="9"/>
      <c r="XDN665" s="9"/>
      <c r="XDO665" s="9"/>
      <c r="XDP665" s="9"/>
      <c r="XDQ665" s="9"/>
      <c r="XDR665" s="9"/>
      <c r="XDS665" s="9"/>
      <c r="XDT665" s="9"/>
      <c r="XDU665" s="9"/>
      <c r="XDV665" s="9"/>
      <c r="XDW665" s="9"/>
      <c r="XDX665" s="9"/>
      <c r="XDY665" s="9"/>
      <c r="XDZ665" s="9"/>
      <c r="XEA665" s="9"/>
      <c r="XEB665" s="9"/>
      <c r="XEC665" s="9"/>
      <c r="XED665" s="9"/>
      <c r="XEE665" s="9"/>
      <c r="XEF665" s="9"/>
      <c r="XEG665" s="9"/>
      <c r="XEH665" s="9"/>
      <c r="XEI665" s="9"/>
      <c r="XEJ665" s="9"/>
      <c r="XEK665" s="9"/>
      <c r="XEL665" s="9"/>
      <c r="XEM665" s="9"/>
      <c r="XEN665" s="9"/>
      <c r="XEO665" s="9"/>
      <c r="XEP665" s="9"/>
      <c r="XEQ665" s="9"/>
      <c r="XER665" s="9"/>
      <c r="XES665" s="9"/>
      <c r="XET665" s="9"/>
      <c r="XEU665" s="9"/>
      <c r="XEV665" s="9"/>
      <c r="XEW665" s="9"/>
      <c r="XEX665" s="9"/>
      <c r="XEY665" s="9"/>
      <c r="XEZ665" s="9"/>
      <c r="XFA665" s="9"/>
      <c r="XFB665" s="9"/>
      <c r="XFC665" s="9"/>
      <c r="XFD665" s="9"/>
    </row>
    <row r="666" spans="1:8 16325:16384" s="3" customFormat="1" ht="19.95" customHeight="1">
      <c r="A666" s="6" t="str">
        <f t="shared" si="29"/>
        <v>040030</v>
      </c>
      <c r="B666" s="6" t="s">
        <v>19</v>
      </c>
      <c r="C666" s="6" t="s">
        <v>31</v>
      </c>
      <c r="D666" s="6" t="str">
        <f>"512732527"</f>
        <v>512732527</v>
      </c>
      <c r="E666" s="7">
        <v>0</v>
      </c>
      <c r="F666" s="7">
        <v>0</v>
      </c>
      <c r="G666" s="7"/>
      <c r="H666" s="7">
        <v>0</v>
      </c>
      <c r="XCW666" s="9"/>
      <c r="XCX666" s="9"/>
      <c r="XCY666" s="9"/>
      <c r="XCZ666" s="9"/>
      <c r="XDA666" s="9"/>
      <c r="XDB666" s="9"/>
      <c r="XDC666" s="9"/>
      <c r="XDD666" s="9"/>
      <c r="XDE666" s="9"/>
      <c r="XDF666" s="9"/>
      <c r="XDG666" s="9"/>
      <c r="XDH666" s="9"/>
      <c r="XDI666" s="9"/>
      <c r="XDJ666" s="9"/>
      <c r="XDK666" s="9"/>
      <c r="XDL666" s="9"/>
      <c r="XDM666" s="9"/>
      <c r="XDN666" s="9"/>
      <c r="XDO666" s="9"/>
      <c r="XDP666" s="9"/>
      <c r="XDQ666" s="9"/>
      <c r="XDR666" s="9"/>
      <c r="XDS666" s="9"/>
      <c r="XDT666" s="9"/>
      <c r="XDU666" s="9"/>
      <c r="XDV666" s="9"/>
      <c r="XDW666" s="9"/>
      <c r="XDX666" s="9"/>
      <c r="XDY666" s="9"/>
      <c r="XDZ666" s="9"/>
      <c r="XEA666" s="9"/>
      <c r="XEB666" s="9"/>
      <c r="XEC666" s="9"/>
      <c r="XED666" s="9"/>
      <c r="XEE666" s="9"/>
      <c r="XEF666" s="9"/>
      <c r="XEG666" s="9"/>
      <c r="XEH666" s="9"/>
      <c r="XEI666" s="9"/>
      <c r="XEJ666" s="9"/>
      <c r="XEK666" s="9"/>
      <c r="XEL666" s="9"/>
      <c r="XEM666" s="9"/>
      <c r="XEN666" s="9"/>
      <c r="XEO666" s="9"/>
      <c r="XEP666" s="9"/>
      <c r="XEQ666" s="9"/>
      <c r="XER666" s="9"/>
      <c r="XES666" s="9"/>
      <c r="XET666" s="9"/>
      <c r="XEU666" s="9"/>
      <c r="XEV666" s="9"/>
      <c r="XEW666" s="9"/>
      <c r="XEX666" s="9"/>
      <c r="XEY666" s="9"/>
      <c r="XEZ666" s="9"/>
      <c r="XFA666" s="9"/>
      <c r="XFB666" s="9"/>
      <c r="XFC666" s="9"/>
      <c r="XFD666" s="9"/>
    </row>
    <row r="667" spans="1:8 16325:16384" s="3" customFormat="1" ht="19.95" customHeight="1">
      <c r="A667" s="6" t="str">
        <f t="shared" si="29"/>
        <v>040030</v>
      </c>
      <c r="B667" s="6" t="s">
        <v>19</v>
      </c>
      <c r="C667" s="6" t="s">
        <v>31</v>
      </c>
      <c r="D667" s="6" t="str">
        <f>"512732521"</f>
        <v>512732521</v>
      </c>
      <c r="E667" s="7">
        <v>80.5</v>
      </c>
      <c r="F667" s="7">
        <v>69</v>
      </c>
      <c r="G667" s="7"/>
      <c r="H667" s="7">
        <v>75.900000000000006</v>
      </c>
      <c r="XCW667" s="9"/>
      <c r="XCX667" s="9"/>
      <c r="XCY667" s="9"/>
      <c r="XCZ667" s="9"/>
      <c r="XDA667" s="9"/>
      <c r="XDB667" s="9"/>
      <c r="XDC667" s="9"/>
      <c r="XDD667" s="9"/>
      <c r="XDE667" s="9"/>
      <c r="XDF667" s="9"/>
      <c r="XDG667" s="9"/>
      <c r="XDH667" s="9"/>
      <c r="XDI667" s="9"/>
      <c r="XDJ667" s="9"/>
      <c r="XDK667" s="9"/>
      <c r="XDL667" s="9"/>
      <c r="XDM667" s="9"/>
      <c r="XDN667" s="9"/>
      <c r="XDO667" s="9"/>
      <c r="XDP667" s="9"/>
      <c r="XDQ667" s="9"/>
      <c r="XDR667" s="9"/>
      <c r="XDS667" s="9"/>
      <c r="XDT667" s="9"/>
      <c r="XDU667" s="9"/>
      <c r="XDV667" s="9"/>
      <c r="XDW667" s="9"/>
      <c r="XDX667" s="9"/>
      <c r="XDY667" s="9"/>
      <c r="XDZ667" s="9"/>
      <c r="XEA667" s="9"/>
      <c r="XEB667" s="9"/>
      <c r="XEC667" s="9"/>
      <c r="XED667" s="9"/>
      <c r="XEE667" s="9"/>
      <c r="XEF667" s="9"/>
      <c r="XEG667" s="9"/>
      <c r="XEH667" s="9"/>
      <c r="XEI667" s="9"/>
      <c r="XEJ667" s="9"/>
      <c r="XEK667" s="9"/>
      <c r="XEL667" s="9"/>
      <c r="XEM667" s="9"/>
      <c r="XEN667" s="9"/>
      <c r="XEO667" s="9"/>
      <c r="XEP667" s="9"/>
      <c r="XEQ667" s="9"/>
      <c r="XER667" s="9"/>
      <c r="XES667" s="9"/>
      <c r="XET667" s="9"/>
      <c r="XEU667" s="9"/>
      <c r="XEV667" s="9"/>
      <c r="XEW667" s="9"/>
      <c r="XEX667" s="9"/>
      <c r="XEY667" s="9"/>
      <c r="XEZ667" s="9"/>
      <c r="XFA667" s="9"/>
      <c r="XFB667" s="9"/>
      <c r="XFC667" s="9"/>
      <c r="XFD667" s="9"/>
    </row>
    <row r="668" spans="1:8 16325:16384" s="3" customFormat="1" ht="19.95" customHeight="1">
      <c r="A668" s="6" t="str">
        <f t="shared" si="29"/>
        <v>040030</v>
      </c>
      <c r="B668" s="6" t="s">
        <v>19</v>
      </c>
      <c r="C668" s="6" t="s">
        <v>31</v>
      </c>
      <c r="D668" s="6" t="str">
        <f>"512732519"</f>
        <v>512732519</v>
      </c>
      <c r="E668" s="7">
        <v>84</v>
      </c>
      <c r="F668" s="7">
        <v>79</v>
      </c>
      <c r="G668" s="7"/>
      <c r="H668" s="7">
        <v>82</v>
      </c>
      <c r="XCW668" s="9"/>
      <c r="XCX668" s="9"/>
      <c r="XCY668" s="9"/>
      <c r="XCZ668" s="9"/>
      <c r="XDA668" s="9"/>
      <c r="XDB668" s="9"/>
      <c r="XDC668" s="9"/>
      <c r="XDD668" s="9"/>
      <c r="XDE668" s="9"/>
      <c r="XDF668" s="9"/>
      <c r="XDG668" s="9"/>
      <c r="XDH668" s="9"/>
      <c r="XDI668" s="9"/>
      <c r="XDJ668" s="9"/>
      <c r="XDK668" s="9"/>
      <c r="XDL668" s="9"/>
      <c r="XDM668" s="9"/>
      <c r="XDN668" s="9"/>
      <c r="XDO668" s="9"/>
      <c r="XDP668" s="9"/>
      <c r="XDQ668" s="9"/>
      <c r="XDR668" s="9"/>
      <c r="XDS668" s="9"/>
      <c r="XDT668" s="9"/>
      <c r="XDU668" s="9"/>
      <c r="XDV668" s="9"/>
      <c r="XDW668" s="9"/>
      <c r="XDX668" s="9"/>
      <c r="XDY668" s="9"/>
      <c r="XDZ668" s="9"/>
      <c r="XEA668" s="9"/>
      <c r="XEB668" s="9"/>
      <c r="XEC668" s="9"/>
      <c r="XED668" s="9"/>
      <c r="XEE668" s="9"/>
      <c r="XEF668" s="9"/>
      <c r="XEG668" s="9"/>
      <c r="XEH668" s="9"/>
      <c r="XEI668" s="9"/>
      <c r="XEJ668" s="9"/>
      <c r="XEK668" s="9"/>
      <c r="XEL668" s="9"/>
      <c r="XEM668" s="9"/>
      <c r="XEN668" s="9"/>
      <c r="XEO668" s="9"/>
      <c r="XEP668" s="9"/>
      <c r="XEQ668" s="9"/>
      <c r="XER668" s="9"/>
      <c r="XES668" s="9"/>
      <c r="XET668" s="9"/>
      <c r="XEU668" s="9"/>
      <c r="XEV668" s="9"/>
      <c r="XEW668" s="9"/>
      <c r="XEX668" s="9"/>
      <c r="XEY668" s="9"/>
      <c r="XEZ668" s="9"/>
      <c r="XFA668" s="9"/>
      <c r="XFB668" s="9"/>
      <c r="XFC668" s="9"/>
      <c r="XFD668" s="9"/>
    </row>
    <row r="669" spans="1:8 16325:16384" s="3" customFormat="1" ht="19.95" customHeight="1">
      <c r="A669" s="6" t="str">
        <f t="shared" si="29"/>
        <v>040030</v>
      </c>
      <c r="B669" s="6" t="s">
        <v>19</v>
      </c>
      <c r="C669" s="6" t="s">
        <v>31</v>
      </c>
      <c r="D669" s="6" t="str">
        <f>"512732525"</f>
        <v>512732525</v>
      </c>
      <c r="E669" s="7">
        <v>0</v>
      </c>
      <c r="F669" s="7">
        <v>0</v>
      </c>
      <c r="G669" s="7"/>
      <c r="H669" s="7">
        <v>0</v>
      </c>
      <c r="XCW669" s="9"/>
      <c r="XCX669" s="9"/>
      <c r="XCY669" s="9"/>
      <c r="XCZ669" s="9"/>
      <c r="XDA669" s="9"/>
      <c r="XDB669" s="9"/>
      <c r="XDC669" s="9"/>
      <c r="XDD669" s="9"/>
      <c r="XDE669" s="9"/>
      <c r="XDF669" s="9"/>
      <c r="XDG669" s="9"/>
      <c r="XDH669" s="9"/>
      <c r="XDI669" s="9"/>
      <c r="XDJ669" s="9"/>
      <c r="XDK669" s="9"/>
      <c r="XDL669" s="9"/>
      <c r="XDM669" s="9"/>
      <c r="XDN669" s="9"/>
      <c r="XDO669" s="9"/>
      <c r="XDP669" s="9"/>
      <c r="XDQ669" s="9"/>
      <c r="XDR669" s="9"/>
      <c r="XDS669" s="9"/>
      <c r="XDT669" s="9"/>
      <c r="XDU669" s="9"/>
      <c r="XDV669" s="9"/>
      <c r="XDW669" s="9"/>
      <c r="XDX669" s="9"/>
      <c r="XDY669" s="9"/>
      <c r="XDZ669" s="9"/>
      <c r="XEA669" s="9"/>
      <c r="XEB669" s="9"/>
      <c r="XEC669" s="9"/>
      <c r="XED669" s="9"/>
      <c r="XEE669" s="9"/>
      <c r="XEF669" s="9"/>
      <c r="XEG669" s="9"/>
      <c r="XEH669" s="9"/>
      <c r="XEI669" s="9"/>
      <c r="XEJ669" s="9"/>
      <c r="XEK669" s="9"/>
      <c r="XEL669" s="9"/>
      <c r="XEM669" s="9"/>
      <c r="XEN669" s="9"/>
      <c r="XEO669" s="9"/>
      <c r="XEP669" s="9"/>
      <c r="XEQ669" s="9"/>
      <c r="XER669" s="9"/>
      <c r="XES669" s="9"/>
      <c r="XET669" s="9"/>
      <c r="XEU669" s="9"/>
      <c r="XEV669" s="9"/>
      <c r="XEW669" s="9"/>
      <c r="XEX669" s="9"/>
      <c r="XEY669" s="9"/>
      <c r="XEZ669" s="9"/>
      <c r="XFA669" s="9"/>
      <c r="XFB669" s="9"/>
      <c r="XFC669" s="9"/>
      <c r="XFD669" s="9"/>
    </row>
    <row r="670" spans="1:8 16325:16384" s="3" customFormat="1" ht="19.95" customHeight="1">
      <c r="A670" s="6" t="str">
        <f t="shared" ref="A670:A684" si="30">"040031"</f>
        <v>040031</v>
      </c>
      <c r="B670" s="6" t="s">
        <v>22</v>
      </c>
      <c r="C670" s="6" t="s">
        <v>33</v>
      </c>
      <c r="D670" s="6" t="str">
        <f>"512523515"</f>
        <v>512523515</v>
      </c>
      <c r="E670" s="7">
        <v>83</v>
      </c>
      <c r="F670" s="7">
        <v>70.5</v>
      </c>
      <c r="G670" s="7"/>
      <c r="H670" s="7">
        <v>78</v>
      </c>
      <c r="XCW670" s="9"/>
      <c r="XCX670" s="9"/>
      <c r="XCY670" s="9"/>
      <c r="XCZ670" s="9"/>
      <c r="XDA670" s="9"/>
      <c r="XDB670" s="9"/>
      <c r="XDC670" s="9"/>
      <c r="XDD670" s="9"/>
      <c r="XDE670" s="9"/>
      <c r="XDF670" s="9"/>
      <c r="XDG670" s="9"/>
      <c r="XDH670" s="9"/>
      <c r="XDI670" s="9"/>
      <c r="XDJ670" s="9"/>
      <c r="XDK670" s="9"/>
      <c r="XDL670" s="9"/>
      <c r="XDM670" s="9"/>
      <c r="XDN670" s="9"/>
      <c r="XDO670" s="9"/>
      <c r="XDP670" s="9"/>
      <c r="XDQ670" s="9"/>
      <c r="XDR670" s="9"/>
      <c r="XDS670" s="9"/>
      <c r="XDT670" s="9"/>
      <c r="XDU670" s="9"/>
      <c r="XDV670" s="9"/>
      <c r="XDW670" s="9"/>
      <c r="XDX670" s="9"/>
      <c r="XDY670" s="9"/>
      <c r="XDZ670" s="9"/>
      <c r="XEA670" s="9"/>
      <c r="XEB670" s="9"/>
      <c r="XEC670" s="9"/>
      <c r="XED670" s="9"/>
      <c r="XEE670" s="9"/>
      <c r="XEF670" s="9"/>
      <c r="XEG670" s="9"/>
      <c r="XEH670" s="9"/>
      <c r="XEI670" s="9"/>
      <c r="XEJ670" s="9"/>
      <c r="XEK670" s="9"/>
      <c r="XEL670" s="9"/>
      <c r="XEM670" s="9"/>
      <c r="XEN670" s="9"/>
      <c r="XEO670" s="9"/>
      <c r="XEP670" s="9"/>
      <c r="XEQ670" s="9"/>
      <c r="XER670" s="9"/>
      <c r="XES670" s="9"/>
      <c r="XET670" s="9"/>
      <c r="XEU670" s="9"/>
      <c r="XEV670" s="9"/>
      <c r="XEW670" s="9"/>
      <c r="XEX670" s="9"/>
      <c r="XEY670" s="9"/>
      <c r="XEZ670" s="9"/>
      <c r="XFA670" s="9"/>
      <c r="XFB670" s="9"/>
      <c r="XFC670" s="9"/>
      <c r="XFD670" s="9"/>
    </row>
    <row r="671" spans="1:8 16325:16384" s="3" customFormat="1" ht="19.95" customHeight="1">
      <c r="A671" s="6" t="str">
        <f t="shared" si="30"/>
        <v>040031</v>
      </c>
      <c r="B671" s="6" t="s">
        <v>22</v>
      </c>
      <c r="C671" s="6" t="s">
        <v>33</v>
      </c>
      <c r="D671" s="6" t="str">
        <f>"512523514"</f>
        <v>512523514</v>
      </c>
      <c r="E671" s="7">
        <v>81</v>
      </c>
      <c r="F671" s="7">
        <v>86</v>
      </c>
      <c r="G671" s="7"/>
      <c r="H671" s="7">
        <v>83</v>
      </c>
      <c r="XCW671" s="9"/>
      <c r="XCX671" s="9"/>
      <c r="XCY671" s="9"/>
      <c r="XCZ671" s="9"/>
      <c r="XDA671" s="9"/>
      <c r="XDB671" s="9"/>
      <c r="XDC671" s="9"/>
      <c r="XDD671" s="9"/>
      <c r="XDE671" s="9"/>
      <c r="XDF671" s="9"/>
      <c r="XDG671" s="9"/>
      <c r="XDH671" s="9"/>
      <c r="XDI671" s="9"/>
      <c r="XDJ671" s="9"/>
      <c r="XDK671" s="9"/>
      <c r="XDL671" s="9"/>
      <c r="XDM671" s="9"/>
      <c r="XDN671" s="9"/>
      <c r="XDO671" s="9"/>
      <c r="XDP671" s="9"/>
      <c r="XDQ671" s="9"/>
      <c r="XDR671" s="9"/>
      <c r="XDS671" s="9"/>
      <c r="XDT671" s="9"/>
      <c r="XDU671" s="9"/>
      <c r="XDV671" s="9"/>
      <c r="XDW671" s="9"/>
      <c r="XDX671" s="9"/>
      <c r="XDY671" s="9"/>
      <c r="XDZ671" s="9"/>
      <c r="XEA671" s="9"/>
      <c r="XEB671" s="9"/>
      <c r="XEC671" s="9"/>
      <c r="XED671" s="9"/>
      <c r="XEE671" s="9"/>
      <c r="XEF671" s="9"/>
      <c r="XEG671" s="9"/>
      <c r="XEH671" s="9"/>
      <c r="XEI671" s="9"/>
      <c r="XEJ671" s="9"/>
      <c r="XEK671" s="9"/>
      <c r="XEL671" s="9"/>
      <c r="XEM671" s="9"/>
      <c r="XEN671" s="9"/>
      <c r="XEO671" s="9"/>
      <c r="XEP671" s="9"/>
      <c r="XEQ671" s="9"/>
      <c r="XER671" s="9"/>
      <c r="XES671" s="9"/>
      <c r="XET671" s="9"/>
      <c r="XEU671" s="9"/>
      <c r="XEV671" s="9"/>
      <c r="XEW671" s="9"/>
      <c r="XEX671" s="9"/>
      <c r="XEY671" s="9"/>
      <c r="XEZ671" s="9"/>
      <c r="XFA671" s="9"/>
      <c r="XFB671" s="9"/>
      <c r="XFC671" s="9"/>
      <c r="XFD671" s="9"/>
    </row>
    <row r="672" spans="1:8 16325:16384" s="3" customFormat="1" ht="19.95" customHeight="1">
      <c r="A672" s="6" t="str">
        <f t="shared" si="30"/>
        <v>040031</v>
      </c>
      <c r="B672" s="6" t="s">
        <v>22</v>
      </c>
      <c r="C672" s="6" t="s">
        <v>33</v>
      </c>
      <c r="D672" s="6" t="str">
        <f>"512523513"</f>
        <v>512523513</v>
      </c>
      <c r="E672" s="7">
        <v>53</v>
      </c>
      <c r="F672" s="7">
        <v>63</v>
      </c>
      <c r="G672" s="7"/>
      <c r="H672" s="7">
        <v>57</v>
      </c>
      <c r="XCW672" s="9"/>
      <c r="XCX672" s="9"/>
      <c r="XCY672" s="9"/>
      <c r="XCZ672" s="9"/>
      <c r="XDA672" s="9"/>
      <c r="XDB672" s="9"/>
      <c r="XDC672" s="9"/>
      <c r="XDD672" s="9"/>
      <c r="XDE672" s="9"/>
      <c r="XDF672" s="9"/>
      <c r="XDG672" s="9"/>
      <c r="XDH672" s="9"/>
      <c r="XDI672" s="9"/>
      <c r="XDJ672" s="9"/>
      <c r="XDK672" s="9"/>
      <c r="XDL672" s="9"/>
      <c r="XDM672" s="9"/>
      <c r="XDN672" s="9"/>
      <c r="XDO672" s="9"/>
      <c r="XDP672" s="9"/>
      <c r="XDQ672" s="9"/>
      <c r="XDR672" s="9"/>
      <c r="XDS672" s="9"/>
      <c r="XDT672" s="9"/>
      <c r="XDU672" s="9"/>
      <c r="XDV672" s="9"/>
      <c r="XDW672" s="9"/>
      <c r="XDX672" s="9"/>
      <c r="XDY672" s="9"/>
      <c r="XDZ672" s="9"/>
      <c r="XEA672" s="9"/>
      <c r="XEB672" s="9"/>
      <c r="XEC672" s="9"/>
      <c r="XED672" s="9"/>
      <c r="XEE672" s="9"/>
      <c r="XEF672" s="9"/>
      <c r="XEG672" s="9"/>
      <c r="XEH672" s="9"/>
      <c r="XEI672" s="9"/>
      <c r="XEJ672" s="9"/>
      <c r="XEK672" s="9"/>
      <c r="XEL672" s="9"/>
      <c r="XEM672" s="9"/>
      <c r="XEN672" s="9"/>
      <c r="XEO672" s="9"/>
      <c r="XEP672" s="9"/>
      <c r="XEQ672" s="9"/>
      <c r="XER672" s="9"/>
      <c r="XES672" s="9"/>
      <c r="XET672" s="9"/>
      <c r="XEU672" s="9"/>
      <c r="XEV672" s="9"/>
      <c r="XEW672" s="9"/>
      <c r="XEX672" s="9"/>
      <c r="XEY672" s="9"/>
      <c r="XEZ672" s="9"/>
      <c r="XFA672" s="9"/>
      <c r="XFB672" s="9"/>
      <c r="XFC672" s="9"/>
      <c r="XFD672" s="9"/>
    </row>
    <row r="673" spans="1:8 16325:16384" s="3" customFormat="1" ht="19.95" customHeight="1">
      <c r="A673" s="6" t="str">
        <f t="shared" si="30"/>
        <v>040031</v>
      </c>
      <c r="B673" s="6" t="s">
        <v>22</v>
      </c>
      <c r="C673" s="6" t="s">
        <v>33</v>
      </c>
      <c r="D673" s="6" t="str">
        <f>"512523510"</f>
        <v>512523510</v>
      </c>
      <c r="E673" s="7">
        <v>46</v>
      </c>
      <c r="F673" s="7">
        <v>42</v>
      </c>
      <c r="G673" s="7"/>
      <c r="H673" s="7">
        <v>44.4</v>
      </c>
      <c r="XCW673" s="9"/>
      <c r="XCX673" s="9"/>
      <c r="XCY673" s="9"/>
      <c r="XCZ673" s="9"/>
      <c r="XDA673" s="9"/>
      <c r="XDB673" s="9"/>
      <c r="XDC673" s="9"/>
      <c r="XDD673" s="9"/>
      <c r="XDE673" s="9"/>
      <c r="XDF673" s="9"/>
      <c r="XDG673" s="9"/>
      <c r="XDH673" s="9"/>
      <c r="XDI673" s="9"/>
      <c r="XDJ673" s="9"/>
      <c r="XDK673" s="9"/>
      <c r="XDL673" s="9"/>
      <c r="XDM673" s="9"/>
      <c r="XDN673" s="9"/>
      <c r="XDO673" s="9"/>
      <c r="XDP673" s="9"/>
      <c r="XDQ673" s="9"/>
      <c r="XDR673" s="9"/>
      <c r="XDS673" s="9"/>
      <c r="XDT673" s="9"/>
      <c r="XDU673" s="9"/>
      <c r="XDV673" s="9"/>
      <c r="XDW673" s="9"/>
      <c r="XDX673" s="9"/>
      <c r="XDY673" s="9"/>
      <c r="XDZ673" s="9"/>
      <c r="XEA673" s="9"/>
      <c r="XEB673" s="9"/>
      <c r="XEC673" s="9"/>
      <c r="XED673" s="9"/>
      <c r="XEE673" s="9"/>
      <c r="XEF673" s="9"/>
      <c r="XEG673" s="9"/>
      <c r="XEH673" s="9"/>
      <c r="XEI673" s="9"/>
      <c r="XEJ673" s="9"/>
      <c r="XEK673" s="9"/>
      <c r="XEL673" s="9"/>
      <c r="XEM673" s="9"/>
      <c r="XEN673" s="9"/>
      <c r="XEO673" s="9"/>
      <c r="XEP673" s="9"/>
      <c r="XEQ673" s="9"/>
      <c r="XER673" s="9"/>
      <c r="XES673" s="9"/>
      <c r="XET673" s="9"/>
      <c r="XEU673" s="9"/>
      <c r="XEV673" s="9"/>
      <c r="XEW673" s="9"/>
      <c r="XEX673" s="9"/>
      <c r="XEY673" s="9"/>
      <c r="XEZ673" s="9"/>
      <c r="XFA673" s="9"/>
      <c r="XFB673" s="9"/>
      <c r="XFC673" s="9"/>
      <c r="XFD673" s="9"/>
    </row>
    <row r="674" spans="1:8 16325:16384" s="3" customFormat="1" ht="19.95" customHeight="1">
      <c r="A674" s="6" t="str">
        <f t="shared" si="30"/>
        <v>040031</v>
      </c>
      <c r="B674" s="6" t="s">
        <v>22</v>
      </c>
      <c r="C674" s="6" t="s">
        <v>33</v>
      </c>
      <c r="D674" s="6" t="str">
        <f>"512523520"</f>
        <v>512523520</v>
      </c>
      <c r="E674" s="7">
        <v>94.5</v>
      </c>
      <c r="F674" s="7">
        <v>76</v>
      </c>
      <c r="G674" s="7"/>
      <c r="H674" s="7">
        <v>87.1</v>
      </c>
      <c r="XCW674" s="9"/>
      <c r="XCX674" s="9"/>
      <c r="XCY674" s="9"/>
      <c r="XCZ674" s="9"/>
      <c r="XDA674" s="9"/>
      <c r="XDB674" s="9"/>
      <c r="XDC674" s="9"/>
      <c r="XDD674" s="9"/>
      <c r="XDE674" s="9"/>
      <c r="XDF674" s="9"/>
      <c r="XDG674" s="9"/>
      <c r="XDH674" s="9"/>
      <c r="XDI674" s="9"/>
      <c r="XDJ674" s="9"/>
      <c r="XDK674" s="9"/>
      <c r="XDL674" s="9"/>
      <c r="XDM674" s="9"/>
      <c r="XDN674" s="9"/>
      <c r="XDO674" s="9"/>
      <c r="XDP674" s="9"/>
      <c r="XDQ674" s="9"/>
      <c r="XDR674" s="9"/>
      <c r="XDS674" s="9"/>
      <c r="XDT674" s="9"/>
      <c r="XDU674" s="9"/>
      <c r="XDV674" s="9"/>
      <c r="XDW674" s="9"/>
      <c r="XDX674" s="9"/>
      <c r="XDY674" s="9"/>
      <c r="XDZ674" s="9"/>
      <c r="XEA674" s="9"/>
      <c r="XEB674" s="9"/>
      <c r="XEC674" s="9"/>
      <c r="XED674" s="9"/>
      <c r="XEE674" s="9"/>
      <c r="XEF674" s="9"/>
      <c r="XEG674" s="9"/>
      <c r="XEH674" s="9"/>
      <c r="XEI674" s="9"/>
      <c r="XEJ674" s="9"/>
      <c r="XEK674" s="9"/>
      <c r="XEL674" s="9"/>
      <c r="XEM674" s="9"/>
      <c r="XEN674" s="9"/>
      <c r="XEO674" s="9"/>
      <c r="XEP674" s="9"/>
      <c r="XEQ674" s="9"/>
      <c r="XER674" s="9"/>
      <c r="XES674" s="9"/>
      <c r="XET674" s="9"/>
      <c r="XEU674" s="9"/>
      <c r="XEV674" s="9"/>
      <c r="XEW674" s="9"/>
      <c r="XEX674" s="9"/>
      <c r="XEY674" s="9"/>
      <c r="XEZ674" s="9"/>
      <c r="XFA674" s="9"/>
      <c r="XFB674" s="9"/>
      <c r="XFC674" s="9"/>
      <c r="XFD674" s="9"/>
    </row>
    <row r="675" spans="1:8 16325:16384" s="3" customFormat="1" ht="19.95" customHeight="1">
      <c r="A675" s="6" t="str">
        <f t="shared" si="30"/>
        <v>040031</v>
      </c>
      <c r="B675" s="6" t="s">
        <v>22</v>
      </c>
      <c r="C675" s="6" t="s">
        <v>33</v>
      </c>
      <c r="D675" s="6" t="str">
        <f>"512523523"</f>
        <v>512523523</v>
      </c>
      <c r="E675" s="7">
        <v>91.5</v>
      </c>
      <c r="F675" s="7">
        <v>77</v>
      </c>
      <c r="G675" s="7"/>
      <c r="H675" s="7">
        <v>85.7</v>
      </c>
      <c r="XCW675" s="9"/>
      <c r="XCX675" s="9"/>
      <c r="XCY675" s="9"/>
      <c r="XCZ675" s="9"/>
      <c r="XDA675" s="9"/>
      <c r="XDB675" s="9"/>
      <c r="XDC675" s="9"/>
      <c r="XDD675" s="9"/>
      <c r="XDE675" s="9"/>
      <c r="XDF675" s="9"/>
      <c r="XDG675" s="9"/>
      <c r="XDH675" s="9"/>
      <c r="XDI675" s="9"/>
      <c r="XDJ675" s="9"/>
      <c r="XDK675" s="9"/>
      <c r="XDL675" s="9"/>
      <c r="XDM675" s="9"/>
      <c r="XDN675" s="9"/>
      <c r="XDO675" s="9"/>
      <c r="XDP675" s="9"/>
      <c r="XDQ675" s="9"/>
      <c r="XDR675" s="9"/>
      <c r="XDS675" s="9"/>
      <c r="XDT675" s="9"/>
      <c r="XDU675" s="9"/>
      <c r="XDV675" s="9"/>
      <c r="XDW675" s="9"/>
      <c r="XDX675" s="9"/>
      <c r="XDY675" s="9"/>
      <c r="XDZ675" s="9"/>
      <c r="XEA675" s="9"/>
      <c r="XEB675" s="9"/>
      <c r="XEC675" s="9"/>
      <c r="XED675" s="9"/>
      <c r="XEE675" s="9"/>
      <c r="XEF675" s="9"/>
      <c r="XEG675" s="9"/>
      <c r="XEH675" s="9"/>
      <c r="XEI675" s="9"/>
      <c r="XEJ675" s="9"/>
      <c r="XEK675" s="9"/>
      <c r="XEL675" s="9"/>
      <c r="XEM675" s="9"/>
      <c r="XEN675" s="9"/>
      <c r="XEO675" s="9"/>
      <c r="XEP675" s="9"/>
      <c r="XEQ675" s="9"/>
      <c r="XER675" s="9"/>
      <c r="XES675" s="9"/>
      <c r="XET675" s="9"/>
      <c r="XEU675" s="9"/>
      <c r="XEV675" s="9"/>
      <c r="XEW675" s="9"/>
      <c r="XEX675" s="9"/>
      <c r="XEY675" s="9"/>
      <c r="XEZ675" s="9"/>
      <c r="XFA675" s="9"/>
      <c r="XFB675" s="9"/>
      <c r="XFC675" s="9"/>
      <c r="XFD675" s="9"/>
    </row>
    <row r="676" spans="1:8 16325:16384" s="3" customFormat="1" ht="19.95" customHeight="1">
      <c r="A676" s="6" t="str">
        <f t="shared" si="30"/>
        <v>040031</v>
      </c>
      <c r="B676" s="6" t="s">
        <v>22</v>
      </c>
      <c r="C676" s="6" t="s">
        <v>33</v>
      </c>
      <c r="D676" s="6" t="str">
        <f>"512523521"</f>
        <v>512523521</v>
      </c>
      <c r="E676" s="7">
        <v>70</v>
      </c>
      <c r="F676" s="7">
        <v>81.5</v>
      </c>
      <c r="G676" s="7"/>
      <c r="H676" s="7">
        <v>74.599999999999994</v>
      </c>
      <c r="XCW676" s="9"/>
      <c r="XCX676" s="9"/>
      <c r="XCY676" s="9"/>
      <c r="XCZ676" s="9"/>
      <c r="XDA676" s="9"/>
      <c r="XDB676" s="9"/>
      <c r="XDC676" s="9"/>
      <c r="XDD676" s="9"/>
      <c r="XDE676" s="9"/>
      <c r="XDF676" s="9"/>
      <c r="XDG676" s="9"/>
      <c r="XDH676" s="9"/>
      <c r="XDI676" s="9"/>
      <c r="XDJ676" s="9"/>
      <c r="XDK676" s="9"/>
      <c r="XDL676" s="9"/>
      <c r="XDM676" s="9"/>
      <c r="XDN676" s="9"/>
      <c r="XDO676" s="9"/>
      <c r="XDP676" s="9"/>
      <c r="XDQ676" s="9"/>
      <c r="XDR676" s="9"/>
      <c r="XDS676" s="9"/>
      <c r="XDT676" s="9"/>
      <c r="XDU676" s="9"/>
      <c r="XDV676" s="9"/>
      <c r="XDW676" s="9"/>
      <c r="XDX676" s="9"/>
      <c r="XDY676" s="9"/>
      <c r="XDZ676" s="9"/>
      <c r="XEA676" s="9"/>
      <c r="XEB676" s="9"/>
      <c r="XEC676" s="9"/>
      <c r="XED676" s="9"/>
      <c r="XEE676" s="9"/>
      <c r="XEF676" s="9"/>
      <c r="XEG676" s="9"/>
      <c r="XEH676" s="9"/>
      <c r="XEI676" s="9"/>
      <c r="XEJ676" s="9"/>
      <c r="XEK676" s="9"/>
      <c r="XEL676" s="9"/>
      <c r="XEM676" s="9"/>
      <c r="XEN676" s="9"/>
      <c r="XEO676" s="9"/>
      <c r="XEP676" s="9"/>
      <c r="XEQ676" s="9"/>
      <c r="XER676" s="9"/>
      <c r="XES676" s="9"/>
      <c r="XET676" s="9"/>
      <c r="XEU676" s="9"/>
      <c r="XEV676" s="9"/>
      <c r="XEW676" s="9"/>
      <c r="XEX676" s="9"/>
      <c r="XEY676" s="9"/>
      <c r="XEZ676" s="9"/>
      <c r="XFA676" s="9"/>
      <c r="XFB676" s="9"/>
      <c r="XFC676" s="9"/>
      <c r="XFD676" s="9"/>
    </row>
    <row r="677" spans="1:8 16325:16384" s="3" customFormat="1" ht="19.95" customHeight="1">
      <c r="A677" s="6" t="str">
        <f t="shared" si="30"/>
        <v>040031</v>
      </c>
      <c r="B677" s="6" t="s">
        <v>22</v>
      </c>
      <c r="C677" s="6" t="s">
        <v>33</v>
      </c>
      <c r="D677" s="6" t="str">
        <f>"512523518"</f>
        <v>512523518</v>
      </c>
      <c r="E677" s="7">
        <v>70.5</v>
      </c>
      <c r="F677" s="7">
        <v>65</v>
      </c>
      <c r="G677" s="7"/>
      <c r="H677" s="7">
        <v>68.3</v>
      </c>
      <c r="XCW677" s="9"/>
      <c r="XCX677" s="9"/>
      <c r="XCY677" s="9"/>
      <c r="XCZ677" s="9"/>
      <c r="XDA677" s="9"/>
      <c r="XDB677" s="9"/>
      <c r="XDC677" s="9"/>
      <c r="XDD677" s="9"/>
      <c r="XDE677" s="9"/>
      <c r="XDF677" s="9"/>
      <c r="XDG677" s="9"/>
      <c r="XDH677" s="9"/>
      <c r="XDI677" s="9"/>
      <c r="XDJ677" s="9"/>
      <c r="XDK677" s="9"/>
      <c r="XDL677" s="9"/>
      <c r="XDM677" s="9"/>
      <c r="XDN677" s="9"/>
      <c r="XDO677" s="9"/>
      <c r="XDP677" s="9"/>
      <c r="XDQ677" s="9"/>
      <c r="XDR677" s="9"/>
      <c r="XDS677" s="9"/>
      <c r="XDT677" s="9"/>
      <c r="XDU677" s="9"/>
      <c r="XDV677" s="9"/>
      <c r="XDW677" s="9"/>
      <c r="XDX677" s="9"/>
      <c r="XDY677" s="9"/>
      <c r="XDZ677" s="9"/>
      <c r="XEA677" s="9"/>
      <c r="XEB677" s="9"/>
      <c r="XEC677" s="9"/>
      <c r="XED677" s="9"/>
      <c r="XEE677" s="9"/>
      <c r="XEF677" s="9"/>
      <c r="XEG677" s="9"/>
      <c r="XEH677" s="9"/>
      <c r="XEI677" s="9"/>
      <c r="XEJ677" s="9"/>
      <c r="XEK677" s="9"/>
      <c r="XEL677" s="9"/>
      <c r="XEM677" s="9"/>
      <c r="XEN677" s="9"/>
      <c r="XEO677" s="9"/>
      <c r="XEP677" s="9"/>
      <c r="XEQ677" s="9"/>
      <c r="XER677" s="9"/>
      <c r="XES677" s="9"/>
      <c r="XET677" s="9"/>
      <c r="XEU677" s="9"/>
      <c r="XEV677" s="9"/>
      <c r="XEW677" s="9"/>
      <c r="XEX677" s="9"/>
      <c r="XEY677" s="9"/>
      <c r="XEZ677" s="9"/>
      <c r="XFA677" s="9"/>
      <c r="XFB677" s="9"/>
      <c r="XFC677" s="9"/>
      <c r="XFD677" s="9"/>
    </row>
    <row r="678" spans="1:8 16325:16384" s="3" customFormat="1" ht="19.95" customHeight="1">
      <c r="A678" s="6" t="str">
        <f t="shared" si="30"/>
        <v>040031</v>
      </c>
      <c r="B678" s="6" t="s">
        <v>22</v>
      </c>
      <c r="C678" s="6" t="s">
        <v>33</v>
      </c>
      <c r="D678" s="6" t="str">
        <f>"512523517"</f>
        <v>512523517</v>
      </c>
      <c r="E678" s="7">
        <v>73.5</v>
      </c>
      <c r="F678" s="7">
        <v>57</v>
      </c>
      <c r="G678" s="7"/>
      <c r="H678" s="7">
        <v>66.900000000000006</v>
      </c>
      <c r="XCW678" s="9"/>
      <c r="XCX678" s="9"/>
      <c r="XCY678" s="9"/>
      <c r="XCZ678" s="9"/>
      <c r="XDA678" s="9"/>
      <c r="XDB678" s="9"/>
      <c r="XDC678" s="9"/>
      <c r="XDD678" s="9"/>
      <c r="XDE678" s="9"/>
      <c r="XDF678" s="9"/>
      <c r="XDG678" s="9"/>
      <c r="XDH678" s="9"/>
      <c r="XDI678" s="9"/>
      <c r="XDJ678" s="9"/>
      <c r="XDK678" s="9"/>
      <c r="XDL678" s="9"/>
      <c r="XDM678" s="9"/>
      <c r="XDN678" s="9"/>
      <c r="XDO678" s="9"/>
      <c r="XDP678" s="9"/>
      <c r="XDQ678" s="9"/>
      <c r="XDR678" s="9"/>
      <c r="XDS678" s="9"/>
      <c r="XDT678" s="9"/>
      <c r="XDU678" s="9"/>
      <c r="XDV678" s="9"/>
      <c r="XDW678" s="9"/>
      <c r="XDX678" s="9"/>
      <c r="XDY678" s="9"/>
      <c r="XDZ678" s="9"/>
      <c r="XEA678" s="9"/>
      <c r="XEB678" s="9"/>
      <c r="XEC678" s="9"/>
      <c r="XED678" s="9"/>
      <c r="XEE678" s="9"/>
      <c r="XEF678" s="9"/>
      <c r="XEG678" s="9"/>
      <c r="XEH678" s="9"/>
      <c r="XEI678" s="9"/>
      <c r="XEJ678" s="9"/>
      <c r="XEK678" s="9"/>
      <c r="XEL678" s="9"/>
      <c r="XEM678" s="9"/>
      <c r="XEN678" s="9"/>
      <c r="XEO678" s="9"/>
      <c r="XEP678" s="9"/>
      <c r="XEQ678" s="9"/>
      <c r="XER678" s="9"/>
      <c r="XES678" s="9"/>
      <c r="XET678" s="9"/>
      <c r="XEU678" s="9"/>
      <c r="XEV678" s="9"/>
      <c r="XEW678" s="9"/>
      <c r="XEX678" s="9"/>
      <c r="XEY678" s="9"/>
      <c r="XEZ678" s="9"/>
      <c r="XFA678" s="9"/>
      <c r="XFB678" s="9"/>
      <c r="XFC678" s="9"/>
      <c r="XFD678" s="9"/>
    </row>
    <row r="679" spans="1:8 16325:16384" s="3" customFormat="1" ht="19.95" customHeight="1">
      <c r="A679" s="6" t="str">
        <f t="shared" si="30"/>
        <v>040031</v>
      </c>
      <c r="B679" s="6" t="s">
        <v>22</v>
      </c>
      <c r="C679" s="6" t="s">
        <v>33</v>
      </c>
      <c r="D679" s="6" t="str">
        <f>"512523522"</f>
        <v>512523522</v>
      </c>
      <c r="E679" s="7">
        <v>43.5</v>
      </c>
      <c r="F679" s="7">
        <v>64</v>
      </c>
      <c r="G679" s="7"/>
      <c r="H679" s="7">
        <v>51.7</v>
      </c>
      <c r="XCW679" s="9"/>
      <c r="XCX679" s="9"/>
      <c r="XCY679" s="9"/>
      <c r="XCZ679" s="9"/>
      <c r="XDA679" s="9"/>
      <c r="XDB679" s="9"/>
      <c r="XDC679" s="9"/>
      <c r="XDD679" s="9"/>
      <c r="XDE679" s="9"/>
      <c r="XDF679" s="9"/>
      <c r="XDG679" s="9"/>
      <c r="XDH679" s="9"/>
      <c r="XDI679" s="9"/>
      <c r="XDJ679" s="9"/>
      <c r="XDK679" s="9"/>
      <c r="XDL679" s="9"/>
      <c r="XDM679" s="9"/>
      <c r="XDN679" s="9"/>
      <c r="XDO679" s="9"/>
      <c r="XDP679" s="9"/>
      <c r="XDQ679" s="9"/>
      <c r="XDR679" s="9"/>
      <c r="XDS679" s="9"/>
      <c r="XDT679" s="9"/>
      <c r="XDU679" s="9"/>
      <c r="XDV679" s="9"/>
      <c r="XDW679" s="9"/>
      <c r="XDX679" s="9"/>
      <c r="XDY679" s="9"/>
      <c r="XDZ679" s="9"/>
      <c r="XEA679" s="9"/>
      <c r="XEB679" s="9"/>
      <c r="XEC679" s="9"/>
      <c r="XED679" s="9"/>
      <c r="XEE679" s="9"/>
      <c r="XEF679" s="9"/>
      <c r="XEG679" s="9"/>
      <c r="XEH679" s="9"/>
      <c r="XEI679" s="9"/>
      <c r="XEJ679" s="9"/>
      <c r="XEK679" s="9"/>
      <c r="XEL679" s="9"/>
      <c r="XEM679" s="9"/>
      <c r="XEN679" s="9"/>
      <c r="XEO679" s="9"/>
      <c r="XEP679" s="9"/>
      <c r="XEQ679" s="9"/>
      <c r="XER679" s="9"/>
      <c r="XES679" s="9"/>
      <c r="XET679" s="9"/>
      <c r="XEU679" s="9"/>
      <c r="XEV679" s="9"/>
      <c r="XEW679" s="9"/>
      <c r="XEX679" s="9"/>
      <c r="XEY679" s="9"/>
      <c r="XEZ679" s="9"/>
      <c r="XFA679" s="9"/>
      <c r="XFB679" s="9"/>
      <c r="XFC679" s="9"/>
      <c r="XFD679" s="9"/>
    </row>
    <row r="680" spans="1:8 16325:16384" s="3" customFormat="1" ht="19.95" customHeight="1">
      <c r="A680" s="6" t="str">
        <f t="shared" si="30"/>
        <v>040031</v>
      </c>
      <c r="B680" s="6" t="s">
        <v>22</v>
      </c>
      <c r="C680" s="6" t="s">
        <v>33</v>
      </c>
      <c r="D680" s="6" t="str">
        <f>"512523512"</f>
        <v>512523512</v>
      </c>
      <c r="E680" s="7">
        <v>80.5</v>
      </c>
      <c r="F680" s="7">
        <v>54</v>
      </c>
      <c r="G680" s="7"/>
      <c r="H680" s="7">
        <v>69.900000000000006</v>
      </c>
      <c r="XCW680" s="9"/>
      <c r="XCX680" s="9"/>
      <c r="XCY680" s="9"/>
      <c r="XCZ680" s="9"/>
      <c r="XDA680" s="9"/>
      <c r="XDB680" s="9"/>
      <c r="XDC680" s="9"/>
      <c r="XDD680" s="9"/>
      <c r="XDE680" s="9"/>
      <c r="XDF680" s="9"/>
      <c r="XDG680" s="9"/>
      <c r="XDH680" s="9"/>
      <c r="XDI680" s="9"/>
      <c r="XDJ680" s="9"/>
      <c r="XDK680" s="9"/>
      <c r="XDL680" s="9"/>
      <c r="XDM680" s="9"/>
      <c r="XDN680" s="9"/>
      <c r="XDO680" s="9"/>
      <c r="XDP680" s="9"/>
      <c r="XDQ680" s="9"/>
      <c r="XDR680" s="9"/>
      <c r="XDS680" s="9"/>
      <c r="XDT680" s="9"/>
      <c r="XDU680" s="9"/>
      <c r="XDV680" s="9"/>
      <c r="XDW680" s="9"/>
      <c r="XDX680" s="9"/>
      <c r="XDY680" s="9"/>
      <c r="XDZ680" s="9"/>
      <c r="XEA680" s="9"/>
      <c r="XEB680" s="9"/>
      <c r="XEC680" s="9"/>
      <c r="XED680" s="9"/>
      <c r="XEE680" s="9"/>
      <c r="XEF680" s="9"/>
      <c r="XEG680" s="9"/>
      <c r="XEH680" s="9"/>
      <c r="XEI680" s="9"/>
      <c r="XEJ680" s="9"/>
      <c r="XEK680" s="9"/>
      <c r="XEL680" s="9"/>
      <c r="XEM680" s="9"/>
      <c r="XEN680" s="9"/>
      <c r="XEO680" s="9"/>
      <c r="XEP680" s="9"/>
      <c r="XEQ680" s="9"/>
      <c r="XER680" s="9"/>
      <c r="XES680" s="9"/>
      <c r="XET680" s="9"/>
      <c r="XEU680" s="9"/>
      <c r="XEV680" s="9"/>
      <c r="XEW680" s="9"/>
      <c r="XEX680" s="9"/>
      <c r="XEY680" s="9"/>
      <c r="XEZ680" s="9"/>
      <c r="XFA680" s="9"/>
      <c r="XFB680" s="9"/>
      <c r="XFC680" s="9"/>
      <c r="XFD680" s="9"/>
    </row>
    <row r="681" spans="1:8 16325:16384" s="3" customFormat="1" ht="19.95" customHeight="1">
      <c r="A681" s="6" t="str">
        <f t="shared" si="30"/>
        <v>040031</v>
      </c>
      <c r="B681" s="6" t="s">
        <v>22</v>
      </c>
      <c r="C681" s="6" t="s">
        <v>33</v>
      </c>
      <c r="D681" s="6" t="str">
        <f>"512523519"</f>
        <v>512523519</v>
      </c>
      <c r="E681" s="7">
        <v>55</v>
      </c>
      <c r="F681" s="7">
        <v>67</v>
      </c>
      <c r="G681" s="7"/>
      <c r="H681" s="7">
        <v>59.8</v>
      </c>
      <c r="XCW681" s="9"/>
      <c r="XCX681" s="9"/>
      <c r="XCY681" s="9"/>
      <c r="XCZ681" s="9"/>
      <c r="XDA681" s="9"/>
      <c r="XDB681" s="9"/>
      <c r="XDC681" s="9"/>
      <c r="XDD681" s="9"/>
      <c r="XDE681" s="9"/>
      <c r="XDF681" s="9"/>
      <c r="XDG681" s="9"/>
      <c r="XDH681" s="9"/>
      <c r="XDI681" s="9"/>
      <c r="XDJ681" s="9"/>
      <c r="XDK681" s="9"/>
      <c r="XDL681" s="9"/>
      <c r="XDM681" s="9"/>
      <c r="XDN681" s="9"/>
      <c r="XDO681" s="9"/>
      <c r="XDP681" s="9"/>
      <c r="XDQ681" s="9"/>
      <c r="XDR681" s="9"/>
      <c r="XDS681" s="9"/>
      <c r="XDT681" s="9"/>
      <c r="XDU681" s="9"/>
      <c r="XDV681" s="9"/>
      <c r="XDW681" s="9"/>
      <c r="XDX681" s="9"/>
      <c r="XDY681" s="9"/>
      <c r="XDZ681" s="9"/>
      <c r="XEA681" s="9"/>
      <c r="XEB681" s="9"/>
      <c r="XEC681" s="9"/>
      <c r="XED681" s="9"/>
      <c r="XEE681" s="9"/>
      <c r="XEF681" s="9"/>
      <c r="XEG681" s="9"/>
      <c r="XEH681" s="9"/>
      <c r="XEI681" s="9"/>
      <c r="XEJ681" s="9"/>
      <c r="XEK681" s="9"/>
      <c r="XEL681" s="9"/>
      <c r="XEM681" s="9"/>
      <c r="XEN681" s="9"/>
      <c r="XEO681" s="9"/>
      <c r="XEP681" s="9"/>
      <c r="XEQ681" s="9"/>
      <c r="XER681" s="9"/>
      <c r="XES681" s="9"/>
      <c r="XET681" s="9"/>
      <c r="XEU681" s="9"/>
      <c r="XEV681" s="9"/>
      <c r="XEW681" s="9"/>
      <c r="XEX681" s="9"/>
      <c r="XEY681" s="9"/>
      <c r="XEZ681" s="9"/>
      <c r="XFA681" s="9"/>
      <c r="XFB681" s="9"/>
      <c r="XFC681" s="9"/>
      <c r="XFD681" s="9"/>
    </row>
    <row r="682" spans="1:8 16325:16384" s="3" customFormat="1" ht="19.95" customHeight="1">
      <c r="A682" s="6" t="str">
        <f t="shared" si="30"/>
        <v>040031</v>
      </c>
      <c r="B682" s="6" t="s">
        <v>22</v>
      </c>
      <c r="C682" s="6" t="s">
        <v>33</v>
      </c>
      <c r="D682" s="6" t="str">
        <f>"512523516"</f>
        <v>512523516</v>
      </c>
      <c r="E682" s="7">
        <v>60.5</v>
      </c>
      <c r="F682" s="7">
        <v>62</v>
      </c>
      <c r="G682" s="7"/>
      <c r="H682" s="7">
        <v>61.1</v>
      </c>
      <c r="XCW682" s="9"/>
      <c r="XCX682" s="9"/>
      <c r="XCY682" s="9"/>
      <c r="XCZ682" s="9"/>
      <c r="XDA682" s="9"/>
      <c r="XDB682" s="9"/>
      <c r="XDC682" s="9"/>
      <c r="XDD682" s="9"/>
      <c r="XDE682" s="9"/>
      <c r="XDF682" s="9"/>
      <c r="XDG682" s="9"/>
      <c r="XDH682" s="9"/>
      <c r="XDI682" s="9"/>
      <c r="XDJ682" s="9"/>
      <c r="XDK682" s="9"/>
      <c r="XDL682" s="9"/>
      <c r="XDM682" s="9"/>
      <c r="XDN682" s="9"/>
      <c r="XDO682" s="9"/>
      <c r="XDP682" s="9"/>
      <c r="XDQ682" s="9"/>
      <c r="XDR682" s="9"/>
      <c r="XDS682" s="9"/>
      <c r="XDT682" s="9"/>
      <c r="XDU682" s="9"/>
      <c r="XDV682" s="9"/>
      <c r="XDW682" s="9"/>
      <c r="XDX682" s="9"/>
      <c r="XDY682" s="9"/>
      <c r="XDZ682" s="9"/>
      <c r="XEA682" s="9"/>
      <c r="XEB682" s="9"/>
      <c r="XEC682" s="9"/>
      <c r="XED682" s="9"/>
      <c r="XEE682" s="9"/>
      <c r="XEF682" s="9"/>
      <c r="XEG682" s="9"/>
      <c r="XEH682" s="9"/>
      <c r="XEI682" s="9"/>
      <c r="XEJ682" s="9"/>
      <c r="XEK682" s="9"/>
      <c r="XEL682" s="9"/>
      <c r="XEM682" s="9"/>
      <c r="XEN682" s="9"/>
      <c r="XEO682" s="9"/>
      <c r="XEP682" s="9"/>
      <c r="XEQ682" s="9"/>
      <c r="XER682" s="9"/>
      <c r="XES682" s="9"/>
      <c r="XET682" s="9"/>
      <c r="XEU682" s="9"/>
      <c r="XEV682" s="9"/>
      <c r="XEW682" s="9"/>
      <c r="XEX682" s="9"/>
      <c r="XEY682" s="9"/>
      <c r="XEZ682" s="9"/>
      <c r="XFA682" s="9"/>
      <c r="XFB682" s="9"/>
      <c r="XFC682" s="9"/>
      <c r="XFD682" s="9"/>
    </row>
    <row r="683" spans="1:8 16325:16384" s="3" customFormat="1" ht="19.95" customHeight="1">
      <c r="A683" s="6" t="str">
        <f t="shared" si="30"/>
        <v>040031</v>
      </c>
      <c r="B683" s="6" t="s">
        <v>22</v>
      </c>
      <c r="C683" s="6" t="s">
        <v>33</v>
      </c>
      <c r="D683" s="6" t="str">
        <f>"512523511"</f>
        <v>512523511</v>
      </c>
      <c r="E683" s="7">
        <v>0</v>
      </c>
      <c r="F683" s="7">
        <v>0</v>
      </c>
      <c r="G683" s="7"/>
      <c r="H683" s="7">
        <v>0</v>
      </c>
      <c r="XCW683" s="9"/>
      <c r="XCX683" s="9"/>
      <c r="XCY683" s="9"/>
      <c r="XCZ683" s="9"/>
      <c r="XDA683" s="9"/>
      <c r="XDB683" s="9"/>
      <c r="XDC683" s="9"/>
      <c r="XDD683" s="9"/>
      <c r="XDE683" s="9"/>
      <c r="XDF683" s="9"/>
      <c r="XDG683" s="9"/>
      <c r="XDH683" s="9"/>
      <c r="XDI683" s="9"/>
      <c r="XDJ683" s="9"/>
      <c r="XDK683" s="9"/>
      <c r="XDL683" s="9"/>
      <c r="XDM683" s="9"/>
      <c r="XDN683" s="9"/>
      <c r="XDO683" s="9"/>
      <c r="XDP683" s="9"/>
      <c r="XDQ683" s="9"/>
      <c r="XDR683" s="9"/>
      <c r="XDS683" s="9"/>
      <c r="XDT683" s="9"/>
      <c r="XDU683" s="9"/>
      <c r="XDV683" s="9"/>
      <c r="XDW683" s="9"/>
      <c r="XDX683" s="9"/>
      <c r="XDY683" s="9"/>
      <c r="XDZ683" s="9"/>
      <c r="XEA683" s="9"/>
      <c r="XEB683" s="9"/>
      <c r="XEC683" s="9"/>
      <c r="XED683" s="9"/>
      <c r="XEE683" s="9"/>
      <c r="XEF683" s="9"/>
      <c r="XEG683" s="9"/>
      <c r="XEH683" s="9"/>
      <c r="XEI683" s="9"/>
      <c r="XEJ683" s="9"/>
      <c r="XEK683" s="9"/>
      <c r="XEL683" s="9"/>
      <c r="XEM683" s="9"/>
      <c r="XEN683" s="9"/>
      <c r="XEO683" s="9"/>
      <c r="XEP683" s="9"/>
      <c r="XEQ683" s="9"/>
      <c r="XER683" s="9"/>
      <c r="XES683" s="9"/>
      <c r="XET683" s="9"/>
      <c r="XEU683" s="9"/>
      <c r="XEV683" s="9"/>
      <c r="XEW683" s="9"/>
      <c r="XEX683" s="9"/>
      <c r="XEY683" s="9"/>
      <c r="XEZ683" s="9"/>
      <c r="XFA683" s="9"/>
      <c r="XFB683" s="9"/>
      <c r="XFC683" s="9"/>
      <c r="XFD683" s="9"/>
    </row>
    <row r="684" spans="1:8 16325:16384" s="3" customFormat="1" ht="19.95" customHeight="1">
      <c r="A684" s="6" t="str">
        <f t="shared" si="30"/>
        <v>040031</v>
      </c>
      <c r="B684" s="6" t="s">
        <v>22</v>
      </c>
      <c r="C684" s="6" t="s">
        <v>33</v>
      </c>
      <c r="D684" s="6" t="str">
        <f>"512523524"</f>
        <v>512523524</v>
      </c>
      <c r="E684" s="7">
        <v>74</v>
      </c>
      <c r="F684" s="7">
        <v>63</v>
      </c>
      <c r="G684" s="7"/>
      <c r="H684" s="7">
        <v>69.599999999999994</v>
      </c>
      <c r="XCW684" s="9"/>
      <c r="XCX684" s="9"/>
      <c r="XCY684" s="9"/>
      <c r="XCZ684" s="9"/>
      <c r="XDA684" s="9"/>
      <c r="XDB684" s="9"/>
      <c r="XDC684" s="9"/>
      <c r="XDD684" s="9"/>
      <c r="XDE684" s="9"/>
      <c r="XDF684" s="9"/>
      <c r="XDG684" s="9"/>
      <c r="XDH684" s="9"/>
      <c r="XDI684" s="9"/>
      <c r="XDJ684" s="9"/>
      <c r="XDK684" s="9"/>
      <c r="XDL684" s="9"/>
      <c r="XDM684" s="9"/>
      <c r="XDN684" s="9"/>
      <c r="XDO684" s="9"/>
      <c r="XDP684" s="9"/>
      <c r="XDQ684" s="9"/>
      <c r="XDR684" s="9"/>
      <c r="XDS684" s="9"/>
      <c r="XDT684" s="9"/>
      <c r="XDU684" s="9"/>
      <c r="XDV684" s="9"/>
      <c r="XDW684" s="9"/>
      <c r="XDX684" s="9"/>
      <c r="XDY684" s="9"/>
      <c r="XDZ684" s="9"/>
      <c r="XEA684" s="9"/>
      <c r="XEB684" s="9"/>
      <c r="XEC684" s="9"/>
      <c r="XED684" s="9"/>
      <c r="XEE684" s="9"/>
      <c r="XEF684" s="9"/>
      <c r="XEG684" s="9"/>
      <c r="XEH684" s="9"/>
      <c r="XEI684" s="9"/>
      <c r="XEJ684" s="9"/>
      <c r="XEK684" s="9"/>
      <c r="XEL684" s="9"/>
      <c r="XEM684" s="9"/>
      <c r="XEN684" s="9"/>
      <c r="XEO684" s="9"/>
      <c r="XEP684" s="9"/>
      <c r="XEQ684" s="9"/>
      <c r="XER684" s="9"/>
      <c r="XES684" s="9"/>
      <c r="XET684" s="9"/>
      <c r="XEU684" s="9"/>
      <c r="XEV684" s="9"/>
      <c r="XEW684" s="9"/>
      <c r="XEX684" s="9"/>
      <c r="XEY684" s="9"/>
      <c r="XEZ684" s="9"/>
      <c r="XFA684" s="9"/>
      <c r="XFB684" s="9"/>
      <c r="XFC684" s="9"/>
      <c r="XFD684" s="9"/>
    </row>
    <row r="685" spans="1:8 16325:16384" s="3" customFormat="1" ht="19.95" customHeight="1">
      <c r="A685" s="6" t="str">
        <f t="shared" ref="A685:A706" si="31">"040032"</f>
        <v>040032</v>
      </c>
      <c r="B685" s="6" t="s">
        <v>25</v>
      </c>
      <c r="C685" s="6" t="s">
        <v>33</v>
      </c>
      <c r="D685" s="6" t="str">
        <f>"512627422"</f>
        <v>512627422</v>
      </c>
      <c r="E685" s="7">
        <v>97</v>
      </c>
      <c r="F685" s="7">
        <v>77</v>
      </c>
      <c r="G685" s="7"/>
      <c r="H685" s="7">
        <v>89</v>
      </c>
      <c r="XCW685" s="9"/>
      <c r="XCX685" s="9"/>
      <c r="XCY685" s="9"/>
      <c r="XCZ685" s="9"/>
      <c r="XDA685" s="9"/>
      <c r="XDB685" s="9"/>
      <c r="XDC685" s="9"/>
      <c r="XDD685" s="9"/>
      <c r="XDE685" s="9"/>
      <c r="XDF685" s="9"/>
      <c r="XDG685" s="9"/>
      <c r="XDH685" s="9"/>
      <c r="XDI685" s="9"/>
      <c r="XDJ685" s="9"/>
      <c r="XDK685" s="9"/>
      <c r="XDL685" s="9"/>
      <c r="XDM685" s="9"/>
      <c r="XDN685" s="9"/>
      <c r="XDO685" s="9"/>
      <c r="XDP685" s="9"/>
      <c r="XDQ685" s="9"/>
      <c r="XDR685" s="9"/>
      <c r="XDS685" s="9"/>
      <c r="XDT685" s="9"/>
      <c r="XDU685" s="9"/>
      <c r="XDV685" s="9"/>
      <c r="XDW685" s="9"/>
      <c r="XDX685" s="9"/>
      <c r="XDY685" s="9"/>
      <c r="XDZ685" s="9"/>
      <c r="XEA685" s="9"/>
      <c r="XEB685" s="9"/>
      <c r="XEC685" s="9"/>
      <c r="XED685" s="9"/>
      <c r="XEE685" s="9"/>
      <c r="XEF685" s="9"/>
      <c r="XEG685" s="9"/>
      <c r="XEH685" s="9"/>
      <c r="XEI685" s="9"/>
      <c r="XEJ685" s="9"/>
      <c r="XEK685" s="9"/>
      <c r="XEL685" s="9"/>
      <c r="XEM685" s="9"/>
      <c r="XEN685" s="9"/>
      <c r="XEO685" s="9"/>
      <c r="XEP685" s="9"/>
      <c r="XEQ685" s="9"/>
      <c r="XER685" s="9"/>
      <c r="XES685" s="9"/>
      <c r="XET685" s="9"/>
      <c r="XEU685" s="9"/>
      <c r="XEV685" s="9"/>
      <c r="XEW685" s="9"/>
      <c r="XEX685" s="9"/>
      <c r="XEY685" s="9"/>
      <c r="XEZ685" s="9"/>
      <c r="XFA685" s="9"/>
      <c r="XFB685" s="9"/>
      <c r="XFC685" s="9"/>
      <c r="XFD685" s="9"/>
    </row>
    <row r="686" spans="1:8 16325:16384" s="3" customFormat="1" ht="19.95" customHeight="1">
      <c r="A686" s="6" t="str">
        <f t="shared" si="31"/>
        <v>040032</v>
      </c>
      <c r="B686" s="6" t="s">
        <v>25</v>
      </c>
      <c r="C686" s="6" t="s">
        <v>33</v>
      </c>
      <c r="D686" s="6" t="str">
        <f>"512627420"</f>
        <v>512627420</v>
      </c>
      <c r="E686" s="7">
        <v>79.5</v>
      </c>
      <c r="F686" s="7">
        <v>68</v>
      </c>
      <c r="G686" s="7"/>
      <c r="H686" s="7">
        <v>74.900000000000006</v>
      </c>
      <c r="XCW686" s="9"/>
      <c r="XCX686" s="9"/>
      <c r="XCY686" s="9"/>
      <c r="XCZ686" s="9"/>
      <c r="XDA686" s="9"/>
      <c r="XDB686" s="9"/>
      <c r="XDC686" s="9"/>
      <c r="XDD686" s="9"/>
      <c r="XDE686" s="9"/>
      <c r="XDF686" s="9"/>
      <c r="XDG686" s="9"/>
      <c r="XDH686" s="9"/>
      <c r="XDI686" s="9"/>
      <c r="XDJ686" s="9"/>
      <c r="XDK686" s="9"/>
      <c r="XDL686" s="9"/>
      <c r="XDM686" s="9"/>
      <c r="XDN686" s="9"/>
      <c r="XDO686" s="9"/>
      <c r="XDP686" s="9"/>
      <c r="XDQ686" s="9"/>
      <c r="XDR686" s="9"/>
      <c r="XDS686" s="9"/>
      <c r="XDT686" s="9"/>
      <c r="XDU686" s="9"/>
      <c r="XDV686" s="9"/>
      <c r="XDW686" s="9"/>
      <c r="XDX686" s="9"/>
      <c r="XDY686" s="9"/>
      <c r="XDZ686" s="9"/>
      <c r="XEA686" s="9"/>
      <c r="XEB686" s="9"/>
      <c r="XEC686" s="9"/>
      <c r="XED686" s="9"/>
      <c r="XEE686" s="9"/>
      <c r="XEF686" s="9"/>
      <c r="XEG686" s="9"/>
      <c r="XEH686" s="9"/>
      <c r="XEI686" s="9"/>
      <c r="XEJ686" s="9"/>
      <c r="XEK686" s="9"/>
      <c r="XEL686" s="9"/>
      <c r="XEM686" s="9"/>
      <c r="XEN686" s="9"/>
      <c r="XEO686" s="9"/>
      <c r="XEP686" s="9"/>
      <c r="XEQ686" s="9"/>
      <c r="XER686" s="9"/>
      <c r="XES686" s="9"/>
      <c r="XET686" s="9"/>
      <c r="XEU686" s="9"/>
      <c r="XEV686" s="9"/>
      <c r="XEW686" s="9"/>
      <c r="XEX686" s="9"/>
      <c r="XEY686" s="9"/>
      <c r="XEZ686" s="9"/>
      <c r="XFA686" s="9"/>
      <c r="XFB686" s="9"/>
      <c r="XFC686" s="9"/>
      <c r="XFD686" s="9"/>
    </row>
    <row r="687" spans="1:8 16325:16384" s="3" customFormat="1" ht="19.95" customHeight="1">
      <c r="A687" s="6" t="str">
        <f t="shared" si="31"/>
        <v>040032</v>
      </c>
      <c r="B687" s="6" t="s">
        <v>25</v>
      </c>
      <c r="C687" s="6" t="s">
        <v>33</v>
      </c>
      <c r="D687" s="6" t="str">
        <f>"512627424"</f>
        <v>512627424</v>
      </c>
      <c r="E687" s="7">
        <v>0</v>
      </c>
      <c r="F687" s="7">
        <v>0</v>
      </c>
      <c r="G687" s="7"/>
      <c r="H687" s="7">
        <v>0</v>
      </c>
      <c r="XCW687" s="9"/>
      <c r="XCX687" s="9"/>
      <c r="XCY687" s="9"/>
      <c r="XCZ687" s="9"/>
      <c r="XDA687" s="9"/>
      <c r="XDB687" s="9"/>
      <c r="XDC687" s="9"/>
      <c r="XDD687" s="9"/>
      <c r="XDE687" s="9"/>
      <c r="XDF687" s="9"/>
      <c r="XDG687" s="9"/>
      <c r="XDH687" s="9"/>
      <c r="XDI687" s="9"/>
      <c r="XDJ687" s="9"/>
      <c r="XDK687" s="9"/>
      <c r="XDL687" s="9"/>
      <c r="XDM687" s="9"/>
      <c r="XDN687" s="9"/>
      <c r="XDO687" s="9"/>
      <c r="XDP687" s="9"/>
      <c r="XDQ687" s="9"/>
      <c r="XDR687" s="9"/>
      <c r="XDS687" s="9"/>
      <c r="XDT687" s="9"/>
      <c r="XDU687" s="9"/>
      <c r="XDV687" s="9"/>
      <c r="XDW687" s="9"/>
      <c r="XDX687" s="9"/>
      <c r="XDY687" s="9"/>
      <c r="XDZ687" s="9"/>
      <c r="XEA687" s="9"/>
      <c r="XEB687" s="9"/>
      <c r="XEC687" s="9"/>
      <c r="XED687" s="9"/>
      <c r="XEE687" s="9"/>
      <c r="XEF687" s="9"/>
      <c r="XEG687" s="9"/>
      <c r="XEH687" s="9"/>
      <c r="XEI687" s="9"/>
      <c r="XEJ687" s="9"/>
      <c r="XEK687" s="9"/>
      <c r="XEL687" s="9"/>
      <c r="XEM687" s="9"/>
      <c r="XEN687" s="9"/>
      <c r="XEO687" s="9"/>
      <c r="XEP687" s="9"/>
      <c r="XEQ687" s="9"/>
      <c r="XER687" s="9"/>
      <c r="XES687" s="9"/>
      <c r="XET687" s="9"/>
      <c r="XEU687" s="9"/>
      <c r="XEV687" s="9"/>
      <c r="XEW687" s="9"/>
      <c r="XEX687" s="9"/>
      <c r="XEY687" s="9"/>
      <c r="XEZ687" s="9"/>
      <c r="XFA687" s="9"/>
      <c r="XFB687" s="9"/>
      <c r="XFC687" s="9"/>
      <c r="XFD687" s="9"/>
    </row>
    <row r="688" spans="1:8 16325:16384" s="3" customFormat="1" ht="19.95" customHeight="1">
      <c r="A688" s="6" t="str">
        <f t="shared" si="31"/>
        <v>040032</v>
      </c>
      <c r="B688" s="6" t="s">
        <v>25</v>
      </c>
      <c r="C688" s="6" t="s">
        <v>33</v>
      </c>
      <c r="D688" s="6" t="str">
        <f>"512627507"</f>
        <v>512627507</v>
      </c>
      <c r="E688" s="7">
        <v>100</v>
      </c>
      <c r="F688" s="7">
        <v>75.5</v>
      </c>
      <c r="G688" s="7"/>
      <c r="H688" s="7">
        <v>90.2</v>
      </c>
      <c r="XCW688" s="9"/>
      <c r="XCX688" s="9"/>
      <c r="XCY688" s="9"/>
      <c r="XCZ688" s="9"/>
      <c r="XDA688" s="9"/>
      <c r="XDB688" s="9"/>
      <c r="XDC688" s="9"/>
      <c r="XDD688" s="9"/>
      <c r="XDE688" s="9"/>
      <c r="XDF688" s="9"/>
      <c r="XDG688" s="9"/>
      <c r="XDH688" s="9"/>
      <c r="XDI688" s="9"/>
      <c r="XDJ688" s="9"/>
      <c r="XDK688" s="9"/>
      <c r="XDL688" s="9"/>
      <c r="XDM688" s="9"/>
      <c r="XDN688" s="9"/>
      <c r="XDO688" s="9"/>
      <c r="XDP688" s="9"/>
      <c r="XDQ688" s="9"/>
      <c r="XDR688" s="9"/>
      <c r="XDS688" s="9"/>
      <c r="XDT688" s="9"/>
      <c r="XDU688" s="9"/>
      <c r="XDV688" s="9"/>
      <c r="XDW688" s="9"/>
      <c r="XDX688" s="9"/>
      <c r="XDY688" s="9"/>
      <c r="XDZ688" s="9"/>
      <c r="XEA688" s="9"/>
      <c r="XEB688" s="9"/>
      <c r="XEC688" s="9"/>
      <c r="XED688" s="9"/>
      <c r="XEE688" s="9"/>
      <c r="XEF688" s="9"/>
      <c r="XEG688" s="9"/>
      <c r="XEH688" s="9"/>
      <c r="XEI688" s="9"/>
      <c r="XEJ688" s="9"/>
      <c r="XEK688" s="9"/>
      <c r="XEL688" s="9"/>
      <c r="XEM688" s="9"/>
      <c r="XEN688" s="9"/>
      <c r="XEO688" s="9"/>
      <c r="XEP688" s="9"/>
      <c r="XEQ688" s="9"/>
      <c r="XER688" s="9"/>
      <c r="XES688" s="9"/>
      <c r="XET688" s="9"/>
      <c r="XEU688" s="9"/>
      <c r="XEV688" s="9"/>
      <c r="XEW688" s="9"/>
      <c r="XEX688" s="9"/>
      <c r="XEY688" s="9"/>
      <c r="XEZ688" s="9"/>
      <c r="XFA688" s="9"/>
      <c r="XFB688" s="9"/>
      <c r="XFC688" s="9"/>
      <c r="XFD688" s="9"/>
    </row>
    <row r="689" spans="1:8 16325:16384" s="3" customFormat="1" ht="19.95" customHeight="1">
      <c r="A689" s="6" t="str">
        <f t="shared" si="31"/>
        <v>040032</v>
      </c>
      <c r="B689" s="6" t="s">
        <v>25</v>
      </c>
      <c r="C689" s="6" t="s">
        <v>33</v>
      </c>
      <c r="D689" s="6" t="str">
        <f>"512627506"</f>
        <v>512627506</v>
      </c>
      <c r="E689" s="7">
        <v>96.5</v>
      </c>
      <c r="F689" s="7">
        <v>84.5</v>
      </c>
      <c r="G689" s="7"/>
      <c r="H689" s="7">
        <v>91.7</v>
      </c>
      <c r="XCW689" s="9"/>
      <c r="XCX689" s="9"/>
      <c r="XCY689" s="9"/>
      <c r="XCZ689" s="9"/>
      <c r="XDA689" s="9"/>
      <c r="XDB689" s="9"/>
      <c r="XDC689" s="9"/>
      <c r="XDD689" s="9"/>
      <c r="XDE689" s="9"/>
      <c r="XDF689" s="9"/>
      <c r="XDG689" s="9"/>
      <c r="XDH689" s="9"/>
      <c r="XDI689" s="9"/>
      <c r="XDJ689" s="9"/>
      <c r="XDK689" s="9"/>
      <c r="XDL689" s="9"/>
      <c r="XDM689" s="9"/>
      <c r="XDN689" s="9"/>
      <c r="XDO689" s="9"/>
      <c r="XDP689" s="9"/>
      <c r="XDQ689" s="9"/>
      <c r="XDR689" s="9"/>
      <c r="XDS689" s="9"/>
      <c r="XDT689" s="9"/>
      <c r="XDU689" s="9"/>
      <c r="XDV689" s="9"/>
      <c r="XDW689" s="9"/>
      <c r="XDX689" s="9"/>
      <c r="XDY689" s="9"/>
      <c r="XDZ689" s="9"/>
      <c r="XEA689" s="9"/>
      <c r="XEB689" s="9"/>
      <c r="XEC689" s="9"/>
      <c r="XED689" s="9"/>
      <c r="XEE689" s="9"/>
      <c r="XEF689" s="9"/>
      <c r="XEG689" s="9"/>
      <c r="XEH689" s="9"/>
      <c r="XEI689" s="9"/>
      <c r="XEJ689" s="9"/>
      <c r="XEK689" s="9"/>
      <c r="XEL689" s="9"/>
      <c r="XEM689" s="9"/>
      <c r="XEN689" s="9"/>
      <c r="XEO689" s="9"/>
      <c r="XEP689" s="9"/>
      <c r="XEQ689" s="9"/>
      <c r="XER689" s="9"/>
      <c r="XES689" s="9"/>
      <c r="XET689" s="9"/>
      <c r="XEU689" s="9"/>
      <c r="XEV689" s="9"/>
      <c r="XEW689" s="9"/>
      <c r="XEX689" s="9"/>
      <c r="XEY689" s="9"/>
      <c r="XEZ689" s="9"/>
      <c r="XFA689" s="9"/>
      <c r="XFB689" s="9"/>
      <c r="XFC689" s="9"/>
      <c r="XFD689" s="9"/>
    </row>
    <row r="690" spans="1:8 16325:16384" s="3" customFormat="1" ht="19.95" customHeight="1">
      <c r="A690" s="6" t="str">
        <f t="shared" si="31"/>
        <v>040032</v>
      </c>
      <c r="B690" s="6" t="s">
        <v>25</v>
      </c>
      <c r="C690" s="6" t="s">
        <v>33</v>
      </c>
      <c r="D690" s="6" t="str">
        <f>"512627429"</f>
        <v>512627429</v>
      </c>
      <c r="E690" s="7">
        <v>90.5</v>
      </c>
      <c r="F690" s="7">
        <v>73.5</v>
      </c>
      <c r="G690" s="7"/>
      <c r="H690" s="7">
        <v>83.7</v>
      </c>
      <c r="XCW690" s="9"/>
      <c r="XCX690" s="9"/>
      <c r="XCY690" s="9"/>
      <c r="XCZ690" s="9"/>
      <c r="XDA690" s="9"/>
      <c r="XDB690" s="9"/>
      <c r="XDC690" s="9"/>
      <c r="XDD690" s="9"/>
      <c r="XDE690" s="9"/>
      <c r="XDF690" s="9"/>
      <c r="XDG690" s="9"/>
      <c r="XDH690" s="9"/>
      <c r="XDI690" s="9"/>
      <c r="XDJ690" s="9"/>
      <c r="XDK690" s="9"/>
      <c r="XDL690" s="9"/>
      <c r="XDM690" s="9"/>
      <c r="XDN690" s="9"/>
      <c r="XDO690" s="9"/>
      <c r="XDP690" s="9"/>
      <c r="XDQ690" s="9"/>
      <c r="XDR690" s="9"/>
      <c r="XDS690" s="9"/>
      <c r="XDT690" s="9"/>
      <c r="XDU690" s="9"/>
      <c r="XDV690" s="9"/>
      <c r="XDW690" s="9"/>
      <c r="XDX690" s="9"/>
      <c r="XDY690" s="9"/>
      <c r="XDZ690" s="9"/>
      <c r="XEA690" s="9"/>
      <c r="XEB690" s="9"/>
      <c r="XEC690" s="9"/>
      <c r="XED690" s="9"/>
      <c r="XEE690" s="9"/>
      <c r="XEF690" s="9"/>
      <c r="XEG690" s="9"/>
      <c r="XEH690" s="9"/>
      <c r="XEI690" s="9"/>
      <c r="XEJ690" s="9"/>
      <c r="XEK690" s="9"/>
      <c r="XEL690" s="9"/>
      <c r="XEM690" s="9"/>
      <c r="XEN690" s="9"/>
      <c r="XEO690" s="9"/>
      <c r="XEP690" s="9"/>
      <c r="XEQ690" s="9"/>
      <c r="XER690" s="9"/>
      <c r="XES690" s="9"/>
      <c r="XET690" s="9"/>
      <c r="XEU690" s="9"/>
      <c r="XEV690" s="9"/>
      <c r="XEW690" s="9"/>
      <c r="XEX690" s="9"/>
      <c r="XEY690" s="9"/>
      <c r="XEZ690" s="9"/>
      <c r="XFA690" s="9"/>
      <c r="XFB690" s="9"/>
      <c r="XFC690" s="9"/>
      <c r="XFD690" s="9"/>
    </row>
    <row r="691" spans="1:8 16325:16384" s="3" customFormat="1" ht="19.95" customHeight="1">
      <c r="A691" s="6" t="str">
        <f t="shared" si="31"/>
        <v>040032</v>
      </c>
      <c r="B691" s="6" t="s">
        <v>25</v>
      </c>
      <c r="C691" s="6" t="s">
        <v>33</v>
      </c>
      <c r="D691" s="6" t="str">
        <f>"512627419"</f>
        <v>512627419</v>
      </c>
      <c r="E691" s="7">
        <v>84.5</v>
      </c>
      <c r="F691" s="7">
        <v>59.5</v>
      </c>
      <c r="G691" s="7"/>
      <c r="H691" s="7">
        <v>74.5</v>
      </c>
      <c r="XCW691" s="9"/>
      <c r="XCX691" s="9"/>
      <c r="XCY691" s="9"/>
      <c r="XCZ691" s="9"/>
      <c r="XDA691" s="9"/>
      <c r="XDB691" s="9"/>
      <c r="XDC691" s="9"/>
      <c r="XDD691" s="9"/>
      <c r="XDE691" s="9"/>
      <c r="XDF691" s="9"/>
      <c r="XDG691" s="9"/>
      <c r="XDH691" s="9"/>
      <c r="XDI691" s="9"/>
      <c r="XDJ691" s="9"/>
      <c r="XDK691" s="9"/>
      <c r="XDL691" s="9"/>
      <c r="XDM691" s="9"/>
      <c r="XDN691" s="9"/>
      <c r="XDO691" s="9"/>
      <c r="XDP691" s="9"/>
      <c r="XDQ691" s="9"/>
      <c r="XDR691" s="9"/>
      <c r="XDS691" s="9"/>
      <c r="XDT691" s="9"/>
      <c r="XDU691" s="9"/>
      <c r="XDV691" s="9"/>
      <c r="XDW691" s="9"/>
      <c r="XDX691" s="9"/>
      <c r="XDY691" s="9"/>
      <c r="XDZ691" s="9"/>
      <c r="XEA691" s="9"/>
      <c r="XEB691" s="9"/>
      <c r="XEC691" s="9"/>
      <c r="XED691" s="9"/>
      <c r="XEE691" s="9"/>
      <c r="XEF691" s="9"/>
      <c r="XEG691" s="9"/>
      <c r="XEH691" s="9"/>
      <c r="XEI691" s="9"/>
      <c r="XEJ691" s="9"/>
      <c r="XEK691" s="9"/>
      <c r="XEL691" s="9"/>
      <c r="XEM691" s="9"/>
      <c r="XEN691" s="9"/>
      <c r="XEO691" s="9"/>
      <c r="XEP691" s="9"/>
      <c r="XEQ691" s="9"/>
      <c r="XER691" s="9"/>
      <c r="XES691" s="9"/>
      <c r="XET691" s="9"/>
      <c r="XEU691" s="9"/>
      <c r="XEV691" s="9"/>
      <c r="XEW691" s="9"/>
      <c r="XEX691" s="9"/>
      <c r="XEY691" s="9"/>
      <c r="XEZ691" s="9"/>
      <c r="XFA691" s="9"/>
      <c r="XFB691" s="9"/>
      <c r="XFC691" s="9"/>
      <c r="XFD691" s="9"/>
    </row>
    <row r="692" spans="1:8 16325:16384" s="3" customFormat="1" ht="19.95" customHeight="1">
      <c r="A692" s="6" t="str">
        <f t="shared" si="31"/>
        <v>040032</v>
      </c>
      <c r="B692" s="6" t="s">
        <v>25</v>
      </c>
      <c r="C692" s="6" t="s">
        <v>33</v>
      </c>
      <c r="D692" s="6" t="str">
        <f>"512627509"</f>
        <v>512627509</v>
      </c>
      <c r="E692" s="7">
        <v>92.5</v>
      </c>
      <c r="F692" s="7">
        <v>82</v>
      </c>
      <c r="G692" s="7"/>
      <c r="H692" s="7">
        <v>88.3</v>
      </c>
      <c r="XCW692" s="9"/>
      <c r="XCX692" s="9"/>
      <c r="XCY692" s="9"/>
      <c r="XCZ692" s="9"/>
      <c r="XDA692" s="9"/>
      <c r="XDB692" s="9"/>
      <c r="XDC692" s="9"/>
      <c r="XDD692" s="9"/>
      <c r="XDE692" s="9"/>
      <c r="XDF692" s="9"/>
      <c r="XDG692" s="9"/>
      <c r="XDH692" s="9"/>
      <c r="XDI692" s="9"/>
      <c r="XDJ692" s="9"/>
      <c r="XDK692" s="9"/>
      <c r="XDL692" s="9"/>
      <c r="XDM692" s="9"/>
      <c r="XDN692" s="9"/>
      <c r="XDO692" s="9"/>
      <c r="XDP692" s="9"/>
      <c r="XDQ692" s="9"/>
      <c r="XDR692" s="9"/>
      <c r="XDS692" s="9"/>
      <c r="XDT692" s="9"/>
      <c r="XDU692" s="9"/>
      <c r="XDV692" s="9"/>
      <c r="XDW692" s="9"/>
      <c r="XDX692" s="9"/>
      <c r="XDY692" s="9"/>
      <c r="XDZ692" s="9"/>
      <c r="XEA692" s="9"/>
      <c r="XEB692" s="9"/>
      <c r="XEC692" s="9"/>
      <c r="XED692" s="9"/>
      <c r="XEE692" s="9"/>
      <c r="XEF692" s="9"/>
      <c r="XEG692" s="9"/>
      <c r="XEH692" s="9"/>
      <c r="XEI692" s="9"/>
      <c r="XEJ692" s="9"/>
      <c r="XEK692" s="9"/>
      <c r="XEL692" s="9"/>
      <c r="XEM692" s="9"/>
      <c r="XEN692" s="9"/>
      <c r="XEO692" s="9"/>
      <c r="XEP692" s="9"/>
      <c r="XEQ692" s="9"/>
      <c r="XER692" s="9"/>
      <c r="XES692" s="9"/>
      <c r="XET692" s="9"/>
      <c r="XEU692" s="9"/>
      <c r="XEV692" s="9"/>
      <c r="XEW692" s="9"/>
      <c r="XEX692" s="9"/>
      <c r="XEY692" s="9"/>
      <c r="XEZ692" s="9"/>
      <c r="XFA692" s="9"/>
      <c r="XFB692" s="9"/>
      <c r="XFC692" s="9"/>
      <c r="XFD692" s="9"/>
    </row>
    <row r="693" spans="1:8 16325:16384" s="3" customFormat="1" ht="19.95" customHeight="1">
      <c r="A693" s="6" t="str">
        <f t="shared" si="31"/>
        <v>040032</v>
      </c>
      <c r="B693" s="6" t="s">
        <v>25</v>
      </c>
      <c r="C693" s="6" t="s">
        <v>33</v>
      </c>
      <c r="D693" s="6" t="str">
        <f>"512627421"</f>
        <v>512627421</v>
      </c>
      <c r="E693" s="7">
        <v>85.5</v>
      </c>
      <c r="F693" s="7">
        <v>72.5</v>
      </c>
      <c r="G693" s="7"/>
      <c r="H693" s="7">
        <v>80.3</v>
      </c>
      <c r="XCW693" s="9"/>
      <c r="XCX693" s="9"/>
      <c r="XCY693" s="9"/>
      <c r="XCZ693" s="9"/>
      <c r="XDA693" s="9"/>
      <c r="XDB693" s="9"/>
      <c r="XDC693" s="9"/>
      <c r="XDD693" s="9"/>
      <c r="XDE693" s="9"/>
      <c r="XDF693" s="9"/>
      <c r="XDG693" s="9"/>
      <c r="XDH693" s="9"/>
      <c r="XDI693" s="9"/>
      <c r="XDJ693" s="9"/>
      <c r="XDK693" s="9"/>
      <c r="XDL693" s="9"/>
      <c r="XDM693" s="9"/>
      <c r="XDN693" s="9"/>
      <c r="XDO693" s="9"/>
      <c r="XDP693" s="9"/>
      <c r="XDQ693" s="9"/>
      <c r="XDR693" s="9"/>
      <c r="XDS693" s="9"/>
      <c r="XDT693" s="9"/>
      <c r="XDU693" s="9"/>
      <c r="XDV693" s="9"/>
      <c r="XDW693" s="9"/>
      <c r="XDX693" s="9"/>
      <c r="XDY693" s="9"/>
      <c r="XDZ693" s="9"/>
      <c r="XEA693" s="9"/>
      <c r="XEB693" s="9"/>
      <c r="XEC693" s="9"/>
      <c r="XED693" s="9"/>
      <c r="XEE693" s="9"/>
      <c r="XEF693" s="9"/>
      <c r="XEG693" s="9"/>
      <c r="XEH693" s="9"/>
      <c r="XEI693" s="9"/>
      <c r="XEJ693" s="9"/>
      <c r="XEK693" s="9"/>
      <c r="XEL693" s="9"/>
      <c r="XEM693" s="9"/>
      <c r="XEN693" s="9"/>
      <c r="XEO693" s="9"/>
      <c r="XEP693" s="9"/>
      <c r="XEQ693" s="9"/>
      <c r="XER693" s="9"/>
      <c r="XES693" s="9"/>
      <c r="XET693" s="9"/>
      <c r="XEU693" s="9"/>
      <c r="XEV693" s="9"/>
      <c r="XEW693" s="9"/>
      <c r="XEX693" s="9"/>
      <c r="XEY693" s="9"/>
      <c r="XEZ693" s="9"/>
      <c r="XFA693" s="9"/>
      <c r="XFB693" s="9"/>
      <c r="XFC693" s="9"/>
      <c r="XFD693" s="9"/>
    </row>
    <row r="694" spans="1:8 16325:16384" s="3" customFormat="1" ht="19.95" customHeight="1">
      <c r="A694" s="6" t="str">
        <f t="shared" si="31"/>
        <v>040032</v>
      </c>
      <c r="B694" s="6" t="s">
        <v>25</v>
      </c>
      <c r="C694" s="6" t="s">
        <v>33</v>
      </c>
      <c r="D694" s="6" t="str">
        <f>"512627428"</f>
        <v>512627428</v>
      </c>
      <c r="E694" s="7">
        <v>75.5</v>
      </c>
      <c r="F694" s="7">
        <v>82</v>
      </c>
      <c r="G694" s="7"/>
      <c r="H694" s="7">
        <v>78.099999999999994</v>
      </c>
      <c r="XCW694" s="9"/>
      <c r="XCX694" s="9"/>
      <c r="XCY694" s="9"/>
      <c r="XCZ694" s="9"/>
      <c r="XDA694" s="9"/>
      <c r="XDB694" s="9"/>
      <c r="XDC694" s="9"/>
      <c r="XDD694" s="9"/>
      <c r="XDE694" s="9"/>
      <c r="XDF694" s="9"/>
      <c r="XDG694" s="9"/>
      <c r="XDH694" s="9"/>
      <c r="XDI694" s="9"/>
      <c r="XDJ694" s="9"/>
      <c r="XDK694" s="9"/>
      <c r="XDL694" s="9"/>
      <c r="XDM694" s="9"/>
      <c r="XDN694" s="9"/>
      <c r="XDO694" s="9"/>
      <c r="XDP694" s="9"/>
      <c r="XDQ694" s="9"/>
      <c r="XDR694" s="9"/>
      <c r="XDS694" s="9"/>
      <c r="XDT694" s="9"/>
      <c r="XDU694" s="9"/>
      <c r="XDV694" s="9"/>
      <c r="XDW694" s="9"/>
      <c r="XDX694" s="9"/>
      <c r="XDY694" s="9"/>
      <c r="XDZ694" s="9"/>
      <c r="XEA694" s="9"/>
      <c r="XEB694" s="9"/>
      <c r="XEC694" s="9"/>
      <c r="XED694" s="9"/>
      <c r="XEE694" s="9"/>
      <c r="XEF694" s="9"/>
      <c r="XEG694" s="9"/>
      <c r="XEH694" s="9"/>
      <c r="XEI694" s="9"/>
      <c r="XEJ694" s="9"/>
      <c r="XEK694" s="9"/>
      <c r="XEL694" s="9"/>
      <c r="XEM694" s="9"/>
      <c r="XEN694" s="9"/>
      <c r="XEO694" s="9"/>
      <c r="XEP694" s="9"/>
      <c r="XEQ694" s="9"/>
      <c r="XER694" s="9"/>
      <c r="XES694" s="9"/>
      <c r="XET694" s="9"/>
      <c r="XEU694" s="9"/>
      <c r="XEV694" s="9"/>
      <c r="XEW694" s="9"/>
      <c r="XEX694" s="9"/>
      <c r="XEY694" s="9"/>
      <c r="XEZ694" s="9"/>
      <c r="XFA694" s="9"/>
      <c r="XFB694" s="9"/>
      <c r="XFC694" s="9"/>
      <c r="XFD694" s="9"/>
    </row>
    <row r="695" spans="1:8 16325:16384" s="3" customFormat="1" ht="19.95" customHeight="1">
      <c r="A695" s="6" t="str">
        <f t="shared" si="31"/>
        <v>040032</v>
      </c>
      <c r="B695" s="6" t="s">
        <v>25</v>
      </c>
      <c r="C695" s="6" t="s">
        <v>33</v>
      </c>
      <c r="D695" s="6" t="str">
        <f>"512627423"</f>
        <v>512627423</v>
      </c>
      <c r="E695" s="7">
        <v>80</v>
      </c>
      <c r="F695" s="7">
        <v>68</v>
      </c>
      <c r="G695" s="7"/>
      <c r="H695" s="7">
        <v>75.2</v>
      </c>
      <c r="XCW695" s="9"/>
      <c r="XCX695" s="9"/>
      <c r="XCY695" s="9"/>
      <c r="XCZ695" s="9"/>
      <c r="XDA695" s="9"/>
      <c r="XDB695" s="9"/>
      <c r="XDC695" s="9"/>
      <c r="XDD695" s="9"/>
      <c r="XDE695" s="9"/>
      <c r="XDF695" s="9"/>
      <c r="XDG695" s="9"/>
      <c r="XDH695" s="9"/>
      <c r="XDI695" s="9"/>
      <c r="XDJ695" s="9"/>
      <c r="XDK695" s="9"/>
      <c r="XDL695" s="9"/>
      <c r="XDM695" s="9"/>
      <c r="XDN695" s="9"/>
      <c r="XDO695" s="9"/>
      <c r="XDP695" s="9"/>
      <c r="XDQ695" s="9"/>
      <c r="XDR695" s="9"/>
      <c r="XDS695" s="9"/>
      <c r="XDT695" s="9"/>
      <c r="XDU695" s="9"/>
      <c r="XDV695" s="9"/>
      <c r="XDW695" s="9"/>
      <c r="XDX695" s="9"/>
      <c r="XDY695" s="9"/>
      <c r="XDZ695" s="9"/>
      <c r="XEA695" s="9"/>
      <c r="XEB695" s="9"/>
      <c r="XEC695" s="9"/>
      <c r="XED695" s="9"/>
      <c r="XEE695" s="9"/>
      <c r="XEF695" s="9"/>
      <c r="XEG695" s="9"/>
      <c r="XEH695" s="9"/>
      <c r="XEI695" s="9"/>
      <c r="XEJ695" s="9"/>
      <c r="XEK695" s="9"/>
      <c r="XEL695" s="9"/>
      <c r="XEM695" s="9"/>
      <c r="XEN695" s="9"/>
      <c r="XEO695" s="9"/>
      <c r="XEP695" s="9"/>
      <c r="XEQ695" s="9"/>
      <c r="XER695" s="9"/>
      <c r="XES695" s="9"/>
      <c r="XET695" s="9"/>
      <c r="XEU695" s="9"/>
      <c r="XEV695" s="9"/>
      <c r="XEW695" s="9"/>
      <c r="XEX695" s="9"/>
      <c r="XEY695" s="9"/>
      <c r="XEZ695" s="9"/>
      <c r="XFA695" s="9"/>
      <c r="XFB695" s="9"/>
      <c r="XFC695" s="9"/>
      <c r="XFD695" s="9"/>
    </row>
    <row r="696" spans="1:8 16325:16384" s="3" customFormat="1" ht="19.95" customHeight="1">
      <c r="A696" s="6" t="str">
        <f t="shared" si="31"/>
        <v>040032</v>
      </c>
      <c r="B696" s="6" t="s">
        <v>25</v>
      </c>
      <c r="C696" s="6" t="s">
        <v>33</v>
      </c>
      <c r="D696" s="6" t="str">
        <f>"512627504"</f>
        <v>512627504</v>
      </c>
      <c r="E696" s="7">
        <v>90</v>
      </c>
      <c r="F696" s="7">
        <v>77</v>
      </c>
      <c r="G696" s="7"/>
      <c r="H696" s="7">
        <v>84.8</v>
      </c>
      <c r="XCW696" s="9"/>
      <c r="XCX696" s="9"/>
      <c r="XCY696" s="9"/>
      <c r="XCZ696" s="9"/>
      <c r="XDA696" s="9"/>
      <c r="XDB696" s="9"/>
      <c r="XDC696" s="9"/>
      <c r="XDD696" s="9"/>
      <c r="XDE696" s="9"/>
      <c r="XDF696" s="9"/>
      <c r="XDG696" s="9"/>
      <c r="XDH696" s="9"/>
      <c r="XDI696" s="9"/>
      <c r="XDJ696" s="9"/>
      <c r="XDK696" s="9"/>
      <c r="XDL696" s="9"/>
      <c r="XDM696" s="9"/>
      <c r="XDN696" s="9"/>
      <c r="XDO696" s="9"/>
      <c r="XDP696" s="9"/>
      <c r="XDQ696" s="9"/>
      <c r="XDR696" s="9"/>
      <c r="XDS696" s="9"/>
      <c r="XDT696" s="9"/>
      <c r="XDU696" s="9"/>
      <c r="XDV696" s="9"/>
      <c r="XDW696" s="9"/>
      <c r="XDX696" s="9"/>
      <c r="XDY696" s="9"/>
      <c r="XDZ696" s="9"/>
      <c r="XEA696" s="9"/>
      <c r="XEB696" s="9"/>
      <c r="XEC696" s="9"/>
      <c r="XED696" s="9"/>
      <c r="XEE696" s="9"/>
      <c r="XEF696" s="9"/>
      <c r="XEG696" s="9"/>
      <c r="XEH696" s="9"/>
      <c r="XEI696" s="9"/>
      <c r="XEJ696" s="9"/>
      <c r="XEK696" s="9"/>
      <c r="XEL696" s="9"/>
      <c r="XEM696" s="9"/>
      <c r="XEN696" s="9"/>
      <c r="XEO696" s="9"/>
      <c r="XEP696" s="9"/>
      <c r="XEQ696" s="9"/>
      <c r="XER696" s="9"/>
      <c r="XES696" s="9"/>
      <c r="XET696" s="9"/>
      <c r="XEU696" s="9"/>
      <c r="XEV696" s="9"/>
      <c r="XEW696" s="9"/>
      <c r="XEX696" s="9"/>
      <c r="XEY696" s="9"/>
      <c r="XEZ696" s="9"/>
      <c r="XFA696" s="9"/>
      <c r="XFB696" s="9"/>
      <c r="XFC696" s="9"/>
      <c r="XFD696" s="9"/>
    </row>
    <row r="697" spans="1:8 16325:16384" s="3" customFormat="1" ht="19.95" customHeight="1">
      <c r="A697" s="6" t="str">
        <f t="shared" si="31"/>
        <v>040032</v>
      </c>
      <c r="B697" s="6" t="s">
        <v>25</v>
      </c>
      <c r="C697" s="6" t="s">
        <v>33</v>
      </c>
      <c r="D697" s="6" t="str">
        <f>"512627501"</f>
        <v>512627501</v>
      </c>
      <c r="E697" s="7">
        <v>92</v>
      </c>
      <c r="F697" s="7">
        <v>70.5</v>
      </c>
      <c r="G697" s="7"/>
      <c r="H697" s="7">
        <v>83.4</v>
      </c>
      <c r="XCW697" s="9"/>
      <c r="XCX697" s="9"/>
      <c r="XCY697" s="9"/>
      <c r="XCZ697" s="9"/>
      <c r="XDA697" s="9"/>
      <c r="XDB697" s="9"/>
      <c r="XDC697" s="9"/>
      <c r="XDD697" s="9"/>
      <c r="XDE697" s="9"/>
      <c r="XDF697" s="9"/>
      <c r="XDG697" s="9"/>
      <c r="XDH697" s="9"/>
      <c r="XDI697" s="9"/>
      <c r="XDJ697" s="9"/>
      <c r="XDK697" s="9"/>
      <c r="XDL697" s="9"/>
      <c r="XDM697" s="9"/>
      <c r="XDN697" s="9"/>
      <c r="XDO697" s="9"/>
      <c r="XDP697" s="9"/>
      <c r="XDQ697" s="9"/>
      <c r="XDR697" s="9"/>
      <c r="XDS697" s="9"/>
      <c r="XDT697" s="9"/>
      <c r="XDU697" s="9"/>
      <c r="XDV697" s="9"/>
      <c r="XDW697" s="9"/>
      <c r="XDX697" s="9"/>
      <c r="XDY697" s="9"/>
      <c r="XDZ697" s="9"/>
      <c r="XEA697" s="9"/>
      <c r="XEB697" s="9"/>
      <c r="XEC697" s="9"/>
      <c r="XED697" s="9"/>
      <c r="XEE697" s="9"/>
      <c r="XEF697" s="9"/>
      <c r="XEG697" s="9"/>
      <c r="XEH697" s="9"/>
      <c r="XEI697" s="9"/>
      <c r="XEJ697" s="9"/>
      <c r="XEK697" s="9"/>
      <c r="XEL697" s="9"/>
      <c r="XEM697" s="9"/>
      <c r="XEN697" s="9"/>
      <c r="XEO697" s="9"/>
      <c r="XEP697" s="9"/>
      <c r="XEQ697" s="9"/>
      <c r="XER697" s="9"/>
      <c r="XES697" s="9"/>
      <c r="XET697" s="9"/>
      <c r="XEU697" s="9"/>
      <c r="XEV697" s="9"/>
      <c r="XEW697" s="9"/>
      <c r="XEX697" s="9"/>
      <c r="XEY697" s="9"/>
      <c r="XEZ697" s="9"/>
      <c r="XFA697" s="9"/>
      <c r="XFB697" s="9"/>
      <c r="XFC697" s="9"/>
      <c r="XFD697" s="9"/>
    </row>
    <row r="698" spans="1:8 16325:16384" s="3" customFormat="1" ht="19.95" customHeight="1">
      <c r="A698" s="6" t="str">
        <f t="shared" si="31"/>
        <v>040032</v>
      </c>
      <c r="B698" s="6" t="s">
        <v>25</v>
      </c>
      <c r="C698" s="6" t="s">
        <v>33</v>
      </c>
      <c r="D698" s="6" t="str">
        <f>"512627503"</f>
        <v>512627503</v>
      </c>
      <c r="E698" s="7">
        <v>86</v>
      </c>
      <c r="F698" s="7">
        <v>64</v>
      </c>
      <c r="G698" s="7"/>
      <c r="H698" s="7">
        <v>77.2</v>
      </c>
      <c r="XCW698" s="9"/>
      <c r="XCX698" s="9"/>
      <c r="XCY698" s="9"/>
      <c r="XCZ698" s="9"/>
      <c r="XDA698" s="9"/>
      <c r="XDB698" s="9"/>
      <c r="XDC698" s="9"/>
      <c r="XDD698" s="9"/>
      <c r="XDE698" s="9"/>
      <c r="XDF698" s="9"/>
      <c r="XDG698" s="9"/>
      <c r="XDH698" s="9"/>
      <c r="XDI698" s="9"/>
      <c r="XDJ698" s="9"/>
      <c r="XDK698" s="9"/>
      <c r="XDL698" s="9"/>
      <c r="XDM698" s="9"/>
      <c r="XDN698" s="9"/>
      <c r="XDO698" s="9"/>
      <c r="XDP698" s="9"/>
      <c r="XDQ698" s="9"/>
      <c r="XDR698" s="9"/>
      <c r="XDS698" s="9"/>
      <c r="XDT698" s="9"/>
      <c r="XDU698" s="9"/>
      <c r="XDV698" s="9"/>
      <c r="XDW698" s="9"/>
      <c r="XDX698" s="9"/>
      <c r="XDY698" s="9"/>
      <c r="XDZ698" s="9"/>
      <c r="XEA698" s="9"/>
      <c r="XEB698" s="9"/>
      <c r="XEC698" s="9"/>
      <c r="XED698" s="9"/>
      <c r="XEE698" s="9"/>
      <c r="XEF698" s="9"/>
      <c r="XEG698" s="9"/>
      <c r="XEH698" s="9"/>
      <c r="XEI698" s="9"/>
      <c r="XEJ698" s="9"/>
      <c r="XEK698" s="9"/>
      <c r="XEL698" s="9"/>
      <c r="XEM698" s="9"/>
      <c r="XEN698" s="9"/>
      <c r="XEO698" s="9"/>
      <c r="XEP698" s="9"/>
      <c r="XEQ698" s="9"/>
      <c r="XER698" s="9"/>
      <c r="XES698" s="9"/>
      <c r="XET698" s="9"/>
      <c r="XEU698" s="9"/>
      <c r="XEV698" s="9"/>
      <c r="XEW698" s="9"/>
      <c r="XEX698" s="9"/>
      <c r="XEY698" s="9"/>
      <c r="XEZ698" s="9"/>
      <c r="XFA698" s="9"/>
      <c r="XFB698" s="9"/>
      <c r="XFC698" s="9"/>
      <c r="XFD698" s="9"/>
    </row>
    <row r="699" spans="1:8 16325:16384" s="3" customFormat="1" ht="19.95" customHeight="1">
      <c r="A699" s="6" t="str">
        <f t="shared" si="31"/>
        <v>040032</v>
      </c>
      <c r="B699" s="6" t="s">
        <v>25</v>
      </c>
      <c r="C699" s="6" t="s">
        <v>33</v>
      </c>
      <c r="D699" s="6" t="str">
        <f>"512627425"</f>
        <v>512627425</v>
      </c>
      <c r="E699" s="7">
        <v>95</v>
      </c>
      <c r="F699" s="7">
        <v>65.5</v>
      </c>
      <c r="G699" s="7"/>
      <c r="H699" s="7">
        <v>83.2</v>
      </c>
      <c r="XCW699" s="9"/>
      <c r="XCX699" s="9"/>
      <c r="XCY699" s="9"/>
      <c r="XCZ699" s="9"/>
      <c r="XDA699" s="9"/>
      <c r="XDB699" s="9"/>
      <c r="XDC699" s="9"/>
      <c r="XDD699" s="9"/>
      <c r="XDE699" s="9"/>
      <c r="XDF699" s="9"/>
      <c r="XDG699" s="9"/>
      <c r="XDH699" s="9"/>
      <c r="XDI699" s="9"/>
      <c r="XDJ699" s="9"/>
      <c r="XDK699" s="9"/>
      <c r="XDL699" s="9"/>
      <c r="XDM699" s="9"/>
      <c r="XDN699" s="9"/>
      <c r="XDO699" s="9"/>
      <c r="XDP699" s="9"/>
      <c r="XDQ699" s="9"/>
      <c r="XDR699" s="9"/>
      <c r="XDS699" s="9"/>
      <c r="XDT699" s="9"/>
      <c r="XDU699" s="9"/>
      <c r="XDV699" s="9"/>
      <c r="XDW699" s="9"/>
      <c r="XDX699" s="9"/>
      <c r="XDY699" s="9"/>
      <c r="XDZ699" s="9"/>
      <c r="XEA699" s="9"/>
      <c r="XEB699" s="9"/>
      <c r="XEC699" s="9"/>
      <c r="XED699" s="9"/>
      <c r="XEE699" s="9"/>
      <c r="XEF699" s="9"/>
      <c r="XEG699" s="9"/>
      <c r="XEH699" s="9"/>
      <c r="XEI699" s="9"/>
      <c r="XEJ699" s="9"/>
      <c r="XEK699" s="9"/>
      <c r="XEL699" s="9"/>
      <c r="XEM699" s="9"/>
      <c r="XEN699" s="9"/>
      <c r="XEO699" s="9"/>
      <c r="XEP699" s="9"/>
      <c r="XEQ699" s="9"/>
      <c r="XER699" s="9"/>
      <c r="XES699" s="9"/>
      <c r="XET699" s="9"/>
      <c r="XEU699" s="9"/>
      <c r="XEV699" s="9"/>
      <c r="XEW699" s="9"/>
      <c r="XEX699" s="9"/>
      <c r="XEY699" s="9"/>
      <c r="XEZ699" s="9"/>
      <c r="XFA699" s="9"/>
      <c r="XFB699" s="9"/>
      <c r="XFC699" s="9"/>
      <c r="XFD699" s="9"/>
    </row>
    <row r="700" spans="1:8 16325:16384" s="3" customFormat="1" ht="19.95" customHeight="1">
      <c r="A700" s="6" t="str">
        <f t="shared" si="31"/>
        <v>040032</v>
      </c>
      <c r="B700" s="6" t="s">
        <v>25</v>
      </c>
      <c r="C700" s="6" t="s">
        <v>33</v>
      </c>
      <c r="D700" s="6" t="str">
        <f>"512627427"</f>
        <v>512627427</v>
      </c>
      <c r="E700" s="7">
        <v>86.5</v>
      </c>
      <c r="F700" s="7">
        <v>69</v>
      </c>
      <c r="G700" s="7"/>
      <c r="H700" s="7">
        <v>79.5</v>
      </c>
      <c r="XCW700" s="9"/>
      <c r="XCX700" s="9"/>
      <c r="XCY700" s="9"/>
      <c r="XCZ700" s="9"/>
      <c r="XDA700" s="9"/>
      <c r="XDB700" s="9"/>
      <c r="XDC700" s="9"/>
      <c r="XDD700" s="9"/>
      <c r="XDE700" s="9"/>
      <c r="XDF700" s="9"/>
      <c r="XDG700" s="9"/>
      <c r="XDH700" s="9"/>
      <c r="XDI700" s="9"/>
      <c r="XDJ700" s="9"/>
      <c r="XDK700" s="9"/>
      <c r="XDL700" s="9"/>
      <c r="XDM700" s="9"/>
      <c r="XDN700" s="9"/>
      <c r="XDO700" s="9"/>
      <c r="XDP700" s="9"/>
      <c r="XDQ700" s="9"/>
      <c r="XDR700" s="9"/>
      <c r="XDS700" s="9"/>
      <c r="XDT700" s="9"/>
      <c r="XDU700" s="9"/>
      <c r="XDV700" s="9"/>
      <c r="XDW700" s="9"/>
      <c r="XDX700" s="9"/>
      <c r="XDY700" s="9"/>
      <c r="XDZ700" s="9"/>
      <c r="XEA700" s="9"/>
      <c r="XEB700" s="9"/>
      <c r="XEC700" s="9"/>
      <c r="XED700" s="9"/>
      <c r="XEE700" s="9"/>
      <c r="XEF700" s="9"/>
      <c r="XEG700" s="9"/>
      <c r="XEH700" s="9"/>
      <c r="XEI700" s="9"/>
      <c r="XEJ700" s="9"/>
      <c r="XEK700" s="9"/>
      <c r="XEL700" s="9"/>
      <c r="XEM700" s="9"/>
      <c r="XEN700" s="9"/>
      <c r="XEO700" s="9"/>
      <c r="XEP700" s="9"/>
      <c r="XEQ700" s="9"/>
      <c r="XER700" s="9"/>
      <c r="XES700" s="9"/>
      <c r="XET700" s="9"/>
      <c r="XEU700" s="9"/>
      <c r="XEV700" s="9"/>
      <c r="XEW700" s="9"/>
      <c r="XEX700" s="9"/>
      <c r="XEY700" s="9"/>
      <c r="XEZ700" s="9"/>
      <c r="XFA700" s="9"/>
      <c r="XFB700" s="9"/>
      <c r="XFC700" s="9"/>
      <c r="XFD700" s="9"/>
    </row>
    <row r="701" spans="1:8 16325:16384" s="3" customFormat="1" ht="19.95" customHeight="1">
      <c r="A701" s="6" t="str">
        <f t="shared" si="31"/>
        <v>040032</v>
      </c>
      <c r="B701" s="6" t="s">
        <v>25</v>
      </c>
      <c r="C701" s="6" t="s">
        <v>33</v>
      </c>
      <c r="D701" s="6" t="str">
        <f>"512627426"</f>
        <v>512627426</v>
      </c>
      <c r="E701" s="7">
        <v>86.5</v>
      </c>
      <c r="F701" s="7">
        <v>66.5</v>
      </c>
      <c r="G701" s="7"/>
      <c r="H701" s="7">
        <v>78.5</v>
      </c>
      <c r="XCW701" s="9"/>
      <c r="XCX701" s="9"/>
      <c r="XCY701" s="9"/>
      <c r="XCZ701" s="9"/>
      <c r="XDA701" s="9"/>
      <c r="XDB701" s="9"/>
      <c r="XDC701" s="9"/>
      <c r="XDD701" s="9"/>
      <c r="XDE701" s="9"/>
      <c r="XDF701" s="9"/>
      <c r="XDG701" s="9"/>
      <c r="XDH701" s="9"/>
      <c r="XDI701" s="9"/>
      <c r="XDJ701" s="9"/>
      <c r="XDK701" s="9"/>
      <c r="XDL701" s="9"/>
      <c r="XDM701" s="9"/>
      <c r="XDN701" s="9"/>
      <c r="XDO701" s="9"/>
      <c r="XDP701" s="9"/>
      <c r="XDQ701" s="9"/>
      <c r="XDR701" s="9"/>
      <c r="XDS701" s="9"/>
      <c r="XDT701" s="9"/>
      <c r="XDU701" s="9"/>
      <c r="XDV701" s="9"/>
      <c r="XDW701" s="9"/>
      <c r="XDX701" s="9"/>
      <c r="XDY701" s="9"/>
      <c r="XDZ701" s="9"/>
      <c r="XEA701" s="9"/>
      <c r="XEB701" s="9"/>
      <c r="XEC701" s="9"/>
      <c r="XED701" s="9"/>
      <c r="XEE701" s="9"/>
      <c r="XEF701" s="9"/>
      <c r="XEG701" s="9"/>
      <c r="XEH701" s="9"/>
      <c r="XEI701" s="9"/>
      <c r="XEJ701" s="9"/>
      <c r="XEK701" s="9"/>
      <c r="XEL701" s="9"/>
      <c r="XEM701" s="9"/>
      <c r="XEN701" s="9"/>
      <c r="XEO701" s="9"/>
      <c r="XEP701" s="9"/>
      <c r="XEQ701" s="9"/>
      <c r="XER701" s="9"/>
      <c r="XES701" s="9"/>
      <c r="XET701" s="9"/>
      <c r="XEU701" s="9"/>
      <c r="XEV701" s="9"/>
      <c r="XEW701" s="9"/>
      <c r="XEX701" s="9"/>
      <c r="XEY701" s="9"/>
      <c r="XEZ701" s="9"/>
      <c r="XFA701" s="9"/>
      <c r="XFB701" s="9"/>
      <c r="XFC701" s="9"/>
      <c r="XFD701" s="9"/>
    </row>
    <row r="702" spans="1:8 16325:16384" s="3" customFormat="1" ht="19.95" customHeight="1">
      <c r="A702" s="6" t="str">
        <f t="shared" si="31"/>
        <v>040032</v>
      </c>
      <c r="B702" s="6" t="s">
        <v>25</v>
      </c>
      <c r="C702" s="6" t="s">
        <v>33</v>
      </c>
      <c r="D702" s="6" t="str">
        <f>"512627430"</f>
        <v>512627430</v>
      </c>
      <c r="E702" s="7">
        <v>78.5</v>
      </c>
      <c r="F702" s="7">
        <v>74.5</v>
      </c>
      <c r="G702" s="7"/>
      <c r="H702" s="7">
        <v>76.900000000000006</v>
      </c>
      <c r="XCW702" s="9"/>
      <c r="XCX702" s="9"/>
      <c r="XCY702" s="9"/>
      <c r="XCZ702" s="9"/>
      <c r="XDA702" s="9"/>
      <c r="XDB702" s="9"/>
      <c r="XDC702" s="9"/>
      <c r="XDD702" s="9"/>
      <c r="XDE702" s="9"/>
      <c r="XDF702" s="9"/>
      <c r="XDG702" s="9"/>
      <c r="XDH702" s="9"/>
      <c r="XDI702" s="9"/>
      <c r="XDJ702" s="9"/>
      <c r="XDK702" s="9"/>
      <c r="XDL702" s="9"/>
      <c r="XDM702" s="9"/>
      <c r="XDN702" s="9"/>
      <c r="XDO702" s="9"/>
      <c r="XDP702" s="9"/>
      <c r="XDQ702" s="9"/>
      <c r="XDR702" s="9"/>
      <c r="XDS702" s="9"/>
      <c r="XDT702" s="9"/>
      <c r="XDU702" s="9"/>
      <c r="XDV702" s="9"/>
      <c r="XDW702" s="9"/>
      <c r="XDX702" s="9"/>
      <c r="XDY702" s="9"/>
      <c r="XDZ702" s="9"/>
      <c r="XEA702" s="9"/>
      <c r="XEB702" s="9"/>
      <c r="XEC702" s="9"/>
      <c r="XED702" s="9"/>
      <c r="XEE702" s="9"/>
      <c r="XEF702" s="9"/>
      <c r="XEG702" s="9"/>
      <c r="XEH702" s="9"/>
      <c r="XEI702" s="9"/>
      <c r="XEJ702" s="9"/>
      <c r="XEK702" s="9"/>
      <c r="XEL702" s="9"/>
      <c r="XEM702" s="9"/>
      <c r="XEN702" s="9"/>
      <c r="XEO702" s="9"/>
      <c r="XEP702" s="9"/>
      <c r="XEQ702" s="9"/>
      <c r="XER702" s="9"/>
      <c r="XES702" s="9"/>
      <c r="XET702" s="9"/>
      <c r="XEU702" s="9"/>
      <c r="XEV702" s="9"/>
      <c r="XEW702" s="9"/>
      <c r="XEX702" s="9"/>
      <c r="XEY702" s="9"/>
      <c r="XEZ702" s="9"/>
      <c r="XFA702" s="9"/>
      <c r="XFB702" s="9"/>
      <c r="XFC702" s="9"/>
      <c r="XFD702" s="9"/>
    </row>
    <row r="703" spans="1:8 16325:16384" s="3" customFormat="1" ht="19.95" customHeight="1">
      <c r="A703" s="6" t="str">
        <f t="shared" si="31"/>
        <v>040032</v>
      </c>
      <c r="B703" s="6" t="s">
        <v>25</v>
      </c>
      <c r="C703" s="6" t="s">
        <v>33</v>
      </c>
      <c r="D703" s="6" t="str">
        <f>"512627505"</f>
        <v>512627505</v>
      </c>
      <c r="E703" s="7">
        <v>82</v>
      </c>
      <c r="F703" s="7">
        <v>71.5</v>
      </c>
      <c r="G703" s="7"/>
      <c r="H703" s="7">
        <v>77.8</v>
      </c>
      <c r="XCW703" s="9"/>
      <c r="XCX703" s="9"/>
      <c r="XCY703" s="9"/>
      <c r="XCZ703" s="9"/>
      <c r="XDA703" s="9"/>
      <c r="XDB703" s="9"/>
      <c r="XDC703" s="9"/>
      <c r="XDD703" s="9"/>
      <c r="XDE703" s="9"/>
      <c r="XDF703" s="9"/>
      <c r="XDG703" s="9"/>
      <c r="XDH703" s="9"/>
      <c r="XDI703" s="9"/>
      <c r="XDJ703" s="9"/>
      <c r="XDK703" s="9"/>
      <c r="XDL703" s="9"/>
      <c r="XDM703" s="9"/>
      <c r="XDN703" s="9"/>
      <c r="XDO703" s="9"/>
      <c r="XDP703" s="9"/>
      <c r="XDQ703" s="9"/>
      <c r="XDR703" s="9"/>
      <c r="XDS703" s="9"/>
      <c r="XDT703" s="9"/>
      <c r="XDU703" s="9"/>
      <c r="XDV703" s="9"/>
      <c r="XDW703" s="9"/>
      <c r="XDX703" s="9"/>
      <c r="XDY703" s="9"/>
      <c r="XDZ703" s="9"/>
      <c r="XEA703" s="9"/>
      <c r="XEB703" s="9"/>
      <c r="XEC703" s="9"/>
      <c r="XED703" s="9"/>
      <c r="XEE703" s="9"/>
      <c r="XEF703" s="9"/>
      <c r="XEG703" s="9"/>
      <c r="XEH703" s="9"/>
      <c r="XEI703" s="9"/>
      <c r="XEJ703" s="9"/>
      <c r="XEK703" s="9"/>
      <c r="XEL703" s="9"/>
      <c r="XEM703" s="9"/>
      <c r="XEN703" s="9"/>
      <c r="XEO703" s="9"/>
      <c r="XEP703" s="9"/>
      <c r="XEQ703" s="9"/>
      <c r="XER703" s="9"/>
      <c r="XES703" s="9"/>
      <c r="XET703" s="9"/>
      <c r="XEU703" s="9"/>
      <c r="XEV703" s="9"/>
      <c r="XEW703" s="9"/>
      <c r="XEX703" s="9"/>
      <c r="XEY703" s="9"/>
      <c r="XEZ703" s="9"/>
      <c r="XFA703" s="9"/>
      <c r="XFB703" s="9"/>
      <c r="XFC703" s="9"/>
      <c r="XFD703" s="9"/>
    </row>
    <row r="704" spans="1:8 16325:16384" s="3" customFormat="1" ht="19.95" customHeight="1">
      <c r="A704" s="6" t="str">
        <f t="shared" si="31"/>
        <v>040032</v>
      </c>
      <c r="B704" s="6" t="s">
        <v>25</v>
      </c>
      <c r="C704" s="6" t="s">
        <v>33</v>
      </c>
      <c r="D704" s="6" t="str">
        <f>"512627502"</f>
        <v>512627502</v>
      </c>
      <c r="E704" s="7">
        <v>96</v>
      </c>
      <c r="F704" s="7">
        <v>89.5</v>
      </c>
      <c r="G704" s="7"/>
      <c r="H704" s="7">
        <v>93.4</v>
      </c>
      <c r="XCW704" s="9"/>
      <c r="XCX704" s="9"/>
      <c r="XCY704" s="9"/>
      <c r="XCZ704" s="9"/>
      <c r="XDA704" s="9"/>
      <c r="XDB704" s="9"/>
      <c r="XDC704" s="9"/>
      <c r="XDD704" s="9"/>
      <c r="XDE704" s="9"/>
      <c r="XDF704" s="9"/>
      <c r="XDG704" s="9"/>
      <c r="XDH704" s="9"/>
      <c r="XDI704" s="9"/>
      <c r="XDJ704" s="9"/>
      <c r="XDK704" s="9"/>
      <c r="XDL704" s="9"/>
      <c r="XDM704" s="9"/>
      <c r="XDN704" s="9"/>
      <c r="XDO704" s="9"/>
      <c r="XDP704" s="9"/>
      <c r="XDQ704" s="9"/>
      <c r="XDR704" s="9"/>
      <c r="XDS704" s="9"/>
      <c r="XDT704" s="9"/>
      <c r="XDU704" s="9"/>
      <c r="XDV704" s="9"/>
      <c r="XDW704" s="9"/>
      <c r="XDX704" s="9"/>
      <c r="XDY704" s="9"/>
      <c r="XDZ704" s="9"/>
      <c r="XEA704" s="9"/>
      <c r="XEB704" s="9"/>
      <c r="XEC704" s="9"/>
      <c r="XED704" s="9"/>
      <c r="XEE704" s="9"/>
      <c r="XEF704" s="9"/>
      <c r="XEG704" s="9"/>
      <c r="XEH704" s="9"/>
      <c r="XEI704" s="9"/>
      <c r="XEJ704" s="9"/>
      <c r="XEK704" s="9"/>
      <c r="XEL704" s="9"/>
      <c r="XEM704" s="9"/>
      <c r="XEN704" s="9"/>
      <c r="XEO704" s="9"/>
      <c r="XEP704" s="9"/>
      <c r="XEQ704" s="9"/>
      <c r="XER704" s="9"/>
      <c r="XES704" s="9"/>
      <c r="XET704" s="9"/>
      <c r="XEU704" s="9"/>
      <c r="XEV704" s="9"/>
      <c r="XEW704" s="9"/>
      <c r="XEX704" s="9"/>
      <c r="XEY704" s="9"/>
      <c r="XEZ704" s="9"/>
      <c r="XFA704" s="9"/>
      <c r="XFB704" s="9"/>
      <c r="XFC704" s="9"/>
      <c r="XFD704" s="9"/>
    </row>
    <row r="705" spans="1:8 16325:16384" s="3" customFormat="1" ht="19.95" customHeight="1">
      <c r="A705" s="6" t="str">
        <f t="shared" si="31"/>
        <v>040032</v>
      </c>
      <c r="B705" s="6" t="s">
        <v>25</v>
      </c>
      <c r="C705" s="6" t="s">
        <v>33</v>
      </c>
      <c r="D705" s="6" t="str">
        <f>"512627510"</f>
        <v>512627510</v>
      </c>
      <c r="E705" s="7">
        <v>0</v>
      </c>
      <c r="F705" s="7">
        <v>0</v>
      </c>
      <c r="G705" s="7"/>
      <c r="H705" s="7">
        <v>0</v>
      </c>
      <c r="XCW705" s="9"/>
      <c r="XCX705" s="9"/>
      <c r="XCY705" s="9"/>
      <c r="XCZ705" s="9"/>
      <c r="XDA705" s="9"/>
      <c r="XDB705" s="9"/>
      <c r="XDC705" s="9"/>
      <c r="XDD705" s="9"/>
      <c r="XDE705" s="9"/>
      <c r="XDF705" s="9"/>
      <c r="XDG705" s="9"/>
      <c r="XDH705" s="9"/>
      <c r="XDI705" s="9"/>
      <c r="XDJ705" s="9"/>
      <c r="XDK705" s="9"/>
      <c r="XDL705" s="9"/>
      <c r="XDM705" s="9"/>
      <c r="XDN705" s="9"/>
      <c r="XDO705" s="9"/>
      <c r="XDP705" s="9"/>
      <c r="XDQ705" s="9"/>
      <c r="XDR705" s="9"/>
      <c r="XDS705" s="9"/>
      <c r="XDT705" s="9"/>
      <c r="XDU705" s="9"/>
      <c r="XDV705" s="9"/>
      <c r="XDW705" s="9"/>
      <c r="XDX705" s="9"/>
      <c r="XDY705" s="9"/>
      <c r="XDZ705" s="9"/>
      <c r="XEA705" s="9"/>
      <c r="XEB705" s="9"/>
      <c r="XEC705" s="9"/>
      <c r="XED705" s="9"/>
      <c r="XEE705" s="9"/>
      <c r="XEF705" s="9"/>
      <c r="XEG705" s="9"/>
      <c r="XEH705" s="9"/>
      <c r="XEI705" s="9"/>
      <c r="XEJ705" s="9"/>
      <c r="XEK705" s="9"/>
      <c r="XEL705" s="9"/>
      <c r="XEM705" s="9"/>
      <c r="XEN705" s="9"/>
      <c r="XEO705" s="9"/>
      <c r="XEP705" s="9"/>
      <c r="XEQ705" s="9"/>
      <c r="XER705" s="9"/>
      <c r="XES705" s="9"/>
      <c r="XET705" s="9"/>
      <c r="XEU705" s="9"/>
      <c r="XEV705" s="9"/>
      <c r="XEW705" s="9"/>
      <c r="XEX705" s="9"/>
      <c r="XEY705" s="9"/>
      <c r="XEZ705" s="9"/>
      <c r="XFA705" s="9"/>
      <c r="XFB705" s="9"/>
      <c r="XFC705" s="9"/>
      <c r="XFD705" s="9"/>
    </row>
    <row r="706" spans="1:8 16325:16384" s="3" customFormat="1" ht="19.95" customHeight="1">
      <c r="A706" s="6" t="str">
        <f t="shared" si="31"/>
        <v>040032</v>
      </c>
      <c r="B706" s="6" t="s">
        <v>25</v>
      </c>
      <c r="C706" s="6" t="s">
        <v>33</v>
      </c>
      <c r="D706" s="6" t="str">
        <f>"512627508"</f>
        <v>512627508</v>
      </c>
      <c r="E706" s="7">
        <v>0</v>
      </c>
      <c r="F706" s="7">
        <v>0</v>
      </c>
      <c r="G706" s="7"/>
      <c r="H706" s="7">
        <v>0</v>
      </c>
      <c r="XCW706" s="9"/>
      <c r="XCX706" s="9"/>
      <c r="XCY706" s="9"/>
      <c r="XCZ706" s="9"/>
      <c r="XDA706" s="9"/>
      <c r="XDB706" s="9"/>
      <c r="XDC706" s="9"/>
      <c r="XDD706" s="9"/>
      <c r="XDE706" s="9"/>
      <c r="XDF706" s="9"/>
      <c r="XDG706" s="9"/>
      <c r="XDH706" s="9"/>
      <c r="XDI706" s="9"/>
      <c r="XDJ706" s="9"/>
      <c r="XDK706" s="9"/>
      <c r="XDL706" s="9"/>
      <c r="XDM706" s="9"/>
      <c r="XDN706" s="9"/>
      <c r="XDO706" s="9"/>
      <c r="XDP706" s="9"/>
      <c r="XDQ706" s="9"/>
      <c r="XDR706" s="9"/>
      <c r="XDS706" s="9"/>
      <c r="XDT706" s="9"/>
      <c r="XDU706" s="9"/>
      <c r="XDV706" s="9"/>
      <c r="XDW706" s="9"/>
      <c r="XDX706" s="9"/>
      <c r="XDY706" s="9"/>
      <c r="XDZ706" s="9"/>
      <c r="XEA706" s="9"/>
      <c r="XEB706" s="9"/>
      <c r="XEC706" s="9"/>
      <c r="XED706" s="9"/>
      <c r="XEE706" s="9"/>
      <c r="XEF706" s="9"/>
      <c r="XEG706" s="9"/>
      <c r="XEH706" s="9"/>
      <c r="XEI706" s="9"/>
      <c r="XEJ706" s="9"/>
      <c r="XEK706" s="9"/>
      <c r="XEL706" s="9"/>
      <c r="XEM706" s="9"/>
      <c r="XEN706" s="9"/>
      <c r="XEO706" s="9"/>
      <c r="XEP706" s="9"/>
      <c r="XEQ706" s="9"/>
      <c r="XER706" s="9"/>
      <c r="XES706" s="9"/>
      <c r="XET706" s="9"/>
      <c r="XEU706" s="9"/>
      <c r="XEV706" s="9"/>
      <c r="XEW706" s="9"/>
      <c r="XEX706" s="9"/>
      <c r="XEY706" s="9"/>
      <c r="XEZ706" s="9"/>
      <c r="XFA706" s="9"/>
      <c r="XFB706" s="9"/>
      <c r="XFC706" s="9"/>
      <c r="XFD706" s="9"/>
    </row>
    <row r="707" spans="1:8 16325:16384" s="3" customFormat="1" ht="19.95" customHeight="1">
      <c r="A707" s="6" t="str">
        <f t="shared" ref="A707:A714" si="32">"040033"</f>
        <v>040033</v>
      </c>
      <c r="B707" s="6" t="s">
        <v>13</v>
      </c>
      <c r="C707" s="6" t="s">
        <v>33</v>
      </c>
      <c r="D707" s="6" t="str">
        <f>"512732530"</f>
        <v>512732530</v>
      </c>
      <c r="E707" s="7">
        <v>84.5</v>
      </c>
      <c r="F707" s="7">
        <v>67.5</v>
      </c>
      <c r="G707" s="7"/>
      <c r="H707" s="7">
        <v>77.7</v>
      </c>
      <c r="XCW707" s="9"/>
      <c r="XCX707" s="9"/>
      <c r="XCY707" s="9"/>
      <c r="XCZ707" s="9"/>
      <c r="XDA707" s="9"/>
      <c r="XDB707" s="9"/>
      <c r="XDC707" s="9"/>
      <c r="XDD707" s="9"/>
      <c r="XDE707" s="9"/>
      <c r="XDF707" s="9"/>
      <c r="XDG707" s="9"/>
      <c r="XDH707" s="9"/>
      <c r="XDI707" s="9"/>
      <c r="XDJ707" s="9"/>
      <c r="XDK707" s="9"/>
      <c r="XDL707" s="9"/>
      <c r="XDM707" s="9"/>
      <c r="XDN707" s="9"/>
      <c r="XDO707" s="9"/>
      <c r="XDP707" s="9"/>
      <c r="XDQ707" s="9"/>
      <c r="XDR707" s="9"/>
      <c r="XDS707" s="9"/>
      <c r="XDT707" s="9"/>
      <c r="XDU707" s="9"/>
      <c r="XDV707" s="9"/>
      <c r="XDW707" s="9"/>
      <c r="XDX707" s="9"/>
      <c r="XDY707" s="9"/>
      <c r="XDZ707" s="9"/>
      <c r="XEA707" s="9"/>
      <c r="XEB707" s="9"/>
      <c r="XEC707" s="9"/>
      <c r="XED707" s="9"/>
      <c r="XEE707" s="9"/>
      <c r="XEF707" s="9"/>
      <c r="XEG707" s="9"/>
      <c r="XEH707" s="9"/>
      <c r="XEI707" s="9"/>
      <c r="XEJ707" s="9"/>
      <c r="XEK707" s="9"/>
      <c r="XEL707" s="9"/>
      <c r="XEM707" s="9"/>
      <c r="XEN707" s="9"/>
      <c r="XEO707" s="9"/>
      <c r="XEP707" s="9"/>
      <c r="XEQ707" s="9"/>
      <c r="XER707" s="9"/>
      <c r="XES707" s="9"/>
      <c r="XET707" s="9"/>
      <c r="XEU707" s="9"/>
      <c r="XEV707" s="9"/>
      <c r="XEW707" s="9"/>
      <c r="XEX707" s="9"/>
      <c r="XEY707" s="9"/>
      <c r="XEZ707" s="9"/>
      <c r="XFA707" s="9"/>
      <c r="XFB707" s="9"/>
      <c r="XFC707" s="9"/>
      <c r="XFD707" s="9"/>
    </row>
    <row r="708" spans="1:8 16325:16384" s="3" customFormat="1" ht="19.95" customHeight="1">
      <c r="A708" s="6" t="str">
        <f t="shared" si="32"/>
        <v>040033</v>
      </c>
      <c r="B708" s="6" t="s">
        <v>13</v>
      </c>
      <c r="C708" s="6" t="s">
        <v>33</v>
      </c>
      <c r="D708" s="6" t="str">
        <f>"512732602"</f>
        <v>512732602</v>
      </c>
      <c r="E708" s="7">
        <v>71</v>
      </c>
      <c r="F708" s="7">
        <v>76</v>
      </c>
      <c r="G708" s="7"/>
      <c r="H708" s="7">
        <v>73</v>
      </c>
      <c r="XCW708" s="9"/>
      <c r="XCX708" s="9"/>
      <c r="XCY708" s="9"/>
      <c r="XCZ708" s="9"/>
      <c r="XDA708" s="9"/>
      <c r="XDB708" s="9"/>
      <c r="XDC708" s="9"/>
      <c r="XDD708" s="9"/>
      <c r="XDE708" s="9"/>
      <c r="XDF708" s="9"/>
      <c r="XDG708" s="9"/>
      <c r="XDH708" s="9"/>
      <c r="XDI708" s="9"/>
      <c r="XDJ708" s="9"/>
      <c r="XDK708" s="9"/>
      <c r="XDL708" s="9"/>
      <c r="XDM708" s="9"/>
      <c r="XDN708" s="9"/>
      <c r="XDO708" s="9"/>
      <c r="XDP708" s="9"/>
      <c r="XDQ708" s="9"/>
      <c r="XDR708" s="9"/>
      <c r="XDS708" s="9"/>
      <c r="XDT708" s="9"/>
      <c r="XDU708" s="9"/>
      <c r="XDV708" s="9"/>
      <c r="XDW708" s="9"/>
      <c r="XDX708" s="9"/>
      <c r="XDY708" s="9"/>
      <c r="XDZ708" s="9"/>
      <c r="XEA708" s="9"/>
      <c r="XEB708" s="9"/>
      <c r="XEC708" s="9"/>
      <c r="XED708" s="9"/>
      <c r="XEE708" s="9"/>
      <c r="XEF708" s="9"/>
      <c r="XEG708" s="9"/>
      <c r="XEH708" s="9"/>
      <c r="XEI708" s="9"/>
      <c r="XEJ708" s="9"/>
      <c r="XEK708" s="9"/>
      <c r="XEL708" s="9"/>
      <c r="XEM708" s="9"/>
      <c r="XEN708" s="9"/>
      <c r="XEO708" s="9"/>
      <c r="XEP708" s="9"/>
      <c r="XEQ708" s="9"/>
      <c r="XER708" s="9"/>
      <c r="XES708" s="9"/>
      <c r="XET708" s="9"/>
      <c r="XEU708" s="9"/>
      <c r="XEV708" s="9"/>
      <c r="XEW708" s="9"/>
      <c r="XEX708" s="9"/>
      <c r="XEY708" s="9"/>
      <c r="XEZ708" s="9"/>
      <c r="XFA708" s="9"/>
      <c r="XFB708" s="9"/>
      <c r="XFC708" s="9"/>
      <c r="XFD708" s="9"/>
    </row>
    <row r="709" spans="1:8 16325:16384" s="3" customFormat="1" ht="19.95" customHeight="1">
      <c r="A709" s="6" t="str">
        <f t="shared" si="32"/>
        <v>040033</v>
      </c>
      <c r="B709" s="6" t="s">
        <v>13</v>
      </c>
      <c r="C709" s="6" t="s">
        <v>33</v>
      </c>
      <c r="D709" s="6" t="str">
        <f>"512732601"</f>
        <v>512732601</v>
      </c>
      <c r="E709" s="7">
        <v>65.5</v>
      </c>
      <c r="F709" s="7">
        <v>73</v>
      </c>
      <c r="G709" s="7"/>
      <c r="H709" s="7">
        <v>68.5</v>
      </c>
      <c r="XCW709" s="9"/>
      <c r="XCX709" s="9"/>
      <c r="XCY709" s="9"/>
      <c r="XCZ709" s="9"/>
      <c r="XDA709" s="9"/>
      <c r="XDB709" s="9"/>
      <c r="XDC709" s="9"/>
      <c r="XDD709" s="9"/>
      <c r="XDE709" s="9"/>
      <c r="XDF709" s="9"/>
      <c r="XDG709" s="9"/>
      <c r="XDH709" s="9"/>
      <c r="XDI709" s="9"/>
      <c r="XDJ709" s="9"/>
      <c r="XDK709" s="9"/>
      <c r="XDL709" s="9"/>
      <c r="XDM709" s="9"/>
      <c r="XDN709" s="9"/>
      <c r="XDO709" s="9"/>
      <c r="XDP709" s="9"/>
      <c r="XDQ709" s="9"/>
      <c r="XDR709" s="9"/>
      <c r="XDS709" s="9"/>
      <c r="XDT709" s="9"/>
      <c r="XDU709" s="9"/>
      <c r="XDV709" s="9"/>
      <c r="XDW709" s="9"/>
      <c r="XDX709" s="9"/>
      <c r="XDY709" s="9"/>
      <c r="XDZ709" s="9"/>
      <c r="XEA709" s="9"/>
      <c r="XEB709" s="9"/>
      <c r="XEC709" s="9"/>
      <c r="XED709" s="9"/>
      <c r="XEE709" s="9"/>
      <c r="XEF709" s="9"/>
      <c r="XEG709" s="9"/>
      <c r="XEH709" s="9"/>
      <c r="XEI709" s="9"/>
      <c r="XEJ709" s="9"/>
      <c r="XEK709" s="9"/>
      <c r="XEL709" s="9"/>
      <c r="XEM709" s="9"/>
      <c r="XEN709" s="9"/>
      <c r="XEO709" s="9"/>
      <c r="XEP709" s="9"/>
      <c r="XEQ709" s="9"/>
      <c r="XER709" s="9"/>
      <c r="XES709" s="9"/>
      <c r="XET709" s="9"/>
      <c r="XEU709" s="9"/>
      <c r="XEV709" s="9"/>
      <c r="XEW709" s="9"/>
      <c r="XEX709" s="9"/>
      <c r="XEY709" s="9"/>
      <c r="XEZ709" s="9"/>
      <c r="XFA709" s="9"/>
      <c r="XFB709" s="9"/>
      <c r="XFC709" s="9"/>
      <c r="XFD709" s="9"/>
    </row>
    <row r="710" spans="1:8 16325:16384" s="3" customFormat="1" ht="19.95" customHeight="1">
      <c r="A710" s="6" t="str">
        <f t="shared" si="32"/>
        <v>040033</v>
      </c>
      <c r="B710" s="6" t="s">
        <v>13</v>
      </c>
      <c r="C710" s="6" t="s">
        <v>33</v>
      </c>
      <c r="D710" s="6" t="str">
        <f>"512732604"</f>
        <v>512732604</v>
      </c>
      <c r="E710" s="7">
        <v>98</v>
      </c>
      <c r="F710" s="7">
        <v>80.5</v>
      </c>
      <c r="G710" s="7"/>
      <c r="H710" s="7">
        <v>91</v>
      </c>
      <c r="XCW710" s="9"/>
      <c r="XCX710" s="9"/>
      <c r="XCY710" s="9"/>
      <c r="XCZ710" s="9"/>
      <c r="XDA710" s="9"/>
      <c r="XDB710" s="9"/>
      <c r="XDC710" s="9"/>
      <c r="XDD710" s="9"/>
      <c r="XDE710" s="9"/>
      <c r="XDF710" s="9"/>
      <c r="XDG710" s="9"/>
      <c r="XDH710" s="9"/>
      <c r="XDI710" s="9"/>
      <c r="XDJ710" s="9"/>
      <c r="XDK710" s="9"/>
      <c r="XDL710" s="9"/>
      <c r="XDM710" s="9"/>
      <c r="XDN710" s="9"/>
      <c r="XDO710" s="9"/>
      <c r="XDP710" s="9"/>
      <c r="XDQ710" s="9"/>
      <c r="XDR710" s="9"/>
      <c r="XDS710" s="9"/>
      <c r="XDT710" s="9"/>
      <c r="XDU710" s="9"/>
      <c r="XDV710" s="9"/>
      <c r="XDW710" s="9"/>
      <c r="XDX710" s="9"/>
      <c r="XDY710" s="9"/>
      <c r="XDZ710" s="9"/>
      <c r="XEA710" s="9"/>
      <c r="XEB710" s="9"/>
      <c r="XEC710" s="9"/>
      <c r="XED710" s="9"/>
      <c r="XEE710" s="9"/>
      <c r="XEF710" s="9"/>
      <c r="XEG710" s="9"/>
      <c r="XEH710" s="9"/>
      <c r="XEI710" s="9"/>
      <c r="XEJ710" s="9"/>
      <c r="XEK710" s="9"/>
      <c r="XEL710" s="9"/>
      <c r="XEM710" s="9"/>
      <c r="XEN710" s="9"/>
      <c r="XEO710" s="9"/>
      <c r="XEP710" s="9"/>
      <c r="XEQ710" s="9"/>
      <c r="XER710" s="9"/>
      <c r="XES710" s="9"/>
      <c r="XET710" s="9"/>
      <c r="XEU710" s="9"/>
      <c r="XEV710" s="9"/>
      <c r="XEW710" s="9"/>
      <c r="XEX710" s="9"/>
      <c r="XEY710" s="9"/>
      <c r="XEZ710" s="9"/>
      <c r="XFA710" s="9"/>
      <c r="XFB710" s="9"/>
      <c r="XFC710" s="9"/>
      <c r="XFD710" s="9"/>
    </row>
    <row r="711" spans="1:8 16325:16384" s="3" customFormat="1" ht="19.95" customHeight="1">
      <c r="A711" s="6" t="str">
        <f t="shared" si="32"/>
        <v>040033</v>
      </c>
      <c r="B711" s="6" t="s">
        <v>13</v>
      </c>
      <c r="C711" s="6" t="s">
        <v>33</v>
      </c>
      <c r="D711" s="6" t="str">
        <f>"512732606"</f>
        <v>512732606</v>
      </c>
      <c r="E711" s="7">
        <v>81.5</v>
      </c>
      <c r="F711" s="7">
        <v>77</v>
      </c>
      <c r="G711" s="7"/>
      <c r="H711" s="7">
        <v>79.7</v>
      </c>
      <c r="XCW711" s="9"/>
      <c r="XCX711" s="9"/>
      <c r="XCY711" s="9"/>
      <c r="XCZ711" s="9"/>
      <c r="XDA711" s="9"/>
      <c r="XDB711" s="9"/>
      <c r="XDC711" s="9"/>
      <c r="XDD711" s="9"/>
      <c r="XDE711" s="9"/>
      <c r="XDF711" s="9"/>
      <c r="XDG711" s="9"/>
      <c r="XDH711" s="9"/>
      <c r="XDI711" s="9"/>
      <c r="XDJ711" s="9"/>
      <c r="XDK711" s="9"/>
      <c r="XDL711" s="9"/>
      <c r="XDM711" s="9"/>
      <c r="XDN711" s="9"/>
      <c r="XDO711" s="9"/>
      <c r="XDP711" s="9"/>
      <c r="XDQ711" s="9"/>
      <c r="XDR711" s="9"/>
      <c r="XDS711" s="9"/>
      <c r="XDT711" s="9"/>
      <c r="XDU711" s="9"/>
      <c r="XDV711" s="9"/>
      <c r="XDW711" s="9"/>
      <c r="XDX711" s="9"/>
      <c r="XDY711" s="9"/>
      <c r="XDZ711" s="9"/>
      <c r="XEA711" s="9"/>
      <c r="XEB711" s="9"/>
      <c r="XEC711" s="9"/>
      <c r="XED711" s="9"/>
      <c r="XEE711" s="9"/>
      <c r="XEF711" s="9"/>
      <c r="XEG711" s="9"/>
      <c r="XEH711" s="9"/>
      <c r="XEI711" s="9"/>
      <c r="XEJ711" s="9"/>
      <c r="XEK711" s="9"/>
      <c r="XEL711" s="9"/>
      <c r="XEM711" s="9"/>
      <c r="XEN711" s="9"/>
      <c r="XEO711" s="9"/>
      <c r="XEP711" s="9"/>
      <c r="XEQ711" s="9"/>
      <c r="XER711" s="9"/>
      <c r="XES711" s="9"/>
      <c r="XET711" s="9"/>
      <c r="XEU711" s="9"/>
      <c r="XEV711" s="9"/>
      <c r="XEW711" s="9"/>
      <c r="XEX711" s="9"/>
      <c r="XEY711" s="9"/>
      <c r="XEZ711" s="9"/>
      <c r="XFA711" s="9"/>
      <c r="XFB711" s="9"/>
      <c r="XFC711" s="9"/>
      <c r="XFD711" s="9"/>
    </row>
    <row r="712" spans="1:8 16325:16384" s="3" customFormat="1" ht="19.95" customHeight="1">
      <c r="A712" s="6" t="str">
        <f t="shared" si="32"/>
        <v>040033</v>
      </c>
      <c r="B712" s="6" t="s">
        <v>13</v>
      </c>
      <c r="C712" s="6" t="s">
        <v>33</v>
      </c>
      <c r="D712" s="6" t="str">
        <f>"512732605"</f>
        <v>512732605</v>
      </c>
      <c r="E712" s="7">
        <v>73.5</v>
      </c>
      <c r="F712" s="7">
        <v>61.5</v>
      </c>
      <c r="G712" s="7"/>
      <c r="H712" s="7">
        <v>68.7</v>
      </c>
      <c r="XCW712" s="9"/>
      <c r="XCX712" s="9"/>
      <c r="XCY712" s="9"/>
      <c r="XCZ712" s="9"/>
      <c r="XDA712" s="9"/>
      <c r="XDB712" s="9"/>
      <c r="XDC712" s="9"/>
      <c r="XDD712" s="9"/>
      <c r="XDE712" s="9"/>
      <c r="XDF712" s="9"/>
      <c r="XDG712" s="9"/>
      <c r="XDH712" s="9"/>
      <c r="XDI712" s="9"/>
      <c r="XDJ712" s="9"/>
      <c r="XDK712" s="9"/>
      <c r="XDL712" s="9"/>
      <c r="XDM712" s="9"/>
      <c r="XDN712" s="9"/>
      <c r="XDO712" s="9"/>
      <c r="XDP712" s="9"/>
      <c r="XDQ712" s="9"/>
      <c r="XDR712" s="9"/>
      <c r="XDS712" s="9"/>
      <c r="XDT712" s="9"/>
      <c r="XDU712" s="9"/>
      <c r="XDV712" s="9"/>
      <c r="XDW712" s="9"/>
      <c r="XDX712" s="9"/>
      <c r="XDY712" s="9"/>
      <c r="XDZ712" s="9"/>
      <c r="XEA712" s="9"/>
      <c r="XEB712" s="9"/>
      <c r="XEC712" s="9"/>
      <c r="XED712" s="9"/>
      <c r="XEE712" s="9"/>
      <c r="XEF712" s="9"/>
      <c r="XEG712" s="9"/>
      <c r="XEH712" s="9"/>
      <c r="XEI712" s="9"/>
      <c r="XEJ712" s="9"/>
      <c r="XEK712" s="9"/>
      <c r="XEL712" s="9"/>
      <c r="XEM712" s="9"/>
      <c r="XEN712" s="9"/>
      <c r="XEO712" s="9"/>
      <c r="XEP712" s="9"/>
      <c r="XEQ712" s="9"/>
      <c r="XER712" s="9"/>
      <c r="XES712" s="9"/>
      <c r="XET712" s="9"/>
      <c r="XEU712" s="9"/>
      <c r="XEV712" s="9"/>
      <c r="XEW712" s="9"/>
      <c r="XEX712" s="9"/>
      <c r="XEY712" s="9"/>
      <c r="XEZ712" s="9"/>
      <c r="XFA712" s="9"/>
      <c r="XFB712" s="9"/>
      <c r="XFC712" s="9"/>
      <c r="XFD712" s="9"/>
    </row>
    <row r="713" spans="1:8 16325:16384" s="3" customFormat="1" ht="19.95" customHeight="1">
      <c r="A713" s="6" t="str">
        <f t="shared" si="32"/>
        <v>040033</v>
      </c>
      <c r="B713" s="6" t="s">
        <v>13</v>
      </c>
      <c r="C713" s="6" t="s">
        <v>33</v>
      </c>
      <c r="D713" s="6" t="str">
        <f>"512732529"</f>
        <v>512732529</v>
      </c>
      <c r="E713" s="7">
        <v>80.5</v>
      </c>
      <c r="F713" s="7">
        <v>69</v>
      </c>
      <c r="G713" s="7"/>
      <c r="H713" s="7">
        <v>75.900000000000006</v>
      </c>
      <c r="XCW713" s="9"/>
      <c r="XCX713" s="9"/>
      <c r="XCY713" s="9"/>
      <c r="XCZ713" s="9"/>
      <c r="XDA713" s="9"/>
      <c r="XDB713" s="9"/>
      <c r="XDC713" s="9"/>
      <c r="XDD713" s="9"/>
      <c r="XDE713" s="9"/>
      <c r="XDF713" s="9"/>
      <c r="XDG713" s="9"/>
      <c r="XDH713" s="9"/>
      <c r="XDI713" s="9"/>
      <c r="XDJ713" s="9"/>
      <c r="XDK713" s="9"/>
      <c r="XDL713" s="9"/>
      <c r="XDM713" s="9"/>
      <c r="XDN713" s="9"/>
      <c r="XDO713" s="9"/>
      <c r="XDP713" s="9"/>
      <c r="XDQ713" s="9"/>
      <c r="XDR713" s="9"/>
      <c r="XDS713" s="9"/>
      <c r="XDT713" s="9"/>
      <c r="XDU713" s="9"/>
      <c r="XDV713" s="9"/>
      <c r="XDW713" s="9"/>
      <c r="XDX713" s="9"/>
      <c r="XDY713" s="9"/>
      <c r="XDZ713" s="9"/>
      <c r="XEA713" s="9"/>
      <c r="XEB713" s="9"/>
      <c r="XEC713" s="9"/>
      <c r="XED713" s="9"/>
      <c r="XEE713" s="9"/>
      <c r="XEF713" s="9"/>
      <c r="XEG713" s="9"/>
      <c r="XEH713" s="9"/>
      <c r="XEI713" s="9"/>
      <c r="XEJ713" s="9"/>
      <c r="XEK713" s="9"/>
      <c r="XEL713" s="9"/>
      <c r="XEM713" s="9"/>
      <c r="XEN713" s="9"/>
      <c r="XEO713" s="9"/>
      <c r="XEP713" s="9"/>
      <c r="XEQ713" s="9"/>
      <c r="XER713" s="9"/>
      <c r="XES713" s="9"/>
      <c r="XET713" s="9"/>
      <c r="XEU713" s="9"/>
      <c r="XEV713" s="9"/>
      <c r="XEW713" s="9"/>
      <c r="XEX713" s="9"/>
      <c r="XEY713" s="9"/>
      <c r="XEZ713" s="9"/>
      <c r="XFA713" s="9"/>
      <c r="XFB713" s="9"/>
      <c r="XFC713" s="9"/>
      <c r="XFD713" s="9"/>
    </row>
    <row r="714" spans="1:8 16325:16384" s="3" customFormat="1" ht="19.95" customHeight="1">
      <c r="A714" s="6" t="str">
        <f t="shared" si="32"/>
        <v>040033</v>
      </c>
      <c r="B714" s="6" t="s">
        <v>13</v>
      </c>
      <c r="C714" s="6" t="s">
        <v>33</v>
      </c>
      <c r="D714" s="6" t="str">
        <f>"512732603"</f>
        <v>512732603</v>
      </c>
      <c r="E714" s="7">
        <v>90</v>
      </c>
      <c r="F714" s="7">
        <v>62.5</v>
      </c>
      <c r="G714" s="7"/>
      <c r="H714" s="7">
        <v>79</v>
      </c>
      <c r="XCW714" s="9"/>
      <c r="XCX714" s="9"/>
      <c r="XCY714" s="9"/>
      <c r="XCZ714" s="9"/>
      <c r="XDA714" s="9"/>
      <c r="XDB714" s="9"/>
      <c r="XDC714" s="9"/>
      <c r="XDD714" s="9"/>
      <c r="XDE714" s="9"/>
      <c r="XDF714" s="9"/>
      <c r="XDG714" s="9"/>
      <c r="XDH714" s="9"/>
      <c r="XDI714" s="9"/>
      <c r="XDJ714" s="9"/>
      <c r="XDK714" s="9"/>
      <c r="XDL714" s="9"/>
      <c r="XDM714" s="9"/>
      <c r="XDN714" s="9"/>
      <c r="XDO714" s="9"/>
      <c r="XDP714" s="9"/>
      <c r="XDQ714" s="9"/>
      <c r="XDR714" s="9"/>
      <c r="XDS714" s="9"/>
      <c r="XDT714" s="9"/>
      <c r="XDU714" s="9"/>
      <c r="XDV714" s="9"/>
      <c r="XDW714" s="9"/>
      <c r="XDX714" s="9"/>
      <c r="XDY714" s="9"/>
      <c r="XDZ714" s="9"/>
      <c r="XEA714" s="9"/>
      <c r="XEB714" s="9"/>
      <c r="XEC714" s="9"/>
      <c r="XED714" s="9"/>
      <c r="XEE714" s="9"/>
      <c r="XEF714" s="9"/>
      <c r="XEG714" s="9"/>
      <c r="XEH714" s="9"/>
      <c r="XEI714" s="9"/>
      <c r="XEJ714" s="9"/>
      <c r="XEK714" s="9"/>
      <c r="XEL714" s="9"/>
      <c r="XEM714" s="9"/>
      <c r="XEN714" s="9"/>
      <c r="XEO714" s="9"/>
      <c r="XEP714" s="9"/>
      <c r="XEQ714" s="9"/>
      <c r="XER714" s="9"/>
      <c r="XES714" s="9"/>
      <c r="XET714" s="9"/>
      <c r="XEU714" s="9"/>
      <c r="XEV714" s="9"/>
      <c r="XEW714" s="9"/>
      <c r="XEX714" s="9"/>
      <c r="XEY714" s="9"/>
      <c r="XEZ714" s="9"/>
      <c r="XFA714" s="9"/>
      <c r="XFB714" s="9"/>
      <c r="XFC714" s="9"/>
      <c r="XFD714" s="9"/>
    </row>
    <row r="715" spans="1:8 16325:16384" s="1" customFormat="1"/>
    <row r="716" spans="1:8 16325:16384" s="1" customFormat="1"/>
    <row r="717" spans="1:8 16325:16384" s="1" customFormat="1"/>
    <row r="718" spans="1:8 16325:16384" s="1" customFormat="1"/>
    <row r="719" spans="1:8 16325:16384" s="1" customFormat="1"/>
    <row r="720" spans="1:8 16325:16384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</sheetData>
  <mergeCells count="1">
    <mergeCell ref="A1:H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2025-04-15T09:23:16Z</dcterms:created>
  <dcterms:modified xsi:type="dcterms:W3CDTF">2025-04-16T01:46:19Z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1595C59541F244EE81035765C548B1E9_11</vt:lpwstr>
  </property>
  <property fmtid="{D5CDD505-2E9C-101B-9397-08002B2CF9AE}" pid="3" name="KSOProductBuildVer">
    <vt:lpwstr>2052-12.1.0.20784</vt:lpwstr>
  </property>
</Properties>
</file>