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Sheet1!$A$1:$H$5630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<sst xmlns="http://schemas.openxmlformats.org/spreadsheetml/2006/main" count="11266" uniqueCount="63">
  <si>
    <t>招聘单位</t>
  </si>
  <si>
    <t>岗位名称</t>
  </si>
  <si>
    <t>岗位代码</t>
  </si>
  <si>
    <t>准考证号</t>
  </si>
  <si>
    <t>学科专业知识成绩</t>
  </si>
  <si>
    <t>教育综合知识成绩</t>
  </si>
  <si>
    <t>加分</t>
  </si>
  <si>
    <t>总分</t>
  </si>
  <si>
    <t>阜阳市北城小学</t>
  </si>
  <si>
    <t>小学数学1</t>
  </si>
  <si>
    <t>阜阳市阜纺小学</t>
  </si>
  <si>
    <t>阜阳市东清小学</t>
  </si>
  <si>
    <t>阜阳市颍州区复兴小学（合肥高新创新实验小学教育集团颍州分校）</t>
  </si>
  <si>
    <t>阜阳市六里小学</t>
  </si>
  <si>
    <t>阜阳市颍州区保丰路小学（合肥市南门小学颍州分校）</t>
  </si>
  <si>
    <t>阜阳市清河路第一小学高铁校区</t>
  </si>
  <si>
    <t>阜阳市清河路第一小学逍遥津校区</t>
  </si>
  <si>
    <t>阜阳市颍州区苗桥小学</t>
  </si>
  <si>
    <t>小学美术1</t>
  </si>
  <si>
    <t>小学语文1</t>
  </si>
  <si>
    <t>阜阳市刘锜小学</t>
  </si>
  <si>
    <t>小学英语1</t>
  </si>
  <si>
    <t>小学体育1</t>
  </si>
  <si>
    <t>小学音乐1</t>
  </si>
  <si>
    <t>小学道德与法治1</t>
  </si>
  <si>
    <t>小学科学1</t>
  </si>
  <si>
    <t>小学信息技术1</t>
  </si>
  <si>
    <t>阜阳市第十二中学</t>
  </si>
  <si>
    <t>高中语文1</t>
  </si>
  <si>
    <t>阜阳市第十五中学行知路分校</t>
  </si>
  <si>
    <t>初中语文1</t>
  </si>
  <si>
    <t>阜阳市第十五中学复兴分校</t>
  </si>
  <si>
    <t>阜阳市颍州区华信路初级中学（合肥市第四十五中学颍州分校）</t>
  </si>
  <si>
    <t>阜阳经济技术开发区第一初级中学</t>
  </si>
  <si>
    <t>阜阳市颍州区九里初级中学</t>
  </si>
  <si>
    <t>初中语文2</t>
  </si>
  <si>
    <t>阜阳市颍州区南京路初级中学</t>
  </si>
  <si>
    <t>阜阳市第十五中学</t>
  </si>
  <si>
    <t>阜阳市颍州区西清路初级中学</t>
  </si>
  <si>
    <t>阜阳市红旗中学</t>
  </si>
  <si>
    <t>高中物理1</t>
  </si>
  <si>
    <t>初中物理1</t>
  </si>
  <si>
    <t>初中物理2</t>
  </si>
  <si>
    <t>初中道德与法治1</t>
  </si>
  <si>
    <t>初中政治2</t>
  </si>
  <si>
    <t>高中数学1</t>
  </si>
  <si>
    <t>阜阳市大田中学</t>
  </si>
  <si>
    <t>初中数学1</t>
  </si>
  <si>
    <t>阜阳开发区京九路办事处颍南中学</t>
  </si>
  <si>
    <t>初中数学2</t>
  </si>
  <si>
    <t>高中英语1</t>
  </si>
  <si>
    <t>初中英语1</t>
  </si>
  <si>
    <t>初中英语2</t>
  </si>
  <si>
    <t>初中化学1</t>
  </si>
  <si>
    <t>初中化学2</t>
  </si>
  <si>
    <t>初中生物1</t>
  </si>
  <si>
    <t>初中历史1</t>
  </si>
  <si>
    <t>初中历史2</t>
  </si>
  <si>
    <t>初中地理1</t>
  </si>
  <si>
    <t>初中音乐1</t>
  </si>
  <si>
    <t>初中体育1</t>
  </si>
  <si>
    <t>初中体育2</t>
  </si>
  <si>
    <t>初中美术1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</si>
</sst>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30"/>
  <sheetViews>
    <sheetView tabSelected="1" workbookViewId="0">
      <selection activeCell="M17" sqref="M17"/>
    </sheetView>
  </sheetViews>
  <sheetFormatPr defaultColWidth="9" defaultRowHeight="13.5" outlineLevelCol="7"/>
  <cols>
    <col min="1" max="1" width="20.25" customWidth="1"/>
    <col min="2" max="2" width="11" customWidth="1"/>
    <col min="3" max="3" width="7.5" customWidth="1"/>
    <col min="4" max="4" width="11.375" customWidth="1"/>
    <col min="5" max="5" width="8.75" customWidth="1"/>
    <col min="6" max="6" width="8.875" customWidth="1"/>
    <col min="7" max="7" width="6.125" customWidth="1"/>
  </cols>
  <sheetData>
    <row r="1" s="1" customForma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="1" customFormat="1" spans="1:8">
      <c r="A2" s="1" t="s">
        <v>8</v>
      </c>
      <c r="B2" s="1" t="s">
        <v>9</v>
      </c>
      <c r="C2" s="1" t="str">
        <f t="shared" ref="C2:C65" si="0">"020059"</f>
        <v>020059</v>
      </c>
      <c r="D2" s="1" t="str">
        <f>"112100101"</f>
        <v>112100101</v>
      </c>
      <c r="E2" s="1">
        <v>0</v>
      </c>
      <c r="F2" s="1">
        <v>0</v>
      </c>
      <c r="H2" s="1">
        <v>0</v>
      </c>
    </row>
    <row r="3" s="1" customFormat="1" spans="1:8">
      <c r="A3" s="1" t="s">
        <v>8</v>
      </c>
      <c r="B3" s="1" t="s">
        <v>9</v>
      </c>
      <c r="C3" s="1" t="str">
        <f t="shared" si="0"/>
        <v>020059</v>
      </c>
      <c r="D3" s="1" t="str">
        <f>"112100102"</f>
        <v>112100102</v>
      </c>
      <c r="E3" s="1">
        <v>0</v>
      </c>
      <c r="F3" s="1">
        <v>0</v>
      </c>
      <c r="H3" s="1">
        <v>0</v>
      </c>
    </row>
    <row r="4" s="1" customFormat="1" spans="1:8">
      <c r="A4" s="1" t="s">
        <v>8</v>
      </c>
      <c r="B4" s="1" t="s">
        <v>9</v>
      </c>
      <c r="C4" s="1" t="str">
        <f t="shared" si="0"/>
        <v>020059</v>
      </c>
      <c r="D4" s="1" t="str">
        <f>"112100103"</f>
        <v>112100103</v>
      </c>
      <c r="E4" s="1">
        <v>57.5</v>
      </c>
      <c r="F4" s="1">
        <v>64.5</v>
      </c>
      <c r="H4" s="1">
        <v>60.3</v>
      </c>
    </row>
    <row r="5" s="1" customFormat="1" spans="1:8">
      <c r="A5" s="1" t="s">
        <v>8</v>
      </c>
      <c r="B5" s="1" t="s">
        <v>9</v>
      </c>
      <c r="C5" s="1" t="str">
        <f t="shared" si="0"/>
        <v>020059</v>
      </c>
      <c r="D5" s="1" t="str">
        <f>"112100104"</f>
        <v>112100104</v>
      </c>
      <c r="E5" s="1">
        <v>0</v>
      </c>
      <c r="F5" s="1">
        <v>0</v>
      </c>
      <c r="H5" s="1">
        <v>0</v>
      </c>
    </row>
    <row r="6" s="1" customFormat="1" spans="1:8">
      <c r="A6" s="1" t="s">
        <v>8</v>
      </c>
      <c r="B6" s="1" t="s">
        <v>9</v>
      </c>
      <c r="C6" s="1" t="str">
        <f t="shared" si="0"/>
        <v>020059</v>
      </c>
      <c r="D6" s="1" t="str">
        <f>"112100105"</f>
        <v>112100105</v>
      </c>
      <c r="E6" s="1">
        <v>32.5</v>
      </c>
      <c r="F6" s="1">
        <v>57.5</v>
      </c>
      <c r="H6" s="1">
        <v>42.5</v>
      </c>
    </row>
    <row r="7" s="1" customFormat="1" spans="1:8">
      <c r="A7" s="1" t="s">
        <v>8</v>
      </c>
      <c r="B7" s="1" t="s">
        <v>9</v>
      </c>
      <c r="C7" s="1" t="str">
        <f t="shared" si="0"/>
        <v>020059</v>
      </c>
      <c r="D7" s="1" t="str">
        <f>"112100106"</f>
        <v>112100106</v>
      </c>
      <c r="E7" s="1">
        <v>58.5</v>
      </c>
      <c r="F7" s="1">
        <v>62</v>
      </c>
      <c r="H7" s="1">
        <v>59.9</v>
      </c>
    </row>
    <row r="8" s="1" customFormat="1" spans="1:8">
      <c r="A8" s="1" t="s">
        <v>8</v>
      </c>
      <c r="B8" s="1" t="s">
        <v>9</v>
      </c>
      <c r="C8" s="1" t="str">
        <f t="shared" si="0"/>
        <v>020059</v>
      </c>
      <c r="D8" s="1" t="str">
        <f>"112100107"</f>
        <v>112100107</v>
      </c>
      <c r="E8" s="1">
        <v>88.5</v>
      </c>
      <c r="F8" s="1">
        <v>80</v>
      </c>
      <c r="H8" s="1">
        <v>85.1</v>
      </c>
    </row>
    <row r="9" s="1" customFormat="1" spans="1:8">
      <c r="A9" s="1" t="s">
        <v>8</v>
      </c>
      <c r="B9" s="1" t="s">
        <v>9</v>
      </c>
      <c r="C9" s="1" t="str">
        <f t="shared" si="0"/>
        <v>020059</v>
      </c>
      <c r="D9" s="1" t="str">
        <f>"112100108"</f>
        <v>112100108</v>
      </c>
      <c r="E9" s="1">
        <v>0</v>
      </c>
      <c r="F9" s="1">
        <v>0</v>
      </c>
      <c r="H9" s="1">
        <v>0</v>
      </c>
    </row>
    <row r="10" s="1" customFormat="1" spans="1:8">
      <c r="A10" s="1" t="s">
        <v>8</v>
      </c>
      <c r="B10" s="1" t="s">
        <v>9</v>
      </c>
      <c r="C10" s="1" t="str">
        <f t="shared" si="0"/>
        <v>020059</v>
      </c>
      <c r="D10" s="1" t="str">
        <f>"112100109"</f>
        <v>112100109</v>
      </c>
      <c r="E10" s="1">
        <v>24</v>
      </c>
      <c r="F10" s="1">
        <v>59.5</v>
      </c>
      <c r="H10" s="1">
        <v>38.2</v>
      </c>
    </row>
    <row r="11" s="1" customFormat="1" spans="1:8">
      <c r="A11" s="1" t="s">
        <v>8</v>
      </c>
      <c r="B11" s="1" t="s">
        <v>9</v>
      </c>
      <c r="C11" s="1" t="str">
        <f t="shared" si="0"/>
        <v>020059</v>
      </c>
      <c r="D11" s="1" t="str">
        <f>"112100110"</f>
        <v>112100110</v>
      </c>
      <c r="E11" s="1">
        <v>0</v>
      </c>
      <c r="F11" s="1">
        <v>0</v>
      </c>
      <c r="H11" s="1">
        <v>0</v>
      </c>
    </row>
    <row r="12" s="1" customFormat="1" spans="1:8">
      <c r="A12" s="1" t="s">
        <v>8</v>
      </c>
      <c r="B12" s="1" t="s">
        <v>9</v>
      </c>
      <c r="C12" s="1" t="str">
        <f t="shared" si="0"/>
        <v>020059</v>
      </c>
      <c r="D12" s="1" t="str">
        <f>"112100111"</f>
        <v>112100111</v>
      </c>
      <c r="E12" s="1">
        <v>0</v>
      </c>
      <c r="F12" s="1">
        <v>0</v>
      </c>
      <c r="H12" s="1">
        <v>0</v>
      </c>
    </row>
    <row r="13" s="1" customFormat="1" spans="1:8">
      <c r="A13" s="1" t="s">
        <v>8</v>
      </c>
      <c r="B13" s="1" t="s">
        <v>9</v>
      </c>
      <c r="C13" s="1" t="str">
        <f t="shared" si="0"/>
        <v>020059</v>
      </c>
      <c r="D13" s="1" t="str">
        <f>"112100112"</f>
        <v>112100112</v>
      </c>
      <c r="E13" s="1">
        <v>0</v>
      </c>
      <c r="F13" s="1">
        <v>0</v>
      </c>
      <c r="H13" s="1">
        <v>0</v>
      </c>
    </row>
    <row r="14" s="1" customFormat="1" spans="1:8">
      <c r="A14" s="1" t="s">
        <v>8</v>
      </c>
      <c r="B14" s="1" t="s">
        <v>9</v>
      </c>
      <c r="C14" s="1" t="str">
        <f t="shared" si="0"/>
        <v>020059</v>
      </c>
      <c r="D14" s="1" t="str">
        <f>"112100113"</f>
        <v>112100113</v>
      </c>
      <c r="E14" s="1">
        <v>0</v>
      </c>
      <c r="F14" s="1">
        <v>0</v>
      </c>
      <c r="H14" s="1">
        <v>0</v>
      </c>
    </row>
    <row r="15" s="1" customFormat="1" spans="1:8">
      <c r="A15" s="1" t="s">
        <v>8</v>
      </c>
      <c r="B15" s="1" t="s">
        <v>9</v>
      </c>
      <c r="C15" s="1" t="str">
        <f t="shared" si="0"/>
        <v>020059</v>
      </c>
      <c r="D15" s="1" t="str">
        <f>"112100114"</f>
        <v>112100114</v>
      </c>
      <c r="E15" s="1">
        <v>0</v>
      </c>
      <c r="F15" s="1">
        <v>0</v>
      </c>
      <c r="H15" s="1">
        <v>0</v>
      </c>
    </row>
    <row r="16" s="1" customFormat="1" spans="1:8">
      <c r="A16" s="1" t="s">
        <v>8</v>
      </c>
      <c r="B16" s="1" t="s">
        <v>9</v>
      </c>
      <c r="C16" s="1" t="str">
        <f t="shared" si="0"/>
        <v>020059</v>
      </c>
      <c r="D16" s="1" t="str">
        <f>"112100115"</f>
        <v>112100115</v>
      </c>
      <c r="E16" s="1">
        <v>75</v>
      </c>
      <c r="F16" s="1">
        <v>77.5</v>
      </c>
      <c r="H16" s="1">
        <v>76</v>
      </c>
    </row>
    <row r="17" s="1" customFormat="1" spans="1:8">
      <c r="A17" s="1" t="s">
        <v>8</v>
      </c>
      <c r="B17" s="1" t="s">
        <v>9</v>
      </c>
      <c r="C17" s="1" t="str">
        <f t="shared" si="0"/>
        <v>020059</v>
      </c>
      <c r="D17" s="1" t="str">
        <f>"112100116"</f>
        <v>112100116</v>
      </c>
      <c r="E17" s="1">
        <v>37</v>
      </c>
      <c r="F17" s="1">
        <v>0</v>
      </c>
      <c r="H17" s="1">
        <v>22.2</v>
      </c>
    </row>
    <row r="18" s="1" customFormat="1" spans="1:8">
      <c r="A18" s="1" t="s">
        <v>8</v>
      </c>
      <c r="B18" s="1" t="s">
        <v>9</v>
      </c>
      <c r="C18" s="1" t="str">
        <f t="shared" si="0"/>
        <v>020059</v>
      </c>
      <c r="D18" s="1" t="str">
        <f>"112100117"</f>
        <v>112100117</v>
      </c>
      <c r="E18" s="1">
        <v>45</v>
      </c>
      <c r="F18" s="1">
        <v>72</v>
      </c>
      <c r="H18" s="1">
        <v>55.8</v>
      </c>
    </row>
    <row r="19" s="1" customFormat="1" spans="1:8">
      <c r="A19" s="1" t="s">
        <v>8</v>
      </c>
      <c r="B19" s="1" t="s">
        <v>9</v>
      </c>
      <c r="C19" s="1" t="str">
        <f t="shared" si="0"/>
        <v>020059</v>
      </c>
      <c r="D19" s="1" t="str">
        <f>"112100118"</f>
        <v>112100118</v>
      </c>
      <c r="E19" s="1">
        <v>39.5</v>
      </c>
      <c r="F19" s="1">
        <v>86.5</v>
      </c>
      <c r="H19" s="1">
        <v>58.3</v>
      </c>
    </row>
    <row r="20" s="1" customFormat="1" spans="1:8">
      <c r="A20" s="1" t="s">
        <v>8</v>
      </c>
      <c r="B20" s="1" t="s">
        <v>9</v>
      </c>
      <c r="C20" s="1" t="str">
        <f t="shared" si="0"/>
        <v>020059</v>
      </c>
      <c r="D20" s="1" t="str">
        <f>"112100119"</f>
        <v>112100119</v>
      </c>
      <c r="E20" s="1">
        <v>83</v>
      </c>
      <c r="F20" s="1">
        <v>91.5</v>
      </c>
      <c r="H20" s="1">
        <v>86.4</v>
      </c>
    </row>
    <row r="21" s="1" customFormat="1" spans="1:8">
      <c r="A21" s="1" t="s">
        <v>8</v>
      </c>
      <c r="B21" s="1" t="s">
        <v>9</v>
      </c>
      <c r="C21" s="1" t="str">
        <f t="shared" si="0"/>
        <v>020059</v>
      </c>
      <c r="D21" s="1" t="str">
        <f>"112100120"</f>
        <v>112100120</v>
      </c>
      <c r="E21" s="1">
        <v>51</v>
      </c>
      <c r="F21" s="1">
        <v>82</v>
      </c>
      <c r="H21" s="1">
        <v>63.4</v>
      </c>
    </row>
    <row r="22" s="1" customFormat="1" spans="1:8">
      <c r="A22" s="1" t="s">
        <v>8</v>
      </c>
      <c r="B22" s="1" t="s">
        <v>9</v>
      </c>
      <c r="C22" s="1" t="str">
        <f t="shared" si="0"/>
        <v>020059</v>
      </c>
      <c r="D22" s="1" t="str">
        <f>"112100121"</f>
        <v>112100121</v>
      </c>
      <c r="E22" s="1">
        <v>70</v>
      </c>
      <c r="F22" s="1">
        <v>68.5</v>
      </c>
      <c r="H22" s="1">
        <v>69.4</v>
      </c>
    </row>
    <row r="23" s="1" customFormat="1" spans="1:8">
      <c r="A23" s="1" t="s">
        <v>8</v>
      </c>
      <c r="B23" s="1" t="s">
        <v>9</v>
      </c>
      <c r="C23" s="1" t="str">
        <f t="shared" si="0"/>
        <v>020059</v>
      </c>
      <c r="D23" s="1" t="str">
        <f>"112100122"</f>
        <v>112100122</v>
      </c>
      <c r="E23" s="1">
        <v>47.5</v>
      </c>
      <c r="F23" s="1">
        <v>0</v>
      </c>
      <c r="H23" s="1">
        <v>28.5</v>
      </c>
    </row>
    <row r="24" s="1" customFormat="1" spans="1:8">
      <c r="A24" s="1" t="s">
        <v>8</v>
      </c>
      <c r="B24" s="1" t="s">
        <v>9</v>
      </c>
      <c r="C24" s="1" t="str">
        <f t="shared" si="0"/>
        <v>020059</v>
      </c>
      <c r="D24" s="1" t="str">
        <f>"112100123"</f>
        <v>112100123</v>
      </c>
      <c r="E24" s="1">
        <v>53</v>
      </c>
      <c r="F24" s="1">
        <v>67</v>
      </c>
      <c r="H24" s="1">
        <v>58.6</v>
      </c>
    </row>
    <row r="25" s="1" customFormat="1" spans="1:8">
      <c r="A25" s="1" t="s">
        <v>8</v>
      </c>
      <c r="B25" s="1" t="s">
        <v>9</v>
      </c>
      <c r="C25" s="1" t="str">
        <f t="shared" si="0"/>
        <v>020059</v>
      </c>
      <c r="D25" s="1" t="str">
        <f>"112100124"</f>
        <v>112100124</v>
      </c>
      <c r="E25" s="1">
        <v>48.5</v>
      </c>
      <c r="F25" s="1">
        <v>63.5</v>
      </c>
      <c r="H25" s="1">
        <v>54.5</v>
      </c>
    </row>
    <row r="26" s="1" customFormat="1" spans="1:8">
      <c r="A26" s="1" t="s">
        <v>8</v>
      </c>
      <c r="B26" s="1" t="s">
        <v>9</v>
      </c>
      <c r="C26" s="1" t="str">
        <f t="shared" si="0"/>
        <v>020059</v>
      </c>
      <c r="D26" s="1" t="str">
        <f>"112100125"</f>
        <v>112100125</v>
      </c>
      <c r="E26" s="1">
        <v>69.5</v>
      </c>
      <c r="F26" s="1">
        <v>59</v>
      </c>
      <c r="H26" s="1">
        <v>65.3</v>
      </c>
    </row>
    <row r="27" s="1" customFormat="1" spans="1:8">
      <c r="A27" s="1" t="s">
        <v>8</v>
      </c>
      <c r="B27" s="1" t="s">
        <v>9</v>
      </c>
      <c r="C27" s="1" t="str">
        <f t="shared" si="0"/>
        <v>020059</v>
      </c>
      <c r="D27" s="1" t="str">
        <f>"112100126"</f>
        <v>112100126</v>
      </c>
      <c r="E27" s="1">
        <v>69.5</v>
      </c>
      <c r="F27" s="1">
        <v>61</v>
      </c>
      <c r="H27" s="1">
        <v>66.1</v>
      </c>
    </row>
    <row r="28" s="1" customFormat="1" spans="1:8">
      <c r="A28" s="1" t="s">
        <v>8</v>
      </c>
      <c r="B28" s="1" t="s">
        <v>9</v>
      </c>
      <c r="C28" s="1" t="str">
        <f t="shared" si="0"/>
        <v>020059</v>
      </c>
      <c r="D28" s="1" t="str">
        <f>"112100127"</f>
        <v>112100127</v>
      </c>
      <c r="E28" s="1">
        <v>65</v>
      </c>
      <c r="F28" s="1">
        <v>70</v>
      </c>
      <c r="H28" s="1">
        <v>67</v>
      </c>
    </row>
    <row r="29" s="1" customFormat="1" spans="1:8">
      <c r="A29" s="1" t="s">
        <v>8</v>
      </c>
      <c r="B29" s="1" t="s">
        <v>9</v>
      </c>
      <c r="C29" s="1" t="str">
        <f t="shared" si="0"/>
        <v>020059</v>
      </c>
      <c r="D29" s="1" t="str">
        <f>"112100128"</f>
        <v>112100128</v>
      </c>
      <c r="E29" s="1">
        <v>0</v>
      </c>
      <c r="F29" s="1">
        <v>0</v>
      </c>
      <c r="H29" s="1">
        <v>0</v>
      </c>
    </row>
    <row r="30" s="1" customFormat="1" spans="1:8">
      <c r="A30" s="1" t="s">
        <v>8</v>
      </c>
      <c r="B30" s="1" t="s">
        <v>9</v>
      </c>
      <c r="C30" s="1" t="str">
        <f t="shared" si="0"/>
        <v>020059</v>
      </c>
      <c r="D30" s="1" t="str">
        <f>"112100129"</f>
        <v>112100129</v>
      </c>
      <c r="E30" s="1">
        <v>61</v>
      </c>
      <c r="F30" s="1">
        <v>67.5</v>
      </c>
      <c r="H30" s="1">
        <v>63.6</v>
      </c>
    </row>
    <row r="31" s="1" customFormat="1" spans="1:8">
      <c r="A31" s="1" t="s">
        <v>8</v>
      </c>
      <c r="B31" s="1" t="s">
        <v>9</v>
      </c>
      <c r="C31" s="1" t="str">
        <f t="shared" si="0"/>
        <v>020059</v>
      </c>
      <c r="D31" s="1" t="str">
        <f>"112100130"</f>
        <v>112100130</v>
      </c>
      <c r="E31" s="1">
        <v>74</v>
      </c>
      <c r="F31" s="1">
        <v>87</v>
      </c>
      <c r="H31" s="1">
        <v>79.2</v>
      </c>
    </row>
    <row r="32" s="1" customFormat="1" spans="1:8">
      <c r="A32" s="1" t="s">
        <v>8</v>
      </c>
      <c r="B32" s="1" t="s">
        <v>9</v>
      </c>
      <c r="C32" s="1" t="str">
        <f t="shared" si="0"/>
        <v>020059</v>
      </c>
      <c r="D32" s="1" t="str">
        <f>"112100201"</f>
        <v>112100201</v>
      </c>
      <c r="E32" s="1">
        <v>0</v>
      </c>
      <c r="F32" s="1">
        <v>0</v>
      </c>
      <c r="H32" s="1">
        <v>0</v>
      </c>
    </row>
    <row r="33" s="1" customFormat="1" spans="1:8">
      <c r="A33" s="1" t="s">
        <v>8</v>
      </c>
      <c r="B33" s="1" t="s">
        <v>9</v>
      </c>
      <c r="C33" s="1" t="str">
        <f t="shared" si="0"/>
        <v>020059</v>
      </c>
      <c r="D33" s="1" t="str">
        <f>"112100202"</f>
        <v>112100202</v>
      </c>
      <c r="E33" s="1">
        <v>0</v>
      </c>
      <c r="F33" s="1">
        <v>0</v>
      </c>
      <c r="H33" s="1">
        <v>0</v>
      </c>
    </row>
    <row r="34" s="1" customFormat="1" spans="1:8">
      <c r="A34" s="1" t="s">
        <v>8</v>
      </c>
      <c r="B34" s="1" t="s">
        <v>9</v>
      </c>
      <c r="C34" s="1" t="str">
        <f t="shared" si="0"/>
        <v>020059</v>
      </c>
      <c r="D34" s="1" t="str">
        <f>"112100203"</f>
        <v>112100203</v>
      </c>
      <c r="E34" s="1">
        <v>53.5</v>
      </c>
      <c r="F34" s="1">
        <v>78</v>
      </c>
      <c r="H34" s="1">
        <v>63.3</v>
      </c>
    </row>
    <row r="35" s="1" customFormat="1" spans="1:8">
      <c r="A35" s="1" t="s">
        <v>8</v>
      </c>
      <c r="B35" s="1" t="s">
        <v>9</v>
      </c>
      <c r="C35" s="1" t="str">
        <f t="shared" si="0"/>
        <v>020059</v>
      </c>
      <c r="D35" s="1" t="str">
        <f>"112100204"</f>
        <v>112100204</v>
      </c>
      <c r="E35" s="1">
        <v>0</v>
      </c>
      <c r="F35" s="1">
        <v>0</v>
      </c>
      <c r="H35" s="1">
        <v>0</v>
      </c>
    </row>
    <row r="36" s="1" customFormat="1" spans="1:8">
      <c r="A36" s="1" t="s">
        <v>8</v>
      </c>
      <c r="B36" s="1" t="s">
        <v>9</v>
      </c>
      <c r="C36" s="1" t="str">
        <f t="shared" si="0"/>
        <v>020059</v>
      </c>
      <c r="D36" s="1" t="str">
        <f>"112100205"</f>
        <v>112100205</v>
      </c>
      <c r="E36" s="1">
        <v>61</v>
      </c>
      <c r="F36" s="1">
        <v>67.5</v>
      </c>
      <c r="H36" s="1">
        <v>63.6</v>
      </c>
    </row>
    <row r="37" s="1" customFormat="1" spans="1:8">
      <c r="A37" s="1" t="s">
        <v>8</v>
      </c>
      <c r="B37" s="1" t="s">
        <v>9</v>
      </c>
      <c r="C37" s="1" t="str">
        <f t="shared" si="0"/>
        <v>020059</v>
      </c>
      <c r="D37" s="1" t="str">
        <f>"112100206"</f>
        <v>112100206</v>
      </c>
      <c r="E37" s="1">
        <v>0</v>
      </c>
      <c r="F37" s="1">
        <v>0</v>
      </c>
      <c r="H37" s="1">
        <v>0</v>
      </c>
    </row>
    <row r="38" s="1" customFormat="1" spans="1:8">
      <c r="A38" s="1" t="s">
        <v>8</v>
      </c>
      <c r="B38" s="1" t="s">
        <v>9</v>
      </c>
      <c r="C38" s="1" t="str">
        <f t="shared" si="0"/>
        <v>020059</v>
      </c>
      <c r="D38" s="1" t="str">
        <f>"112100207"</f>
        <v>112100207</v>
      </c>
      <c r="E38" s="1">
        <v>49.5</v>
      </c>
      <c r="F38" s="1">
        <v>65.5</v>
      </c>
      <c r="H38" s="1">
        <v>55.9</v>
      </c>
    </row>
    <row r="39" s="1" customFormat="1" spans="1:8">
      <c r="A39" s="1" t="s">
        <v>8</v>
      </c>
      <c r="B39" s="1" t="s">
        <v>9</v>
      </c>
      <c r="C39" s="1" t="str">
        <f t="shared" si="0"/>
        <v>020059</v>
      </c>
      <c r="D39" s="1" t="str">
        <f>"112100208"</f>
        <v>112100208</v>
      </c>
      <c r="E39" s="1">
        <v>68</v>
      </c>
      <c r="F39" s="1">
        <v>76</v>
      </c>
      <c r="H39" s="1">
        <v>71.2</v>
      </c>
    </row>
    <row r="40" s="1" customFormat="1" spans="1:8">
      <c r="A40" s="1" t="s">
        <v>8</v>
      </c>
      <c r="B40" s="1" t="s">
        <v>9</v>
      </c>
      <c r="C40" s="1" t="str">
        <f t="shared" si="0"/>
        <v>020059</v>
      </c>
      <c r="D40" s="1" t="str">
        <f>"112100209"</f>
        <v>112100209</v>
      </c>
      <c r="E40" s="1">
        <v>53</v>
      </c>
      <c r="F40" s="1">
        <v>57.5</v>
      </c>
      <c r="H40" s="1">
        <v>54.8</v>
      </c>
    </row>
    <row r="41" s="1" customFormat="1" spans="1:8">
      <c r="A41" s="1" t="s">
        <v>8</v>
      </c>
      <c r="B41" s="1" t="s">
        <v>9</v>
      </c>
      <c r="C41" s="1" t="str">
        <f t="shared" si="0"/>
        <v>020059</v>
      </c>
      <c r="D41" s="1" t="str">
        <f>"112100210"</f>
        <v>112100210</v>
      </c>
      <c r="E41" s="1">
        <v>58.5</v>
      </c>
      <c r="F41" s="1">
        <v>59</v>
      </c>
      <c r="H41" s="1">
        <v>58.7</v>
      </c>
    </row>
    <row r="42" s="1" customFormat="1" spans="1:8">
      <c r="A42" s="1" t="s">
        <v>8</v>
      </c>
      <c r="B42" s="1" t="s">
        <v>9</v>
      </c>
      <c r="C42" s="1" t="str">
        <f t="shared" si="0"/>
        <v>020059</v>
      </c>
      <c r="D42" s="1" t="str">
        <f>"112100211"</f>
        <v>112100211</v>
      </c>
      <c r="E42" s="1">
        <v>73</v>
      </c>
      <c r="F42" s="1">
        <v>77.5</v>
      </c>
      <c r="H42" s="1">
        <v>74.8</v>
      </c>
    </row>
    <row r="43" s="1" customFormat="1" spans="1:8">
      <c r="A43" s="1" t="s">
        <v>8</v>
      </c>
      <c r="B43" s="1" t="s">
        <v>9</v>
      </c>
      <c r="C43" s="1" t="str">
        <f t="shared" si="0"/>
        <v>020059</v>
      </c>
      <c r="D43" s="1" t="str">
        <f>"112100212"</f>
        <v>112100212</v>
      </c>
      <c r="E43" s="1">
        <v>63.5</v>
      </c>
      <c r="F43" s="1">
        <v>63.5</v>
      </c>
      <c r="H43" s="1">
        <v>63.5</v>
      </c>
    </row>
    <row r="44" s="1" customFormat="1" spans="1:8">
      <c r="A44" s="1" t="s">
        <v>8</v>
      </c>
      <c r="B44" s="1" t="s">
        <v>9</v>
      </c>
      <c r="C44" s="1" t="str">
        <f t="shared" si="0"/>
        <v>020059</v>
      </c>
      <c r="D44" s="1" t="str">
        <f>"112100213"</f>
        <v>112100213</v>
      </c>
      <c r="E44" s="1">
        <v>61.5</v>
      </c>
      <c r="F44" s="1">
        <v>69</v>
      </c>
      <c r="H44" s="1">
        <v>64.5</v>
      </c>
    </row>
    <row r="45" s="1" customFormat="1" spans="1:8">
      <c r="A45" s="1" t="s">
        <v>8</v>
      </c>
      <c r="B45" s="1" t="s">
        <v>9</v>
      </c>
      <c r="C45" s="1" t="str">
        <f t="shared" si="0"/>
        <v>020059</v>
      </c>
      <c r="D45" s="1" t="str">
        <f>"112100214"</f>
        <v>112100214</v>
      </c>
      <c r="E45" s="1">
        <v>41</v>
      </c>
      <c r="F45" s="1">
        <v>62.5</v>
      </c>
      <c r="H45" s="1">
        <v>49.6</v>
      </c>
    </row>
    <row r="46" s="1" customFormat="1" spans="1:8">
      <c r="A46" s="1" t="s">
        <v>8</v>
      </c>
      <c r="B46" s="1" t="s">
        <v>9</v>
      </c>
      <c r="C46" s="1" t="str">
        <f t="shared" si="0"/>
        <v>020059</v>
      </c>
      <c r="D46" s="1" t="str">
        <f>"112100215"</f>
        <v>112100215</v>
      </c>
      <c r="E46" s="1">
        <v>24.5</v>
      </c>
      <c r="F46" s="1">
        <v>54</v>
      </c>
      <c r="H46" s="1">
        <v>36.3</v>
      </c>
    </row>
    <row r="47" s="1" customFormat="1" spans="1:8">
      <c r="A47" s="1" t="s">
        <v>8</v>
      </c>
      <c r="B47" s="1" t="s">
        <v>9</v>
      </c>
      <c r="C47" s="1" t="str">
        <f t="shared" si="0"/>
        <v>020059</v>
      </c>
      <c r="D47" s="1" t="str">
        <f>"112100216"</f>
        <v>112100216</v>
      </c>
      <c r="E47" s="1">
        <v>45</v>
      </c>
      <c r="F47" s="1">
        <v>70.5</v>
      </c>
      <c r="H47" s="1">
        <v>55.2</v>
      </c>
    </row>
    <row r="48" s="1" customFormat="1" spans="1:8">
      <c r="A48" s="1" t="s">
        <v>8</v>
      </c>
      <c r="B48" s="1" t="s">
        <v>9</v>
      </c>
      <c r="C48" s="1" t="str">
        <f t="shared" si="0"/>
        <v>020059</v>
      </c>
      <c r="D48" s="1" t="str">
        <f>"112100217"</f>
        <v>112100217</v>
      </c>
      <c r="E48" s="1">
        <v>57</v>
      </c>
      <c r="F48" s="1">
        <v>79.5</v>
      </c>
      <c r="H48" s="1">
        <v>66</v>
      </c>
    </row>
    <row r="49" s="1" customFormat="1" spans="1:8">
      <c r="A49" s="1" t="s">
        <v>8</v>
      </c>
      <c r="B49" s="1" t="s">
        <v>9</v>
      </c>
      <c r="C49" s="1" t="str">
        <f t="shared" si="0"/>
        <v>020059</v>
      </c>
      <c r="D49" s="1" t="str">
        <f>"112100218"</f>
        <v>112100218</v>
      </c>
      <c r="E49" s="1">
        <v>85.5</v>
      </c>
      <c r="F49" s="1">
        <v>86</v>
      </c>
      <c r="H49" s="1">
        <v>85.7</v>
      </c>
    </row>
    <row r="50" s="1" customFormat="1" spans="1:8">
      <c r="A50" s="1" t="s">
        <v>8</v>
      </c>
      <c r="B50" s="1" t="s">
        <v>9</v>
      </c>
      <c r="C50" s="1" t="str">
        <f t="shared" si="0"/>
        <v>020059</v>
      </c>
      <c r="D50" s="1" t="str">
        <f>"112100219"</f>
        <v>112100219</v>
      </c>
      <c r="E50" s="1">
        <v>82</v>
      </c>
      <c r="F50" s="1">
        <v>92.5</v>
      </c>
      <c r="H50" s="1">
        <v>86.2</v>
      </c>
    </row>
    <row r="51" s="1" customFormat="1" spans="1:8">
      <c r="A51" s="1" t="s">
        <v>8</v>
      </c>
      <c r="B51" s="1" t="s">
        <v>9</v>
      </c>
      <c r="C51" s="1" t="str">
        <f t="shared" si="0"/>
        <v>020059</v>
      </c>
      <c r="D51" s="1" t="str">
        <f>"112100220"</f>
        <v>112100220</v>
      </c>
      <c r="E51" s="1">
        <v>67.5</v>
      </c>
      <c r="F51" s="1">
        <v>72.5</v>
      </c>
      <c r="H51" s="1">
        <v>69.5</v>
      </c>
    </row>
    <row r="52" s="1" customFormat="1" spans="1:8">
      <c r="A52" s="1" t="s">
        <v>8</v>
      </c>
      <c r="B52" s="1" t="s">
        <v>9</v>
      </c>
      <c r="C52" s="1" t="str">
        <f t="shared" si="0"/>
        <v>020059</v>
      </c>
      <c r="D52" s="1" t="str">
        <f>"112100221"</f>
        <v>112100221</v>
      </c>
      <c r="E52" s="1">
        <v>51</v>
      </c>
      <c r="F52" s="1">
        <v>78.5</v>
      </c>
      <c r="H52" s="1">
        <v>62</v>
      </c>
    </row>
    <row r="53" s="1" customFormat="1" spans="1:8">
      <c r="A53" s="1" t="s">
        <v>8</v>
      </c>
      <c r="B53" s="1" t="s">
        <v>9</v>
      </c>
      <c r="C53" s="1" t="str">
        <f t="shared" si="0"/>
        <v>020059</v>
      </c>
      <c r="D53" s="1" t="str">
        <f>"112100222"</f>
        <v>112100222</v>
      </c>
      <c r="E53" s="1">
        <v>70.5</v>
      </c>
      <c r="F53" s="1">
        <v>61.5</v>
      </c>
      <c r="H53" s="1">
        <v>66.9</v>
      </c>
    </row>
    <row r="54" s="1" customFormat="1" spans="1:8">
      <c r="A54" s="1" t="s">
        <v>8</v>
      </c>
      <c r="B54" s="1" t="s">
        <v>9</v>
      </c>
      <c r="C54" s="1" t="str">
        <f t="shared" si="0"/>
        <v>020059</v>
      </c>
      <c r="D54" s="1" t="str">
        <f>"112100223"</f>
        <v>112100223</v>
      </c>
      <c r="E54" s="1">
        <v>57.5</v>
      </c>
      <c r="F54" s="1">
        <v>72</v>
      </c>
      <c r="H54" s="1">
        <v>63.3</v>
      </c>
    </row>
    <row r="55" s="1" customFormat="1" spans="1:8">
      <c r="A55" s="1" t="s">
        <v>8</v>
      </c>
      <c r="B55" s="1" t="s">
        <v>9</v>
      </c>
      <c r="C55" s="1" t="str">
        <f t="shared" si="0"/>
        <v>020059</v>
      </c>
      <c r="D55" s="1" t="str">
        <f>"112100224"</f>
        <v>112100224</v>
      </c>
      <c r="E55" s="1">
        <v>61.5</v>
      </c>
      <c r="F55" s="1">
        <v>64.5</v>
      </c>
      <c r="H55" s="1">
        <v>62.7</v>
      </c>
    </row>
    <row r="56" s="1" customFormat="1" spans="1:8">
      <c r="A56" s="1" t="s">
        <v>8</v>
      </c>
      <c r="B56" s="1" t="s">
        <v>9</v>
      </c>
      <c r="C56" s="1" t="str">
        <f t="shared" si="0"/>
        <v>020059</v>
      </c>
      <c r="D56" s="1" t="str">
        <f>"112100225"</f>
        <v>112100225</v>
      </c>
      <c r="E56" s="1">
        <v>51.5</v>
      </c>
      <c r="F56" s="1">
        <v>55.5</v>
      </c>
      <c r="H56" s="1">
        <v>53.1</v>
      </c>
    </row>
    <row r="57" s="1" customFormat="1" spans="1:8">
      <c r="A57" s="1" t="s">
        <v>8</v>
      </c>
      <c r="B57" s="1" t="s">
        <v>9</v>
      </c>
      <c r="C57" s="1" t="str">
        <f t="shared" si="0"/>
        <v>020059</v>
      </c>
      <c r="D57" s="1" t="str">
        <f>"112100226"</f>
        <v>112100226</v>
      </c>
      <c r="E57" s="1">
        <v>49.5</v>
      </c>
      <c r="F57" s="1">
        <v>69</v>
      </c>
      <c r="H57" s="1">
        <v>57.3</v>
      </c>
    </row>
    <row r="58" s="1" customFormat="1" spans="1:8">
      <c r="A58" s="1" t="s">
        <v>8</v>
      </c>
      <c r="B58" s="1" t="s">
        <v>9</v>
      </c>
      <c r="C58" s="1" t="str">
        <f t="shared" si="0"/>
        <v>020059</v>
      </c>
      <c r="D58" s="1" t="str">
        <f>"112100227"</f>
        <v>112100227</v>
      </c>
      <c r="E58" s="1">
        <v>0</v>
      </c>
      <c r="F58" s="1">
        <v>0</v>
      </c>
      <c r="H58" s="1">
        <v>0</v>
      </c>
    </row>
    <row r="59" s="1" customFormat="1" spans="1:8">
      <c r="A59" s="1" t="s">
        <v>8</v>
      </c>
      <c r="B59" s="1" t="s">
        <v>9</v>
      </c>
      <c r="C59" s="1" t="str">
        <f t="shared" si="0"/>
        <v>020059</v>
      </c>
      <c r="D59" s="1" t="str">
        <f>"112100228"</f>
        <v>112100228</v>
      </c>
      <c r="E59" s="1">
        <v>90.5</v>
      </c>
      <c r="F59" s="1">
        <v>85</v>
      </c>
      <c r="H59" s="1">
        <v>88.3</v>
      </c>
    </row>
    <row r="60" s="1" customFormat="1" spans="1:8">
      <c r="A60" s="1" t="s">
        <v>8</v>
      </c>
      <c r="B60" s="1" t="s">
        <v>9</v>
      </c>
      <c r="C60" s="1" t="str">
        <f t="shared" si="0"/>
        <v>020059</v>
      </c>
      <c r="D60" s="1" t="str">
        <f>"112100229"</f>
        <v>112100229</v>
      </c>
      <c r="E60" s="1">
        <v>49</v>
      </c>
      <c r="F60" s="1">
        <v>71</v>
      </c>
      <c r="H60" s="1">
        <v>57.8</v>
      </c>
    </row>
    <row r="61" s="1" customFormat="1" spans="1:8">
      <c r="A61" s="1" t="s">
        <v>8</v>
      </c>
      <c r="B61" s="1" t="s">
        <v>9</v>
      </c>
      <c r="C61" s="1" t="str">
        <f t="shared" si="0"/>
        <v>020059</v>
      </c>
      <c r="D61" s="1" t="str">
        <f>"112100230"</f>
        <v>112100230</v>
      </c>
      <c r="E61" s="1">
        <v>62</v>
      </c>
      <c r="F61" s="1">
        <v>51</v>
      </c>
      <c r="H61" s="1">
        <v>57.6</v>
      </c>
    </row>
    <row r="62" s="1" customFormat="1" spans="1:8">
      <c r="A62" s="1" t="s">
        <v>8</v>
      </c>
      <c r="B62" s="1" t="s">
        <v>9</v>
      </c>
      <c r="C62" s="1" t="str">
        <f t="shared" si="0"/>
        <v>020059</v>
      </c>
      <c r="D62" s="1" t="str">
        <f>"112100301"</f>
        <v>112100301</v>
      </c>
      <c r="E62" s="1">
        <v>0</v>
      </c>
      <c r="F62" s="1">
        <v>0</v>
      </c>
      <c r="H62" s="1">
        <v>0</v>
      </c>
    </row>
    <row r="63" s="1" customFormat="1" spans="1:8">
      <c r="A63" s="1" t="s">
        <v>8</v>
      </c>
      <c r="B63" s="1" t="s">
        <v>9</v>
      </c>
      <c r="C63" s="1" t="str">
        <f t="shared" si="0"/>
        <v>020059</v>
      </c>
      <c r="D63" s="1" t="str">
        <f>"112100302"</f>
        <v>112100302</v>
      </c>
      <c r="E63" s="1">
        <v>0</v>
      </c>
      <c r="F63" s="1">
        <v>0</v>
      </c>
      <c r="H63" s="1">
        <v>0</v>
      </c>
    </row>
    <row r="64" s="1" customFormat="1" spans="1:8">
      <c r="A64" s="1" t="s">
        <v>8</v>
      </c>
      <c r="B64" s="1" t="s">
        <v>9</v>
      </c>
      <c r="C64" s="1" t="str">
        <f t="shared" si="0"/>
        <v>020059</v>
      </c>
      <c r="D64" s="1" t="str">
        <f>"112100303"</f>
        <v>112100303</v>
      </c>
      <c r="E64" s="1">
        <v>72.5</v>
      </c>
      <c r="F64" s="1">
        <v>92</v>
      </c>
      <c r="H64" s="1">
        <v>80.3</v>
      </c>
    </row>
    <row r="65" s="1" customFormat="1" spans="1:8">
      <c r="A65" s="1" t="s">
        <v>8</v>
      </c>
      <c r="B65" s="1" t="s">
        <v>9</v>
      </c>
      <c r="C65" s="1" t="str">
        <f t="shared" si="0"/>
        <v>020059</v>
      </c>
      <c r="D65" s="1" t="str">
        <f>"112100304"</f>
        <v>112100304</v>
      </c>
      <c r="E65" s="1">
        <v>87</v>
      </c>
      <c r="F65" s="1">
        <v>76</v>
      </c>
      <c r="H65" s="1">
        <v>82.6</v>
      </c>
    </row>
    <row r="66" s="1" customFormat="1" spans="1:8">
      <c r="A66" s="1" t="s">
        <v>8</v>
      </c>
      <c r="B66" s="1" t="s">
        <v>9</v>
      </c>
      <c r="C66" s="1" t="str">
        <f t="shared" ref="C66:C92" si="1">"020059"</f>
        <v>020059</v>
      </c>
      <c r="D66" s="1" t="str">
        <f>"112100305"</f>
        <v>112100305</v>
      </c>
      <c r="E66" s="1">
        <v>67</v>
      </c>
      <c r="F66" s="1">
        <v>79.5</v>
      </c>
      <c r="H66" s="1">
        <v>72</v>
      </c>
    </row>
    <row r="67" s="1" customFormat="1" spans="1:8">
      <c r="A67" s="1" t="s">
        <v>8</v>
      </c>
      <c r="B67" s="1" t="s">
        <v>9</v>
      </c>
      <c r="C67" s="1" t="str">
        <f t="shared" si="1"/>
        <v>020059</v>
      </c>
      <c r="D67" s="1" t="str">
        <f>"112100306"</f>
        <v>112100306</v>
      </c>
      <c r="E67" s="1">
        <v>40</v>
      </c>
      <c r="F67" s="1">
        <v>55</v>
      </c>
      <c r="H67" s="1">
        <v>46</v>
      </c>
    </row>
    <row r="68" s="1" customFormat="1" spans="1:8">
      <c r="A68" s="1" t="s">
        <v>8</v>
      </c>
      <c r="B68" s="1" t="s">
        <v>9</v>
      </c>
      <c r="C68" s="1" t="str">
        <f t="shared" si="1"/>
        <v>020059</v>
      </c>
      <c r="D68" s="1" t="str">
        <f>"112100307"</f>
        <v>112100307</v>
      </c>
      <c r="E68" s="1">
        <v>48.5</v>
      </c>
      <c r="F68" s="1">
        <v>52</v>
      </c>
      <c r="H68" s="1">
        <v>49.9</v>
      </c>
    </row>
    <row r="69" s="1" customFormat="1" spans="1:8">
      <c r="A69" s="1" t="s">
        <v>8</v>
      </c>
      <c r="B69" s="1" t="s">
        <v>9</v>
      </c>
      <c r="C69" s="1" t="str">
        <f t="shared" si="1"/>
        <v>020059</v>
      </c>
      <c r="D69" s="1" t="str">
        <f>"112100308"</f>
        <v>112100308</v>
      </c>
      <c r="E69" s="1">
        <v>74</v>
      </c>
      <c r="F69" s="1">
        <v>75</v>
      </c>
      <c r="H69" s="1">
        <v>74.4</v>
      </c>
    </row>
    <row r="70" s="1" customFormat="1" spans="1:8">
      <c r="A70" s="1" t="s">
        <v>8</v>
      </c>
      <c r="B70" s="1" t="s">
        <v>9</v>
      </c>
      <c r="C70" s="1" t="str">
        <f t="shared" si="1"/>
        <v>020059</v>
      </c>
      <c r="D70" s="1" t="str">
        <f>"112100309"</f>
        <v>112100309</v>
      </c>
      <c r="E70" s="1">
        <v>53.5</v>
      </c>
      <c r="F70" s="1">
        <v>84.5</v>
      </c>
      <c r="H70" s="1">
        <v>65.9</v>
      </c>
    </row>
    <row r="71" s="1" customFormat="1" spans="1:8">
      <c r="A71" s="1" t="s">
        <v>8</v>
      </c>
      <c r="B71" s="1" t="s">
        <v>9</v>
      </c>
      <c r="C71" s="1" t="str">
        <f t="shared" si="1"/>
        <v>020059</v>
      </c>
      <c r="D71" s="1" t="str">
        <f>"112100310"</f>
        <v>112100310</v>
      </c>
      <c r="E71" s="1">
        <v>52</v>
      </c>
      <c r="F71" s="1">
        <v>69.5</v>
      </c>
      <c r="H71" s="1">
        <v>59</v>
      </c>
    </row>
    <row r="72" s="1" customFormat="1" spans="1:8">
      <c r="A72" s="1" t="s">
        <v>8</v>
      </c>
      <c r="B72" s="1" t="s">
        <v>9</v>
      </c>
      <c r="C72" s="1" t="str">
        <f t="shared" si="1"/>
        <v>020059</v>
      </c>
      <c r="D72" s="1" t="str">
        <f>"112100311"</f>
        <v>112100311</v>
      </c>
      <c r="E72" s="1">
        <v>63.5</v>
      </c>
      <c r="F72" s="1">
        <v>0</v>
      </c>
      <c r="H72" s="1">
        <v>38.1</v>
      </c>
    </row>
    <row r="73" s="1" customFormat="1" spans="1:8">
      <c r="A73" s="1" t="s">
        <v>8</v>
      </c>
      <c r="B73" s="1" t="s">
        <v>9</v>
      </c>
      <c r="C73" s="1" t="str">
        <f t="shared" si="1"/>
        <v>020059</v>
      </c>
      <c r="D73" s="1" t="str">
        <f>"112100312"</f>
        <v>112100312</v>
      </c>
      <c r="E73" s="1">
        <v>0</v>
      </c>
      <c r="F73" s="1">
        <v>0</v>
      </c>
      <c r="H73" s="1">
        <v>0</v>
      </c>
    </row>
    <row r="74" s="1" customFormat="1" spans="1:8">
      <c r="A74" s="1" t="s">
        <v>8</v>
      </c>
      <c r="B74" s="1" t="s">
        <v>9</v>
      </c>
      <c r="C74" s="1" t="str">
        <f t="shared" si="1"/>
        <v>020059</v>
      </c>
      <c r="D74" s="1" t="str">
        <f>"112100313"</f>
        <v>112100313</v>
      </c>
      <c r="E74" s="1">
        <v>0</v>
      </c>
      <c r="F74" s="1">
        <v>0</v>
      </c>
      <c r="H74" s="1">
        <v>0</v>
      </c>
    </row>
    <row r="75" s="1" customFormat="1" spans="1:8">
      <c r="A75" s="1" t="s">
        <v>8</v>
      </c>
      <c r="B75" s="1" t="s">
        <v>9</v>
      </c>
      <c r="C75" s="1" t="str">
        <f t="shared" si="1"/>
        <v>020059</v>
      </c>
      <c r="D75" s="1" t="str">
        <f>"112100314"</f>
        <v>112100314</v>
      </c>
      <c r="E75" s="1">
        <v>51</v>
      </c>
      <c r="F75" s="1">
        <v>0</v>
      </c>
      <c r="H75" s="1">
        <v>30.6</v>
      </c>
    </row>
    <row r="76" s="1" customFormat="1" spans="1:8">
      <c r="A76" s="1" t="s">
        <v>8</v>
      </c>
      <c r="B76" s="1" t="s">
        <v>9</v>
      </c>
      <c r="C76" s="1" t="str">
        <f t="shared" si="1"/>
        <v>020059</v>
      </c>
      <c r="D76" s="1" t="str">
        <f>"112100315"</f>
        <v>112100315</v>
      </c>
      <c r="E76" s="1">
        <v>57</v>
      </c>
      <c r="F76" s="1">
        <v>82</v>
      </c>
      <c r="H76" s="1">
        <v>67</v>
      </c>
    </row>
    <row r="77" s="1" customFormat="1" spans="1:8">
      <c r="A77" s="1" t="s">
        <v>8</v>
      </c>
      <c r="B77" s="1" t="s">
        <v>9</v>
      </c>
      <c r="C77" s="1" t="str">
        <f t="shared" si="1"/>
        <v>020059</v>
      </c>
      <c r="D77" s="1" t="str">
        <f>"112100316"</f>
        <v>112100316</v>
      </c>
      <c r="E77" s="1">
        <v>0</v>
      </c>
      <c r="F77" s="1">
        <v>0</v>
      </c>
      <c r="H77" s="1">
        <v>0</v>
      </c>
    </row>
    <row r="78" s="1" customFormat="1" spans="1:8">
      <c r="A78" s="1" t="s">
        <v>8</v>
      </c>
      <c r="B78" s="1" t="s">
        <v>9</v>
      </c>
      <c r="C78" s="1" t="str">
        <f t="shared" si="1"/>
        <v>020059</v>
      </c>
      <c r="D78" s="1" t="str">
        <f>"112100317"</f>
        <v>112100317</v>
      </c>
      <c r="E78" s="1">
        <v>0</v>
      </c>
      <c r="F78" s="1">
        <v>0</v>
      </c>
      <c r="H78" s="1">
        <v>0</v>
      </c>
    </row>
    <row r="79" s="1" customFormat="1" spans="1:8">
      <c r="A79" s="1" t="s">
        <v>8</v>
      </c>
      <c r="B79" s="1" t="s">
        <v>9</v>
      </c>
      <c r="C79" s="1" t="str">
        <f t="shared" si="1"/>
        <v>020059</v>
      </c>
      <c r="D79" s="1" t="str">
        <f>"112100318"</f>
        <v>112100318</v>
      </c>
      <c r="E79" s="1">
        <v>66</v>
      </c>
      <c r="F79" s="1">
        <v>84</v>
      </c>
      <c r="H79" s="1">
        <v>73.2</v>
      </c>
    </row>
    <row r="80" s="1" customFormat="1" spans="1:8">
      <c r="A80" s="1" t="s">
        <v>8</v>
      </c>
      <c r="B80" s="1" t="s">
        <v>9</v>
      </c>
      <c r="C80" s="1" t="str">
        <f t="shared" si="1"/>
        <v>020059</v>
      </c>
      <c r="D80" s="1" t="str">
        <f>"112100319"</f>
        <v>112100319</v>
      </c>
      <c r="E80" s="1">
        <v>0</v>
      </c>
      <c r="F80" s="1">
        <v>0</v>
      </c>
      <c r="H80" s="1">
        <v>0</v>
      </c>
    </row>
    <row r="81" s="1" customFormat="1" spans="1:8">
      <c r="A81" s="1" t="s">
        <v>8</v>
      </c>
      <c r="B81" s="1" t="s">
        <v>9</v>
      </c>
      <c r="C81" s="1" t="str">
        <f t="shared" si="1"/>
        <v>020059</v>
      </c>
      <c r="D81" s="1" t="str">
        <f>"112100320"</f>
        <v>112100320</v>
      </c>
      <c r="E81" s="1">
        <v>41</v>
      </c>
      <c r="F81" s="1">
        <v>55.5</v>
      </c>
      <c r="H81" s="1">
        <v>46.8</v>
      </c>
    </row>
    <row r="82" s="1" customFormat="1" spans="1:8">
      <c r="A82" s="1" t="s">
        <v>8</v>
      </c>
      <c r="B82" s="1" t="s">
        <v>9</v>
      </c>
      <c r="C82" s="1" t="str">
        <f t="shared" si="1"/>
        <v>020059</v>
      </c>
      <c r="D82" s="1" t="str">
        <f>"112100321"</f>
        <v>112100321</v>
      </c>
      <c r="E82" s="1">
        <v>0</v>
      </c>
      <c r="F82" s="1">
        <v>0</v>
      </c>
      <c r="H82" s="1">
        <v>0</v>
      </c>
    </row>
    <row r="83" s="1" customFormat="1" spans="1:8">
      <c r="A83" s="1" t="s">
        <v>8</v>
      </c>
      <c r="B83" s="1" t="s">
        <v>9</v>
      </c>
      <c r="C83" s="1" t="str">
        <f t="shared" si="1"/>
        <v>020059</v>
      </c>
      <c r="D83" s="1" t="str">
        <f>"112100322"</f>
        <v>112100322</v>
      </c>
      <c r="E83" s="1">
        <v>85</v>
      </c>
      <c r="F83" s="1">
        <v>81</v>
      </c>
      <c r="H83" s="1">
        <v>83.4</v>
      </c>
    </row>
    <row r="84" s="1" customFormat="1" spans="1:8">
      <c r="A84" s="1" t="s">
        <v>8</v>
      </c>
      <c r="B84" s="1" t="s">
        <v>9</v>
      </c>
      <c r="C84" s="1" t="str">
        <f t="shared" si="1"/>
        <v>020059</v>
      </c>
      <c r="D84" s="1" t="str">
        <f>"112100323"</f>
        <v>112100323</v>
      </c>
      <c r="E84" s="1">
        <v>51.5</v>
      </c>
      <c r="F84" s="1">
        <v>81.5</v>
      </c>
      <c r="H84" s="1">
        <v>63.5</v>
      </c>
    </row>
    <row r="85" s="1" customFormat="1" spans="1:8">
      <c r="A85" s="1" t="s">
        <v>8</v>
      </c>
      <c r="B85" s="1" t="s">
        <v>9</v>
      </c>
      <c r="C85" s="1" t="str">
        <f t="shared" si="1"/>
        <v>020059</v>
      </c>
      <c r="D85" s="1" t="str">
        <f>"112100324"</f>
        <v>112100324</v>
      </c>
      <c r="E85" s="1">
        <v>44</v>
      </c>
      <c r="F85" s="1">
        <v>81.5</v>
      </c>
      <c r="H85" s="1">
        <v>59</v>
      </c>
    </row>
    <row r="86" s="1" customFormat="1" spans="1:8">
      <c r="A86" s="1" t="s">
        <v>8</v>
      </c>
      <c r="B86" s="1" t="s">
        <v>9</v>
      </c>
      <c r="C86" s="1" t="str">
        <f t="shared" si="1"/>
        <v>020059</v>
      </c>
      <c r="D86" s="1" t="str">
        <f>"112100325"</f>
        <v>112100325</v>
      </c>
      <c r="E86" s="1">
        <v>52</v>
      </c>
      <c r="F86" s="1">
        <v>43</v>
      </c>
      <c r="H86" s="1">
        <v>48.4</v>
      </c>
    </row>
    <row r="87" s="1" customFormat="1" spans="1:8">
      <c r="A87" s="1" t="s">
        <v>8</v>
      </c>
      <c r="B87" s="1" t="s">
        <v>9</v>
      </c>
      <c r="C87" s="1" t="str">
        <f t="shared" si="1"/>
        <v>020059</v>
      </c>
      <c r="D87" s="1" t="str">
        <f>"112100326"</f>
        <v>112100326</v>
      </c>
      <c r="E87" s="1">
        <v>24</v>
      </c>
      <c r="F87" s="1">
        <v>54</v>
      </c>
      <c r="H87" s="1">
        <v>36</v>
      </c>
    </row>
    <row r="88" s="1" customFormat="1" spans="1:8">
      <c r="A88" s="1" t="s">
        <v>8</v>
      </c>
      <c r="B88" s="1" t="s">
        <v>9</v>
      </c>
      <c r="C88" s="1" t="str">
        <f t="shared" si="1"/>
        <v>020059</v>
      </c>
      <c r="D88" s="1" t="str">
        <f>"112100327"</f>
        <v>112100327</v>
      </c>
      <c r="E88" s="1">
        <v>39</v>
      </c>
      <c r="F88" s="1">
        <v>64</v>
      </c>
      <c r="H88" s="1">
        <v>49</v>
      </c>
    </row>
    <row r="89" s="1" customFormat="1" spans="1:8">
      <c r="A89" s="1" t="s">
        <v>8</v>
      </c>
      <c r="B89" s="1" t="s">
        <v>9</v>
      </c>
      <c r="C89" s="1" t="str">
        <f t="shared" si="1"/>
        <v>020059</v>
      </c>
      <c r="D89" s="1" t="str">
        <f>"112100328"</f>
        <v>112100328</v>
      </c>
      <c r="E89" s="1">
        <v>41.5</v>
      </c>
      <c r="F89" s="1">
        <v>65.5</v>
      </c>
      <c r="H89" s="1">
        <v>51.1</v>
      </c>
    </row>
    <row r="90" s="1" customFormat="1" spans="1:8">
      <c r="A90" s="1" t="s">
        <v>8</v>
      </c>
      <c r="B90" s="1" t="s">
        <v>9</v>
      </c>
      <c r="C90" s="1" t="str">
        <f t="shared" si="1"/>
        <v>020059</v>
      </c>
      <c r="D90" s="1" t="str">
        <f>"112100329"</f>
        <v>112100329</v>
      </c>
      <c r="E90" s="1">
        <v>53.5</v>
      </c>
      <c r="F90" s="1">
        <v>64</v>
      </c>
      <c r="H90" s="1">
        <v>57.7</v>
      </c>
    </row>
    <row r="91" s="1" customFormat="1" spans="1:8">
      <c r="A91" s="1" t="s">
        <v>8</v>
      </c>
      <c r="B91" s="1" t="s">
        <v>9</v>
      </c>
      <c r="C91" s="1" t="str">
        <f t="shared" si="1"/>
        <v>020059</v>
      </c>
      <c r="D91" s="1" t="str">
        <f>"112100330"</f>
        <v>112100330</v>
      </c>
      <c r="E91" s="1">
        <v>0</v>
      </c>
      <c r="F91" s="1">
        <v>0</v>
      </c>
      <c r="H91" s="1">
        <v>0</v>
      </c>
    </row>
    <row r="92" s="1" customFormat="1" spans="1:8">
      <c r="A92" s="1" t="s">
        <v>8</v>
      </c>
      <c r="B92" s="1" t="s">
        <v>9</v>
      </c>
      <c r="C92" s="1" t="str">
        <f t="shared" si="1"/>
        <v>020059</v>
      </c>
      <c r="D92" s="1" t="str">
        <f>"112100401"</f>
        <v>112100401</v>
      </c>
      <c r="E92" s="1">
        <v>44.5</v>
      </c>
      <c r="F92" s="1">
        <v>61.5</v>
      </c>
      <c r="H92" s="1">
        <v>51.3</v>
      </c>
    </row>
    <row r="93" s="1" customFormat="1" spans="1:8">
      <c r="A93" s="1" t="s">
        <v>10</v>
      </c>
      <c r="B93" s="1" t="s">
        <v>9</v>
      </c>
      <c r="C93" s="1" t="str">
        <f t="shared" ref="C93:C156" si="2">"020064"</f>
        <v>020064</v>
      </c>
      <c r="D93" s="1" t="str">
        <f>"112100402"</f>
        <v>112100402</v>
      </c>
      <c r="E93" s="1">
        <v>65.5</v>
      </c>
      <c r="F93" s="1">
        <v>87</v>
      </c>
      <c r="H93" s="1">
        <v>74.1</v>
      </c>
    </row>
    <row r="94" s="1" customFormat="1" spans="1:8">
      <c r="A94" s="1" t="s">
        <v>10</v>
      </c>
      <c r="B94" s="1" t="s">
        <v>9</v>
      </c>
      <c r="C94" s="1" t="str">
        <f t="shared" si="2"/>
        <v>020064</v>
      </c>
      <c r="D94" s="1" t="str">
        <f>"112100403"</f>
        <v>112100403</v>
      </c>
      <c r="E94" s="1">
        <v>87.5</v>
      </c>
      <c r="F94" s="1">
        <v>89.5</v>
      </c>
      <c r="H94" s="1">
        <v>88.3</v>
      </c>
    </row>
    <row r="95" s="1" customFormat="1" spans="1:8">
      <c r="A95" s="1" t="s">
        <v>10</v>
      </c>
      <c r="B95" s="1" t="s">
        <v>9</v>
      </c>
      <c r="C95" s="1" t="str">
        <f t="shared" si="2"/>
        <v>020064</v>
      </c>
      <c r="D95" s="1" t="str">
        <f>"112100404"</f>
        <v>112100404</v>
      </c>
      <c r="E95" s="1">
        <v>56</v>
      </c>
      <c r="F95" s="1">
        <v>65</v>
      </c>
      <c r="H95" s="1">
        <v>59.6</v>
      </c>
    </row>
    <row r="96" s="1" customFormat="1" spans="1:8">
      <c r="A96" s="1" t="s">
        <v>10</v>
      </c>
      <c r="B96" s="1" t="s">
        <v>9</v>
      </c>
      <c r="C96" s="1" t="str">
        <f t="shared" si="2"/>
        <v>020064</v>
      </c>
      <c r="D96" s="1" t="str">
        <f>"112100405"</f>
        <v>112100405</v>
      </c>
      <c r="E96" s="1">
        <v>33.5</v>
      </c>
      <c r="F96" s="1">
        <v>60.5</v>
      </c>
      <c r="H96" s="1">
        <v>44.3</v>
      </c>
    </row>
    <row r="97" s="1" customFormat="1" spans="1:8">
      <c r="A97" s="1" t="s">
        <v>10</v>
      </c>
      <c r="B97" s="1" t="s">
        <v>9</v>
      </c>
      <c r="C97" s="1" t="str">
        <f t="shared" si="2"/>
        <v>020064</v>
      </c>
      <c r="D97" s="1" t="str">
        <f>"112100406"</f>
        <v>112100406</v>
      </c>
      <c r="E97" s="1">
        <v>85.5</v>
      </c>
      <c r="F97" s="1">
        <v>92.5</v>
      </c>
      <c r="H97" s="1">
        <v>88.3</v>
      </c>
    </row>
    <row r="98" s="1" customFormat="1" spans="1:8">
      <c r="A98" s="1" t="s">
        <v>10</v>
      </c>
      <c r="B98" s="1" t="s">
        <v>9</v>
      </c>
      <c r="C98" s="1" t="str">
        <f t="shared" si="2"/>
        <v>020064</v>
      </c>
      <c r="D98" s="1" t="str">
        <f>"112100407"</f>
        <v>112100407</v>
      </c>
      <c r="E98" s="1">
        <v>78</v>
      </c>
      <c r="F98" s="1">
        <v>98</v>
      </c>
      <c r="H98" s="1">
        <v>86</v>
      </c>
    </row>
    <row r="99" s="1" customFormat="1" spans="1:8">
      <c r="A99" s="1" t="s">
        <v>10</v>
      </c>
      <c r="B99" s="1" t="s">
        <v>9</v>
      </c>
      <c r="C99" s="1" t="str">
        <f t="shared" si="2"/>
        <v>020064</v>
      </c>
      <c r="D99" s="1" t="str">
        <f>"112100408"</f>
        <v>112100408</v>
      </c>
      <c r="E99" s="1">
        <v>56</v>
      </c>
      <c r="F99" s="1">
        <v>64</v>
      </c>
      <c r="H99" s="1">
        <v>59.2</v>
      </c>
    </row>
    <row r="100" s="1" customFormat="1" spans="1:8">
      <c r="A100" s="1" t="s">
        <v>10</v>
      </c>
      <c r="B100" s="1" t="s">
        <v>9</v>
      </c>
      <c r="C100" s="1" t="str">
        <f t="shared" si="2"/>
        <v>020064</v>
      </c>
      <c r="D100" s="1" t="str">
        <f>"112100409"</f>
        <v>112100409</v>
      </c>
      <c r="E100" s="1">
        <v>0</v>
      </c>
      <c r="F100" s="1">
        <v>0</v>
      </c>
      <c r="H100" s="1">
        <v>0</v>
      </c>
    </row>
    <row r="101" s="1" customFormat="1" spans="1:8">
      <c r="A101" s="1" t="s">
        <v>10</v>
      </c>
      <c r="B101" s="1" t="s">
        <v>9</v>
      </c>
      <c r="C101" s="1" t="str">
        <f t="shared" si="2"/>
        <v>020064</v>
      </c>
      <c r="D101" s="1" t="str">
        <f>"112100410"</f>
        <v>112100410</v>
      </c>
      <c r="E101" s="1">
        <v>0</v>
      </c>
      <c r="F101" s="1">
        <v>0</v>
      </c>
      <c r="H101" s="1">
        <v>0</v>
      </c>
    </row>
    <row r="102" s="1" customFormat="1" spans="1:8">
      <c r="A102" s="1" t="s">
        <v>10</v>
      </c>
      <c r="B102" s="1" t="s">
        <v>9</v>
      </c>
      <c r="C102" s="1" t="str">
        <f t="shared" si="2"/>
        <v>020064</v>
      </c>
      <c r="D102" s="1" t="str">
        <f>"112100411"</f>
        <v>112100411</v>
      </c>
      <c r="E102" s="1">
        <v>56.5</v>
      </c>
      <c r="F102" s="1">
        <v>65</v>
      </c>
      <c r="H102" s="1">
        <v>59.9</v>
      </c>
    </row>
    <row r="103" s="1" customFormat="1" spans="1:8">
      <c r="A103" s="1" t="s">
        <v>10</v>
      </c>
      <c r="B103" s="1" t="s">
        <v>9</v>
      </c>
      <c r="C103" s="1" t="str">
        <f t="shared" si="2"/>
        <v>020064</v>
      </c>
      <c r="D103" s="1" t="str">
        <f>"112100412"</f>
        <v>112100412</v>
      </c>
      <c r="E103" s="1">
        <v>67.5</v>
      </c>
      <c r="F103" s="1">
        <v>64</v>
      </c>
      <c r="H103" s="1">
        <v>66.1</v>
      </c>
    </row>
    <row r="104" s="1" customFormat="1" spans="1:8">
      <c r="A104" s="1" t="s">
        <v>10</v>
      </c>
      <c r="B104" s="1" t="s">
        <v>9</v>
      </c>
      <c r="C104" s="1" t="str">
        <f t="shared" si="2"/>
        <v>020064</v>
      </c>
      <c r="D104" s="1" t="str">
        <f>"112100413"</f>
        <v>112100413</v>
      </c>
      <c r="E104" s="1">
        <v>0</v>
      </c>
      <c r="F104" s="1">
        <v>0</v>
      </c>
      <c r="H104" s="1">
        <v>0</v>
      </c>
    </row>
    <row r="105" s="1" customFormat="1" spans="1:8">
      <c r="A105" s="1" t="s">
        <v>10</v>
      </c>
      <c r="B105" s="1" t="s">
        <v>9</v>
      </c>
      <c r="C105" s="1" t="str">
        <f t="shared" si="2"/>
        <v>020064</v>
      </c>
      <c r="D105" s="1" t="str">
        <f>"112100414"</f>
        <v>112100414</v>
      </c>
      <c r="E105" s="1">
        <v>0</v>
      </c>
      <c r="F105" s="1">
        <v>0</v>
      </c>
      <c r="H105" s="1">
        <v>0</v>
      </c>
    </row>
    <row r="106" s="1" customFormat="1" spans="1:8">
      <c r="A106" s="1" t="s">
        <v>10</v>
      </c>
      <c r="B106" s="1" t="s">
        <v>9</v>
      </c>
      <c r="C106" s="1" t="str">
        <f t="shared" si="2"/>
        <v>020064</v>
      </c>
      <c r="D106" s="1" t="str">
        <f>"112100415"</f>
        <v>112100415</v>
      </c>
      <c r="E106" s="1">
        <v>45.5</v>
      </c>
      <c r="F106" s="1">
        <v>61.5</v>
      </c>
      <c r="H106" s="1">
        <v>51.9</v>
      </c>
    </row>
    <row r="107" s="1" customFormat="1" spans="1:8">
      <c r="A107" s="1" t="s">
        <v>10</v>
      </c>
      <c r="B107" s="1" t="s">
        <v>9</v>
      </c>
      <c r="C107" s="1" t="str">
        <f t="shared" si="2"/>
        <v>020064</v>
      </c>
      <c r="D107" s="1" t="str">
        <f>"112100416"</f>
        <v>112100416</v>
      </c>
      <c r="E107" s="1">
        <v>0</v>
      </c>
      <c r="F107" s="1">
        <v>0</v>
      </c>
      <c r="H107" s="1">
        <v>0</v>
      </c>
    </row>
    <row r="108" s="1" customFormat="1" spans="1:8">
      <c r="A108" s="1" t="s">
        <v>10</v>
      </c>
      <c r="B108" s="1" t="s">
        <v>9</v>
      </c>
      <c r="C108" s="1" t="str">
        <f t="shared" si="2"/>
        <v>020064</v>
      </c>
      <c r="D108" s="1" t="str">
        <f>"112100417"</f>
        <v>112100417</v>
      </c>
      <c r="E108" s="1">
        <v>41</v>
      </c>
      <c r="F108" s="1">
        <v>65.5</v>
      </c>
      <c r="H108" s="1">
        <v>50.8</v>
      </c>
    </row>
    <row r="109" s="1" customFormat="1" spans="1:8">
      <c r="A109" s="1" t="s">
        <v>10</v>
      </c>
      <c r="B109" s="1" t="s">
        <v>9</v>
      </c>
      <c r="C109" s="1" t="str">
        <f t="shared" si="2"/>
        <v>020064</v>
      </c>
      <c r="D109" s="1" t="str">
        <f>"112100418"</f>
        <v>112100418</v>
      </c>
      <c r="E109" s="1">
        <v>50</v>
      </c>
      <c r="F109" s="1">
        <v>66.5</v>
      </c>
      <c r="H109" s="1">
        <v>56.6</v>
      </c>
    </row>
    <row r="110" s="1" customFormat="1" spans="1:8">
      <c r="A110" s="1" t="s">
        <v>10</v>
      </c>
      <c r="B110" s="1" t="s">
        <v>9</v>
      </c>
      <c r="C110" s="1" t="str">
        <f t="shared" si="2"/>
        <v>020064</v>
      </c>
      <c r="D110" s="1" t="str">
        <f>"112100419"</f>
        <v>112100419</v>
      </c>
      <c r="E110" s="1">
        <v>67</v>
      </c>
      <c r="F110" s="1">
        <v>66</v>
      </c>
      <c r="H110" s="1">
        <v>66.6</v>
      </c>
    </row>
    <row r="111" s="1" customFormat="1" spans="1:8">
      <c r="A111" s="1" t="s">
        <v>10</v>
      </c>
      <c r="B111" s="1" t="s">
        <v>9</v>
      </c>
      <c r="C111" s="1" t="str">
        <f t="shared" si="2"/>
        <v>020064</v>
      </c>
      <c r="D111" s="1" t="str">
        <f>"112100420"</f>
        <v>112100420</v>
      </c>
      <c r="E111" s="1">
        <v>54.5</v>
      </c>
      <c r="F111" s="1">
        <v>76</v>
      </c>
      <c r="H111" s="1">
        <v>63.1</v>
      </c>
    </row>
    <row r="112" s="1" customFormat="1" spans="1:8">
      <c r="A112" s="1" t="s">
        <v>10</v>
      </c>
      <c r="B112" s="1" t="s">
        <v>9</v>
      </c>
      <c r="C112" s="1" t="str">
        <f t="shared" si="2"/>
        <v>020064</v>
      </c>
      <c r="D112" s="1" t="str">
        <f>"112100421"</f>
        <v>112100421</v>
      </c>
      <c r="E112" s="1">
        <v>71.5</v>
      </c>
      <c r="F112" s="1">
        <v>53</v>
      </c>
      <c r="H112" s="1">
        <v>64.1</v>
      </c>
    </row>
    <row r="113" s="1" customFormat="1" spans="1:8">
      <c r="A113" s="1" t="s">
        <v>10</v>
      </c>
      <c r="B113" s="1" t="s">
        <v>9</v>
      </c>
      <c r="C113" s="1" t="str">
        <f t="shared" si="2"/>
        <v>020064</v>
      </c>
      <c r="D113" s="1" t="str">
        <f>"112100422"</f>
        <v>112100422</v>
      </c>
      <c r="E113" s="1">
        <v>29</v>
      </c>
      <c r="F113" s="1">
        <v>54.5</v>
      </c>
      <c r="H113" s="1">
        <v>39.2</v>
      </c>
    </row>
    <row r="114" s="1" customFormat="1" spans="1:8">
      <c r="A114" s="1" t="s">
        <v>10</v>
      </c>
      <c r="B114" s="1" t="s">
        <v>9</v>
      </c>
      <c r="C114" s="1" t="str">
        <f t="shared" si="2"/>
        <v>020064</v>
      </c>
      <c r="D114" s="1" t="str">
        <f>"112100423"</f>
        <v>112100423</v>
      </c>
      <c r="E114" s="1">
        <v>37.5</v>
      </c>
      <c r="F114" s="1">
        <v>58.5</v>
      </c>
      <c r="H114" s="1">
        <v>45.9</v>
      </c>
    </row>
    <row r="115" s="1" customFormat="1" spans="1:8">
      <c r="A115" s="1" t="s">
        <v>10</v>
      </c>
      <c r="B115" s="1" t="s">
        <v>9</v>
      </c>
      <c r="C115" s="1" t="str">
        <f t="shared" si="2"/>
        <v>020064</v>
      </c>
      <c r="D115" s="1" t="str">
        <f>"112100424"</f>
        <v>112100424</v>
      </c>
      <c r="E115" s="1">
        <v>23</v>
      </c>
      <c r="F115" s="1">
        <v>64</v>
      </c>
      <c r="H115" s="1">
        <v>39.4</v>
      </c>
    </row>
    <row r="116" s="1" customFormat="1" spans="1:8">
      <c r="A116" s="1" t="s">
        <v>10</v>
      </c>
      <c r="B116" s="1" t="s">
        <v>9</v>
      </c>
      <c r="C116" s="1" t="str">
        <f t="shared" si="2"/>
        <v>020064</v>
      </c>
      <c r="D116" s="1" t="str">
        <f>"112100425"</f>
        <v>112100425</v>
      </c>
      <c r="E116" s="1">
        <v>0</v>
      </c>
      <c r="F116" s="1">
        <v>0</v>
      </c>
      <c r="H116" s="1">
        <v>0</v>
      </c>
    </row>
    <row r="117" s="1" customFormat="1" spans="1:8">
      <c r="A117" s="1" t="s">
        <v>10</v>
      </c>
      <c r="B117" s="1" t="s">
        <v>9</v>
      </c>
      <c r="C117" s="1" t="str">
        <f t="shared" si="2"/>
        <v>020064</v>
      </c>
      <c r="D117" s="1" t="str">
        <f>"112100426"</f>
        <v>112100426</v>
      </c>
      <c r="E117" s="1">
        <v>0</v>
      </c>
      <c r="F117" s="1">
        <v>0</v>
      </c>
      <c r="H117" s="1">
        <v>0</v>
      </c>
    </row>
    <row r="118" s="1" customFormat="1" spans="1:8">
      <c r="A118" s="1" t="s">
        <v>10</v>
      </c>
      <c r="B118" s="1" t="s">
        <v>9</v>
      </c>
      <c r="C118" s="1" t="str">
        <f t="shared" si="2"/>
        <v>020064</v>
      </c>
      <c r="D118" s="1" t="str">
        <f>"112100427"</f>
        <v>112100427</v>
      </c>
      <c r="E118" s="1">
        <v>0</v>
      </c>
      <c r="F118" s="1">
        <v>0</v>
      </c>
      <c r="H118" s="1">
        <v>0</v>
      </c>
    </row>
    <row r="119" s="1" customFormat="1" spans="1:8">
      <c r="A119" s="1" t="s">
        <v>10</v>
      </c>
      <c r="B119" s="1" t="s">
        <v>9</v>
      </c>
      <c r="C119" s="1" t="str">
        <f t="shared" si="2"/>
        <v>020064</v>
      </c>
      <c r="D119" s="1" t="str">
        <f>"112100428"</f>
        <v>112100428</v>
      </c>
      <c r="E119" s="1">
        <v>77.5</v>
      </c>
      <c r="F119" s="1">
        <v>63</v>
      </c>
      <c r="H119" s="1">
        <v>71.7</v>
      </c>
    </row>
    <row r="120" s="1" customFormat="1" spans="1:8">
      <c r="A120" s="1" t="s">
        <v>10</v>
      </c>
      <c r="B120" s="1" t="s">
        <v>9</v>
      </c>
      <c r="C120" s="1" t="str">
        <f t="shared" si="2"/>
        <v>020064</v>
      </c>
      <c r="D120" s="1" t="str">
        <f>"112100429"</f>
        <v>112100429</v>
      </c>
      <c r="E120" s="1">
        <v>59.5</v>
      </c>
      <c r="F120" s="1">
        <v>67</v>
      </c>
      <c r="H120" s="1">
        <v>62.5</v>
      </c>
    </row>
    <row r="121" s="1" customFormat="1" spans="1:8">
      <c r="A121" s="1" t="s">
        <v>10</v>
      </c>
      <c r="B121" s="1" t="s">
        <v>9</v>
      </c>
      <c r="C121" s="1" t="str">
        <f t="shared" si="2"/>
        <v>020064</v>
      </c>
      <c r="D121" s="1" t="str">
        <f>"112100430"</f>
        <v>112100430</v>
      </c>
      <c r="E121" s="1">
        <v>86</v>
      </c>
      <c r="F121" s="1">
        <v>100</v>
      </c>
      <c r="H121" s="1">
        <v>91.6</v>
      </c>
    </row>
    <row r="122" s="1" customFormat="1" spans="1:8">
      <c r="A122" s="1" t="s">
        <v>10</v>
      </c>
      <c r="B122" s="1" t="s">
        <v>9</v>
      </c>
      <c r="C122" s="1" t="str">
        <f t="shared" si="2"/>
        <v>020064</v>
      </c>
      <c r="D122" s="1" t="str">
        <f>"112100501"</f>
        <v>112100501</v>
      </c>
      <c r="E122" s="1">
        <v>29</v>
      </c>
      <c r="F122" s="1">
        <v>78.5</v>
      </c>
      <c r="H122" s="1">
        <v>48.8</v>
      </c>
    </row>
    <row r="123" s="1" customFormat="1" spans="1:8">
      <c r="A123" s="1" t="s">
        <v>10</v>
      </c>
      <c r="B123" s="1" t="s">
        <v>9</v>
      </c>
      <c r="C123" s="1" t="str">
        <f t="shared" si="2"/>
        <v>020064</v>
      </c>
      <c r="D123" s="1" t="str">
        <f>"112100502"</f>
        <v>112100502</v>
      </c>
      <c r="E123" s="1">
        <v>60</v>
      </c>
      <c r="F123" s="1">
        <v>58.5</v>
      </c>
      <c r="H123" s="1">
        <v>59.4</v>
      </c>
    </row>
    <row r="124" s="1" customFormat="1" spans="1:8">
      <c r="A124" s="1" t="s">
        <v>10</v>
      </c>
      <c r="B124" s="1" t="s">
        <v>9</v>
      </c>
      <c r="C124" s="1" t="str">
        <f t="shared" si="2"/>
        <v>020064</v>
      </c>
      <c r="D124" s="1" t="str">
        <f>"112100503"</f>
        <v>112100503</v>
      </c>
      <c r="E124" s="1">
        <v>46.5</v>
      </c>
      <c r="F124" s="1">
        <v>56</v>
      </c>
      <c r="H124" s="1">
        <v>50.3</v>
      </c>
    </row>
    <row r="125" s="1" customFormat="1" spans="1:8">
      <c r="A125" s="1" t="s">
        <v>10</v>
      </c>
      <c r="B125" s="1" t="s">
        <v>9</v>
      </c>
      <c r="C125" s="1" t="str">
        <f t="shared" si="2"/>
        <v>020064</v>
      </c>
      <c r="D125" s="1" t="str">
        <f>"112100504"</f>
        <v>112100504</v>
      </c>
      <c r="E125" s="1">
        <v>51</v>
      </c>
      <c r="F125" s="1">
        <v>52</v>
      </c>
      <c r="H125" s="1">
        <v>51.4</v>
      </c>
    </row>
    <row r="126" s="1" customFormat="1" spans="1:8">
      <c r="A126" s="1" t="s">
        <v>10</v>
      </c>
      <c r="B126" s="1" t="s">
        <v>9</v>
      </c>
      <c r="C126" s="1" t="str">
        <f t="shared" si="2"/>
        <v>020064</v>
      </c>
      <c r="D126" s="1" t="str">
        <f>"112100505"</f>
        <v>112100505</v>
      </c>
      <c r="E126" s="1">
        <v>0</v>
      </c>
      <c r="F126" s="1">
        <v>0</v>
      </c>
      <c r="H126" s="1">
        <v>0</v>
      </c>
    </row>
    <row r="127" s="1" customFormat="1" spans="1:8">
      <c r="A127" s="1" t="s">
        <v>10</v>
      </c>
      <c r="B127" s="1" t="s">
        <v>9</v>
      </c>
      <c r="C127" s="1" t="str">
        <f t="shared" si="2"/>
        <v>020064</v>
      </c>
      <c r="D127" s="1" t="str">
        <f>"112100506"</f>
        <v>112100506</v>
      </c>
      <c r="E127" s="1">
        <v>66</v>
      </c>
      <c r="F127" s="1">
        <v>89.5</v>
      </c>
      <c r="H127" s="1">
        <v>75.4</v>
      </c>
    </row>
    <row r="128" s="1" customFormat="1" spans="1:8">
      <c r="A128" s="1" t="s">
        <v>10</v>
      </c>
      <c r="B128" s="1" t="s">
        <v>9</v>
      </c>
      <c r="C128" s="1" t="str">
        <f t="shared" si="2"/>
        <v>020064</v>
      </c>
      <c r="D128" s="1" t="str">
        <f>"112100507"</f>
        <v>112100507</v>
      </c>
      <c r="E128" s="1">
        <v>47</v>
      </c>
      <c r="F128" s="1">
        <v>0</v>
      </c>
      <c r="H128" s="1">
        <v>28.2</v>
      </c>
    </row>
    <row r="129" s="1" customFormat="1" spans="1:8">
      <c r="A129" s="1" t="s">
        <v>10</v>
      </c>
      <c r="B129" s="1" t="s">
        <v>9</v>
      </c>
      <c r="C129" s="1" t="str">
        <f t="shared" si="2"/>
        <v>020064</v>
      </c>
      <c r="D129" s="1" t="str">
        <f>"112100508"</f>
        <v>112100508</v>
      </c>
      <c r="E129" s="1">
        <v>26.5</v>
      </c>
      <c r="F129" s="1">
        <v>64</v>
      </c>
      <c r="H129" s="1">
        <v>41.5</v>
      </c>
    </row>
    <row r="130" s="1" customFormat="1" spans="1:8">
      <c r="A130" s="1" t="s">
        <v>10</v>
      </c>
      <c r="B130" s="1" t="s">
        <v>9</v>
      </c>
      <c r="C130" s="1" t="str">
        <f t="shared" si="2"/>
        <v>020064</v>
      </c>
      <c r="D130" s="1" t="str">
        <f>"112100509"</f>
        <v>112100509</v>
      </c>
      <c r="E130" s="1">
        <v>59</v>
      </c>
      <c r="F130" s="1">
        <v>80</v>
      </c>
      <c r="H130" s="1">
        <v>67.4</v>
      </c>
    </row>
    <row r="131" s="1" customFormat="1" spans="1:8">
      <c r="A131" s="1" t="s">
        <v>10</v>
      </c>
      <c r="B131" s="1" t="s">
        <v>9</v>
      </c>
      <c r="C131" s="1" t="str">
        <f t="shared" si="2"/>
        <v>020064</v>
      </c>
      <c r="D131" s="1" t="str">
        <f>"112100510"</f>
        <v>112100510</v>
      </c>
      <c r="E131" s="1">
        <v>50.5</v>
      </c>
      <c r="F131" s="1">
        <v>61.5</v>
      </c>
      <c r="H131" s="1">
        <v>54.9</v>
      </c>
    </row>
    <row r="132" s="1" customFormat="1" spans="1:8">
      <c r="A132" s="1" t="s">
        <v>10</v>
      </c>
      <c r="B132" s="1" t="s">
        <v>9</v>
      </c>
      <c r="C132" s="1" t="str">
        <f t="shared" si="2"/>
        <v>020064</v>
      </c>
      <c r="D132" s="1" t="str">
        <f>"112100511"</f>
        <v>112100511</v>
      </c>
      <c r="E132" s="1">
        <v>46.5</v>
      </c>
      <c r="F132" s="1">
        <v>57</v>
      </c>
      <c r="H132" s="1">
        <v>50.7</v>
      </c>
    </row>
    <row r="133" s="1" customFormat="1" spans="1:8">
      <c r="A133" s="1" t="s">
        <v>10</v>
      </c>
      <c r="B133" s="1" t="s">
        <v>9</v>
      </c>
      <c r="C133" s="1" t="str">
        <f t="shared" si="2"/>
        <v>020064</v>
      </c>
      <c r="D133" s="1" t="str">
        <f>"112100512"</f>
        <v>112100512</v>
      </c>
      <c r="E133" s="1">
        <v>29</v>
      </c>
      <c r="F133" s="1">
        <v>58.5</v>
      </c>
      <c r="H133" s="1">
        <v>40.8</v>
      </c>
    </row>
    <row r="134" s="1" customFormat="1" spans="1:8">
      <c r="A134" s="1" t="s">
        <v>10</v>
      </c>
      <c r="B134" s="1" t="s">
        <v>9</v>
      </c>
      <c r="C134" s="1" t="str">
        <f t="shared" si="2"/>
        <v>020064</v>
      </c>
      <c r="D134" s="1" t="str">
        <f>"112100513"</f>
        <v>112100513</v>
      </c>
      <c r="E134" s="1">
        <v>35</v>
      </c>
      <c r="F134" s="1">
        <v>75</v>
      </c>
      <c r="H134" s="1">
        <v>51</v>
      </c>
    </row>
    <row r="135" s="1" customFormat="1" spans="1:8">
      <c r="A135" s="1" t="s">
        <v>10</v>
      </c>
      <c r="B135" s="1" t="s">
        <v>9</v>
      </c>
      <c r="C135" s="1" t="str">
        <f t="shared" si="2"/>
        <v>020064</v>
      </c>
      <c r="D135" s="1" t="str">
        <f>"112100514"</f>
        <v>112100514</v>
      </c>
      <c r="E135" s="1">
        <v>0</v>
      </c>
      <c r="F135" s="1">
        <v>0</v>
      </c>
      <c r="H135" s="1">
        <v>0</v>
      </c>
    </row>
    <row r="136" s="1" customFormat="1" spans="1:8">
      <c r="A136" s="1" t="s">
        <v>10</v>
      </c>
      <c r="B136" s="1" t="s">
        <v>9</v>
      </c>
      <c r="C136" s="1" t="str">
        <f t="shared" si="2"/>
        <v>020064</v>
      </c>
      <c r="D136" s="1" t="str">
        <f>"112100515"</f>
        <v>112100515</v>
      </c>
      <c r="E136" s="1">
        <v>70</v>
      </c>
      <c r="F136" s="1">
        <v>56</v>
      </c>
      <c r="H136" s="1">
        <v>64.4</v>
      </c>
    </row>
    <row r="137" s="1" customFormat="1" spans="1:8">
      <c r="A137" s="1" t="s">
        <v>10</v>
      </c>
      <c r="B137" s="1" t="s">
        <v>9</v>
      </c>
      <c r="C137" s="1" t="str">
        <f t="shared" si="2"/>
        <v>020064</v>
      </c>
      <c r="D137" s="1" t="str">
        <f>"112100516"</f>
        <v>112100516</v>
      </c>
      <c r="E137" s="1">
        <v>24.5</v>
      </c>
      <c r="F137" s="1">
        <v>0</v>
      </c>
      <c r="H137" s="1">
        <v>14.7</v>
      </c>
    </row>
    <row r="138" s="1" customFormat="1" spans="1:8">
      <c r="A138" s="1" t="s">
        <v>10</v>
      </c>
      <c r="B138" s="1" t="s">
        <v>9</v>
      </c>
      <c r="C138" s="1" t="str">
        <f t="shared" si="2"/>
        <v>020064</v>
      </c>
      <c r="D138" s="1" t="str">
        <f>"112100517"</f>
        <v>112100517</v>
      </c>
      <c r="E138" s="1">
        <v>67</v>
      </c>
      <c r="F138" s="1">
        <v>56.5</v>
      </c>
      <c r="H138" s="1">
        <v>62.8</v>
      </c>
    </row>
    <row r="139" s="1" customFormat="1" spans="1:8">
      <c r="A139" s="1" t="s">
        <v>10</v>
      </c>
      <c r="B139" s="1" t="s">
        <v>9</v>
      </c>
      <c r="C139" s="1" t="str">
        <f t="shared" si="2"/>
        <v>020064</v>
      </c>
      <c r="D139" s="1" t="str">
        <f>"112100518"</f>
        <v>112100518</v>
      </c>
      <c r="E139" s="1">
        <v>45.5</v>
      </c>
      <c r="F139" s="1">
        <v>62</v>
      </c>
      <c r="H139" s="1">
        <v>52.1</v>
      </c>
    </row>
    <row r="140" s="1" customFormat="1" spans="1:8">
      <c r="A140" s="1" t="s">
        <v>10</v>
      </c>
      <c r="B140" s="1" t="s">
        <v>9</v>
      </c>
      <c r="C140" s="1" t="str">
        <f t="shared" si="2"/>
        <v>020064</v>
      </c>
      <c r="D140" s="1" t="str">
        <f>"112100519"</f>
        <v>112100519</v>
      </c>
      <c r="E140" s="1">
        <v>40</v>
      </c>
      <c r="F140" s="1">
        <v>51</v>
      </c>
      <c r="H140" s="1">
        <v>44.4</v>
      </c>
    </row>
    <row r="141" s="1" customFormat="1" spans="1:8">
      <c r="A141" s="1" t="s">
        <v>10</v>
      </c>
      <c r="B141" s="1" t="s">
        <v>9</v>
      </c>
      <c r="C141" s="1" t="str">
        <f t="shared" si="2"/>
        <v>020064</v>
      </c>
      <c r="D141" s="1" t="str">
        <f>"112100520"</f>
        <v>112100520</v>
      </c>
      <c r="E141" s="1">
        <v>54.5</v>
      </c>
      <c r="F141" s="1">
        <v>54</v>
      </c>
      <c r="H141" s="1">
        <v>54.3</v>
      </c>
    </row>
    <row r="142" s="1" customFormat="1" spans="1:8">
      <c r="A142" s="1" t="s">
        <v>10</v>
      </c>
      <c r="B142" s="1" t="s">
        <v>9</v>
      </c>
      <c r="C142" s="1" t="str">
        <f t="shared" si="2"/>
        <v>020064</v>
      </c>
      <c r="D142" s="1" t="str">
        <f>"112100521"</f>
        <v>112100521</v>
      </c>
      <c r="E142" s="1">
        <v>50.5</v>
      </c>
      <c r="F142" s="1">
        <v>79</v>
      </c>
      <c r="H142" s="1">
        <v>61.9</v>
      </c>
    </row>
    <row r="143" s="1" customFormat="1" spans="1:8">
      <c r="A143" s="1" t="s">
        <v>10</v>
      </c>
      <c r="B143" s="1" t="s">
        <v>9</v>
      </c>
      <c r="C143" s="1" t="str">
        <f t="shared" si="2"/>
        <v>020064</v>
      </c>
      <c r="D143" s="1" t="str">
        <f>"112100522"</f>
        <v>112100522</v>
      </c>
      <c r="E143" s="1">
        <v>38.5</v>
      </c>
      <c r="F143" s="1">
        <v>67.5</v>
      </c>
      <c r="H143" s="1">
        <v>50.1</v>
      </c>
    </row>
    <row r="144" s="1" customFormat="1" spans="1:8">
      <c r="A144" s="1" t="s">
        <v>10</v>
      </c>
      <c r="B144" s="1" t="s">
        <v>9</v>
      </c>
      <c r="C144" s="1" t="str">
        <f t="shared" si="2"/>
        <v>020064</v>
      </c>
      <c r="D144" s="1" t="str">
        <f>"112100523"</f>
        <v>112100523</v>
      </c>
      <c r="E144" s="1">
        <v>39.5</v>
      </c>
      <c r="F144" s="1">
        <v>63</v>
      </c>
      <c r="H144" s="1">
        <v>48.9</v>
      </c>
    </row>
    <row r="145" s="1" customFormat="1" spans="1:8">
      <c r="A145" s="1" t="s">
        <v>10</v>
      </c>
      <c r="B145" s="1" t="s">
        <v>9</v>
      </c>
      <c r="C145" s="1" t="str">
        <f t="shared" si="2"/>
        <v>020064</v>
      </c>
      <c r="D145" s="1" t="str">
        <f>"112100524"</f>
        <v>112100524</v>
      </c>
      <c r="E145" s="1">
        <v>75</v>
      </c>
      <c r="F145" s="1">
        <v>69.5</v>
      </c>
      <c r="H145" s="1">
        <v>72.8</v>
      </c>
    </row>
    <row r="146" s="1" customFormat="1" spans="1:8">
      <c r="A146" s="1" t="s">
        <v>10</v>
      </c>
      <c r="B146" s="1" t="s">
        <v>9</v>
      </c>
      <c r="C146" s="1" t="str">
        <f t="shared" si="2"/>
        <v>020064</v>
      </c>
      <c r="D146" s="1" t="str">
        <f>"112100525"</f>
        <v>112100525</v>
      </c>
      <c r="E146" s="1">
        <v>53</v>
      </c>
      <c r="F146" s="1">
        <v>54</v>
      </c>
      <c r="H146" s="1">
        <v>53.4</v>
      </c>
    </row>
    <row r="147" s="1" customFormat="1" spans="1:8">
      <c r="A147" s="1" t="s">
        <v>10</v>
      </c>
      <c r="B147" s="1" t="s">
        <v>9</v>
      </c>
      <c r="C147" s="1" t="str">
        <f t="shared" si="2"/>
        <v>020064</v>
      </c>
      <c r="D147" s="1" t="str">
        <f>"112100526"</f>
        <v>112100526</v>
      </c>
      <c r="E147" s="1">
        <v>66.5</v>
      </c>
      <c r="F147" s="1">
        <v>85</v>
      </c>
      <c r="H147" s="1">
        <v>73.9</v>
      </c>
    </row>
    <row r="148" s="1" customFormat="1" spans="1:8">
      <c r="A148" s="1" t="s">
        <v>10</v>
      </c>
      <c r="B148" s="1" t="s">
        <v>9</v>
      </c>
      <c r="C148" s="1" t="str">
        <f t="shared" si="2"/>
        <v>020064</v>
      </c>
      <c r="D148" s="1" t="str">
        <f>"112100527"</f>
        <v>112100527</v>
      </c>
      <c r="E148" s="1">
        <v>48.5</v>
      </c>
      <c r="F148" s="1">
        <v>77</v>
      </c>
      <c r="H148" s="1">
        <v>59.9</v>
      </c>
    </row>
    <row r="149" s="1" customFormat="1" spans="1:8">
      <c r="A149" s="1" t="s">
        <v>10</v>
      </c>
      <c r="B149" s="1" t="s">
        <v>9</v>
      </c>
      <c r="C149" s="1" t="str">
        <f t="shared" si="2"/>
        <v>020064</v>
      </c>
      <c r="D149" s="1" t="str">
        <f>"112100528"</f>
        <v>112100528</v>
      </c>
      <c r="E149" s="1">
        <v>29</v>
      </c>
      <c r="F149" s="1">
        <v>0</v>
      </c>
      <c r="H149" s="1">
        <v>17.4</v>
      </c>
    </row>
    <row r="150" s="1" customFormat="1" spans="1:8">
      <c r="A150" s="1" t="s">
        <v>10</v>
      </c>
      <c r="B150" s="1" t="s">
        <v>9</v>
      </c>
      <c r="C150" s="1" t="str">
        <f t="shared" si="2"/>
        <v>020064</v>
      </c>
      <c r="D150" s="1" t="str">
        <f>"112100529"</f>
        <v>112100529</v>
      </c>
      <c r="E150" s="1">
        <v>34</v>
      </c>
      <c r="F150" s="1">
        <v>64</v>
      </c>
      <c r="H150" s="1">
        <v>46</v>
      </c>
    </row>
    <row r="151" s="1" customFormat="1" spans="1:8">
      <c r="A151" s="1" t="s">
        <v>10</v>
      </c>
      <c r="B151" s="1" t="s">
        <v>9</v>
      </c>
      <c r="C151" s="1" t="str">
        <f t="shared" si="2"/>
        <v>020064</v>
      </c>
      <c r="D151" s="1" t="str">
        <f>"112100530"</f>
        <v>112100530</v>
      </c>
      <c r="E151" s="1">
        <v>40.5</v>
      </c>
      <c r="F151" s="1">
        <v>57</v>
      </c>
      <c r="H151" s="1">
        <v>47.1</v>
      </c>
    </row>
    <row r="152" s="1" customFormat="1" spans="1:8">
      <c r="A152" s="1" t="s">
        <v>10</v>
      </c>
      <c r="B152" s="1" t="s">
        <v>9</v>
      </c>
      <c r="C152" s="1" t="str">
        <f t="shared" si="2"/>
        <v>020064</v>
      </c>
      <c r="D152" s="1" t="str">
        <f>"112100601"</f>
        <v>112100601</v>
      </c>
      <c r="E152" s="1">
        <v>0</v>
      </c>
      <c r="F152" s="1">
        <v>0</v>
      </c>
      <c r="H152" s="1">
        <v>0</v>
      </c>
    </row>
    <row r="153" s="1" customFormat="1" spans="1:8">
      <c r="A153" s="1" t="s">
        <v>10</v>
      </c>
      <c r="B153" s="1" t="s">
        <v>9</v>
      </c>
      <c r="C153" s="1" t="str">
        <f t="shared" si="2"/>
        <v>020064</v>
      </c>
      <c r="D153" s="1" t="str">
        <f>"112100602"</f>
        <v>112100602</v>
      </c>
      <c r="E153" s="1">
        <v>91</v>
      </c>
      <c r="F153" s="1">
        <v>83.5</v>
      </c>
      <c r="H153" s="1">
        <v>88</v>
      </c>
    </row>
    <row r="154" s="1" customFormat="1" spans="1:8">
      <c r="A154" s="1" t="s">
        <v>10</v>
      </c>
      <c r="B154" s="1" t="s">
        <v>9</v>
      </c>
      <c r="C154" s="1" t="str">
        <f t="shared" si="2"/>
        <v>020064</v>
      </c>
      <c r="D154" s="1" t="str">
        <f>"112100603"</f>
        <v>112100603</v>
      </c>
      <c r="E154" s="1">
        <v>56</v>
      </c>
      <c r="F154" s="1">
        <v>65</v>
      </c>
      <c r="H154" s="1">
        <v>59.6</v>
      </c>
    </row>
    <row r="155" s="1" customFormat="1" spans="1:8">
      <c r="A155" s="1" t="s">
        <v>10</v>
      </c>
      <c r="B155" s="1" t="s">
        <v>9</v>
      </c>
      <c r="C155" s="1" t="str">
        <f t="shared" si="2"/>
        <v>020064</v>
      </c>
      <c r="D155" s="1" t="str">
        <f>"112100604"</f>
        <v>112100604</v>
      </c>
      <c r="E155" s="1">
        <v>40.5</v>
      </c>
      <c r="F155" s="1">
        <v>69.5</v>
      </c>
      <c r="H155" s="1">
        <v>52.1</v>
      </c>
    </row>
    <row r="156" s="1" customFormat="1" spans="1:8">
      <c r="A156" s="1" t="s">
        <v>10</v>
      </c>
      <c r="B156" s="1" t="s">
        <v>9</v>
      </c>
      <c r="C156" s="1" t="str">
        <f t="shared" si="2"/>
        <v>020064</v>
      </c>
      <c r="D156" s="1" t="str">
        <f>"112100605"</f>
        <v>112100605</v>
      </c>
      <c r="E156" s="1">
        <v>49</v>
      </c>
      <c r="F156" s="1">
        <v>56</v>
      </c>
      <c r="H156" s="1">
        <v>51.8</v>
      </c>
    </row>
    <row r="157" s="1" customFormat="1" spans="1:8">
      <c r="A157" s="1" t="s">
        <v>10</v>
      </c>
      <c r="B157" s="1" t="s">
        <v>9</v>
      </c>
      <c r="C157" s="1" t="str">
        <f t="shared" ref="C157:C182" si="3">"020064"</f>
        <v>020064</v>
      </c>
      <c r="D157" s="1" t="str">
        <f>"112100606"</f>
        <v>112100606</v>
      </c>
      <c r="E157" s="1">
        <v>80.5</v>
      </c>
      <c r="F157" s="1">
        <v>72</v>
      </c>
      <c r="H157" s="1">
        <v>77.1</v>
      </c>
    </row>
    <row r="158" s="1" customFormat="1" spans="1:8">
      <c r="A158" s="1" t="s">
        <v>10</v>
      </c>
      <c r="B158" s="1" t="s">
        <v>9</v>
      </c>
      <c r="C158" s="1" t="str">
        <f t="shared" si="3"/>
        <v>020064</v>
      </c>
      <c r="D158" s="1" t="str">
        <f>"112100607"</f>
        <v>112100607</v>
      </c>
      <c r="E158" s="1">
        <v>50</v>
      </c>
      <c r="F158" s="1">
        <v>60.5</v>
      </c>
      <c r="H158" s="1">
        <v>54.2</v>
      </c>
    </row>
    <row r="159" s="1" customFormat="1" spans="1:8">
      <c r="A159" s="1" t="s">
        <v>10</v>
      </c>
      <c r="B159" s="1" t="s">
        <v>9</v>
      </c>
      <c r="C159" s="1" t="str">
        <f t="shared" si="3"/>
        <v>020064</v>
      </c>
      <c r="D159" s="1" t="str">
        <f>"112100608"</f>
        <v>112100608</v>
      </c>
      <c r="E159" s="1">
        <v>0</v>
      </c>
      <c r="F159" s="1">
        <v>0</v>
      </c>
      <c r="H159" s="1">
        <v>0</v>
      </c>
    </row>
    <row r="160" s="1" customFormat="1" spans="1:8">
      <c r="A160" s="1" t="s">
        <v>10</v>
      </c>
      <c r="B160" s="1" t="s">
        <v>9</v>
      </c>
      <c r="C160" s="1" t="str">
        <f t="shared" si="3"/>
        <v>020064</v>
      </c>
      <c r="D160" s="1" t="str">
        <f>"112100609"</f>
        <v>112100609</v>
      </c>
      <c r="E160" s="1">
        <v>83.5</v>
      </c>
      <c r="F160" s="1">
        <v>70.5</v>
      </c>
      <c r="H160" s="1">
        <v>78.3</v>
      </c>
    </row>
    <row r="161" s="1" customFormat="1" spans="1:8">
      <c r="A161" s="1" t="s">
        <v>10</v>
      </c>
      <c r="B161" s="1" t="s">
        <v>9</v>
      </c>
      <c r="C161" s="1" t="str">
        <f t="shared" si="3"/>
        <v>020064</v>
      </c>
      <c r="D161" s="1" t="str">
        <f>"112100610"</f>
        <v>112100610</v>
      </c>
      <c r="E161" s="1">
        <v>70</v>
      </c>
      <c r="F161" s="1">
        <v>92.5</v>
      </c>
      <c r="H161" s="1">
        <v>79</v>
      </c>
    </row>
    <row r="162" s="1" customFormat="1" spans="1:8">
      <c r="A162" s="1" t="s">
        <v>10</v>
      </c>
      <c r="B162" s="1" t="s">
        <v>9</v>
      </c>
      <c r="C162" s="1" t="str">
        <f t="shared" si="3"/>
        <v>020064</v>
      </c>
      <c r="D162" s="1" t="str">
        <f>"112100611"</f>
        <v>112100611</v>
      </c>
      <c r="E162" s="1">
        <v>0</v>
      </c>
      <c r="F162" s="1">
        <v>0</v>
      </c>
      <c r="H162" s="1">
        <v>0</v>
      </c>
    </row>
    <row r="163" s="1" customFormat="1" spans="1:8">
      <c r="A163" s="1" t="s">
        <v>10</v>
      </c>
      <c r="B163" s="1" t="s">
        <v>9</v>
      </c>
      <c r="C163" s="1" t="str">
        <f t="shared" si="3"/>
        <v>020064</v>
      </c>
      <c r="D163" s="1" t="str">
        <f>"112100612"</f>
        <v>112100612</v>
      </c>
      <c r="E163" s="1">
        <v>0</v>
      </c>
      <c r="F163" s="1">
        <v>0</v>
      </c>
      <c r="H163" s="1">
        <v>0</v>
      </c>
    </row>
    <row r="164" s="1" customFormat="1" spans="1:8">
      <c r="A164" s="1" t="s">
        <v>10</v>
      </c>
      <c r="B164" s="1" t="s">
        <v>9</v>
      </c>
      <c r="C164" s="1" t="str">
        <f t="shared" si="3"/>
        <v>020064</v>
      </c>
      <c r="D164" s="1" t="str">
        <f>"112100613"</f>
        <v>112100613</v>
      </c>
      <c r="E164" s="1">
        <v>38</v>
      </c>
      <c r="F164" s="1">
        <v>77</v>
      </c>
      <c r="H164" s="1">
        <v>53.6</v>
      </c>
    </row>
    <row r="165" s="1" customFormat="1" spans="1:8">
      <c r="A165" s="1" t="s">
        <v>10</v>
      </c>
      <c r="B165" s="1" t="s">
        <v>9</v>
      </c>
      <c r="C165" s="1" t="str">
        <f t="shared" si="3"/>
        <v>020064</v>
      </c>
      <c r="D165" s="1" t="str">
        <f>"112100614"</f>
        <v>112100614</v>
      </c>
      <c r="E165" s="1">
        <v>0</v>
      </c>
      <c r="F165" s="1">
        <v>0</v>
      </c>
      <c r="H165" s="1">
        <v>0</v>
      </c>
    </row>
    <row r="166" s="1" customFormat="1" spans="1:8">
      <c r="A166" s="1" t="s">
        <v>10</v>
      </c>
      <c r="B166" s="1" t="s">
        <v>9</v>
      </c>
      <c r="C166" s="1" t="str">
        <f t="shared" si="3"/>
        <v>020064</v>
      </c>
      <c r="D166" s="1" t="str">
        <f>"112100615"</f>
        <v>112100615</v>
      </c>
      <c r="E166" s="1">
        <v>39</v>
      </c>
      <c r="F166" s="1">
        <v>52</v>
      </c>
      <c r="H166" s="1">
        <v>44.2</v>
      </c>
    </row>
    <row r="167" s="1" customFormat="1" spans="1:8">
      <c r="A167" s="1" t="s">
        <v>10</v>
      </c>
      <c r="B167" s="1" t="s">
        <v>9</v>
      </c>
      <c r="C167" s="1" t="str">
        <f t="shared" si="3"/>
        <v>020064</v>
      </c>
      <c r="D167" s="1" t="str">
        <f>"112100616"</f>
        <v>112100616</v>
      </c>
      <c r="E167" s="1">
        <v>37.5</v>
      </c>
      <c r="F167" s="1">
        <v>50.5</v>
      </c>
      <c r="H167" s="1">
        <v>42.7</v>
      </c>
    </row>
    <row r="168" s="1" customFormat="1" spans="1:8">
      <c r="A168" s="1" t="s">
        <v>10</v>
      </c>
      <c r="B168" s="1" t="s">
        <v>9</v>
      </c>
      <c r="C168" s="1" t="str">
        <f t="shared" si="3"/>
        <v>020064</v>
      </c>
      <c r="D168" s="1" t="str">
        <f>"112100617"</f>
        <v>112100617</v>
      </c>
      <c r="E168" s="1">
        <v>0</v>
      </c>
      <c r="F168" s="1">
        <v>0</v>
      </c>
      <c r="H168" s="1">
        <v>0</v>
      </c>
    </row>
    <row r="169" s="1" customFormat="1" spans="1:8">
      <c r="A169" s="1" t="s">
        <v>10</v>
      </c>
      <c r="B169" s="1" t="s">
        <v>9</v>
      </c>
      <c r="C169" s="1" t="str">
        <f t="shared" si="3"/>
        <v>020064</v>
      </c>
      <c r="D169" s="1" t="str">
        <f>"112100618"</f>
        <v>112100618</v>
      </c>
      <c r="E169" s="1">
        <v>29</v>
      </c>
      <c r="F169" s="1">
        <v>77.5</v>
      </c>
      <c r="H169" s="1">
        <v>48.4</v>
      </c>
    </row>
    <row r="170" s="1" customFormat="1" spans="1:8">
      <c r="A170" s="1" t="s">
        <v>10</v>
      </c>
      <c r="B170" s="1" t="s">
        <v>9</v>
      </c>
      <c r="C170" s="1" t="str">
        <f t="shared" si="3"/>
        <v>020064</v>
      </c>
      <c r="D170" s="1" t="str">
        <f>"112100619"</f>
        <v>112100619</v>
      </c>
      <c r="E170" s="1">
        <v>47.5</v>
      </c>
      <c r="F170" s="1">
        <v>54</v>
      </c>
      <c r="H170" s="1">
        <v>50.1</v>
      </c>
    </row>
    <row r="171" s="1" customFormat="1" spans="1:8">
      <c r="A171" s="1" t="s">
        <v>10</v>
      </c>
      <c r="B171" s="1" t="s">
        <v>9</v>
      </c>
      <c r="C171" s="1" t="str">
        <f t="shared" si="3"/>
        <v>020064</v>
      </c>
      <c r="D171" s="1" t="str">
        <f>"112100620"</f>
        <v>112100620</v>
      </c>
      <c r="E171" s="1">
        <v>48.5</v>
      </c>
      <c r="F171" s="1">
        <v>75.5</v>
      </c>
      <c r="H171" s="1">
        <v>59.3</v>
      </c>
    </row>
    <row r="172" s="1" customFormat="1" spans="1:8">
      <c r="A172" s="1" t="s">
        <v>10</v>
      </c>
      <c r="B172" s="1" t="s">
        <v>9</v>
      </c>
      <c r="C172" s="1" t="str">
        <f t="shared" si="3"/>
        <v>020064</v>
      </c>
      <c r="D172" s="1" t="str">
        <f>"112100621"</f>
        <v>112100621</v>
      </c>
      <c r="E172" s="1">
        <v>76</v>
      </c>
      <c r="F172" s="1">
        <v>66.5</v>
      </c>
      <c r="H172" s="1">
        <v>72.2</v>
      </c>
    </row>
    <row r="173" s="1" customFormat="1" spans="1:8">
      <c r="A173" s="1" t="s">
        <v>10</v>
      </c>
      <c r="B173" s="1" t="s">
        <v>9</v>
      </c>
      <c r="C173" s="1" t="str">
        <f t="shared" si="3"/>
        <v>020064</v>
      </c>
      <c r="D173" s="1" t="str">
        <f>"112100622"</f>
        <v>112100622</v>
      </c>
      <c r="E173" s="1">
        <v>46</v>
      </c>
      <c r="F173" s="1">
        <v>81</v>
      </c>
      <c r="H173" s="1">
        <v>60</v>
      </c>
    </row>
    <row r="174" s="1" customFormat="1" spans="1:8">
      <c r="A174" s="1" t="s">
        <v>10</v>
      </c>
      <c r="B174" s="1" t="s">
        <v>9</v>
      </c>
      <c r="C174" s="1" t="str">
        <f t="shared" si="3"/>
        <v>020064</v>
      </c>
      <c r="D174" s="1" t="str">
        <f>"112100623"</f>
        <v>112100623</v>
      </c>
      <c r="E174" s="1">
        <v>65</v>
      </c>
      <c r="F174" s="1">
        <v>74</v>
      </c>
      <c r="H174" s="1">
        <v>68.6</v>
      </c>
    </row>
    <row r="175" s="1" customFormat="1" spans="1:8">
      <c r="A175" s="1" t="s">
        <v>10</v>
      </c>
      <c r="B175" s="1" t="s">
        <v>9</v>
      </c>
      <c r="C175" s="1" t="str">
        <f t="shared" si="3"/>
        <v>020064</v>
      </c>
      <c r="D175" s="1" t="str">
        <f>"112100624"</f>
        <v>112100624</v>
      </c>
      <c r="E175" s="1">
        <v>0</v>
      </c>
      <c r="F175" s="1">
        <v>0</v>
      </c>
      <c r="H175" s="1">
        <v>0</v>
      </c>
    </row>
    <row r="176" s="1" customFormat="1" spans="1:8">
      <c r="A176" s="1" t="s">
        <v>10</v>
      </c>
      <c r="B176" s="1" t="s">
        <v>9</v>
      </c>
      <c r="C176" s="1" t="str">
        <f t="shared" si="3"/>
        <v>020064</v>
      </c>
      <c r="D176" s="1" t="str">
        <f>"112100625"</f>
        <v>112100625</v>
      </c>
      <c r="E176" s="1">
        <v>85.5</v>
      </c>
      <c r="F176" s="1">
        <v>76</v>
      </c>
      <c r="H176" s="1">
        <v>81.7</v>
      </c>
    </row>
    <row r="177" s="1" customFormat="1" spans="1:8">
      <c r="A177" s="1" t="s">
        <v>10</v>
      </c>
      <c r="B177" s="1" t="s">
        <v>9</v>
      </c>
      <c r="C177" s="1" t="str">
        <f t="shared" si="3"/>
        <v>020064</v>
      </c>
      <c r="D177" s="1" t="str">
        <f>"112100626"</f>
        <v>112100626</v>
      </c>
      <c r="E177" s="1">
        <v>70</v>
      </c>
      <c r="F177" s="1">
        <v>75</v>
      </c>
      <c r="H177" s="1">
        <v>72</v>
      </c>
    </row>
    <row r="178" s="1" customFormat="1" spans="1:8">
      <c r="A178" s="1" t="s">
        <v>10</v>
      </c>
      <c r="B178" s="1" t="s">
        <v>9</v>
      </c>
      <c r="C178" s="1" t="str">
        <f t="shared" si="3"/>
        <v>020064</v>
      </c>
      <c r="D178" s="1" t="str">
        <f>"112100627"</f>
        <v>112100627</v>
      </c>
      <c r="E178" s="1">
        <v>40</v>
      </c>
      <c r="F178" s="1">
        <v>0</v>
      </c>
      <c r="H178" s="1">
        <v>24</v>
      </c>
    </row>
    <row r="179" s="1" customFormat="1" spans="1:8">
      <c r="A179" s="1" t="s">
        <v>10</v>
      </c>
      <c r="B179" s="1" t="s">
        <v>9</v>
      </c>
      <c r="C179" s="1" t="str">
        <f t="shared" si="3"/>
        <v>020064</v>
      </c>
      <c r="D179" s="1" t="str">
        <f>"112100628"</f>
        <v>112100628</v>
      </c>
      <c r="E179" s="1">
        <v>47.5</v>
      </c>
      <c r="F179" s="1">
        <v>76</v>
      </c>
      <c r="H179" s="1">
        <v>58.9</v>
      </c>
    </row>
    <row r="180" s="1" customFormat="1" spans="1:8">
      <c r="A180" s="1" t="s">
        <v>10</v>
      </c>
      <c r="B180" s="1" t="s">
        <v>9</v>
      </c>
      <c r="C180" s="1" t="str">
        <f t="shared" si="3"/>
        <v>020064</v>
      </c>
      <c r="D180" s="1" t="str">
        <f>"112100629"</f>
        <v>112100629</v>
      </c>
      <c r="E180" s="1">
        <v>62</v>
      </c>
      <c r="F180" s="1">
        <v>82.5</v>
      </c>
      <c r="H180" s="1">
        <v>70.2</v>
      </c>
    </row>
    <row r="181" s="1" customFormat="1" spans="1:8">
      <c r="A181" s="1" t="s">
        <v>10</v>
      </c>
      <c r="B181" s="1" t="s">
        <v>9</v>
      </c>
      <c r="C181" s="1" t="str">
        <f t="shared" si="3"/>
        <v>020064</v>
      </c>
      <c r="D181" s="1" t="str">
        <f>"112100630"</f>
        <v>112100630</v>
      </c>
      <c r="E181" s="1">
        <v>43</v>
      </c>
      <c r="F181" s="1">
        <v>77.5</v>
      </c>
      <c r="H181" s="1">
        <v>56.8</v>
      </c>
    </row>
    <row r="182" s="1" customFormat="1" spans="1:8">
      <c r="A182" s="1" t="s">
        <v>10</v>
      </c>
      <c r="B182" s="1" t="s">
        <v>9</v>
      </c>
      <c r="C182" s="1" t="str">
        <f t="shared" si="3"/>
        <v>020064</v>
      </c>
      <c r="D182" s="1" t="str">
        <f>"112100701"</f>
        <v>112100701</v>
      </c>
      <c r="E182" s="1">
        <v>60.5</v>
      </c>
      <c r="F182" s="1">
        <v>73</v>
      </c>
      <c r="H182" s="1">
        <v>65.5</v>
      </c>
    </row>
    <row r="183" s="1" customFormat="1" spans="1:8">
      <c r="A183" s="1" t="s">
        <v>11</v>
      </c>
      <c r="B183" s="1" t="s">
        <v>9</v>
      </c>
      <c r="C183" s="1" t="str">
        <f t="shared" ref="C183:C225" si="4">"020069"</f>
        <v>020069</v>
      </c>
      <c r="D183" s="1" t="str">
        <f>"112100702"</f>
        <v>112100702</v>
      </c>
      <c r="E183" s="1">
        <v>58.5</v>
      </c>
      <c r="F183" s="1">
        <v>83</v>
      </c>
      <c r="H183" s="1">
        <v>68.3</v>
      </c>
    </row>
    <row r="184" s="1" customFormat="1" spans="1:8">
      <c r="A184" s="1" t="s">
        <v>11</v>
      </c>
      <c r="B184" s="1" t="s">
        <v>9</v>
      </c>
      <c r="C184" s="1" t="str">
        <f t="shared" si="4"/>
        <v>020069</v>
      </c>
      <c r="D184" s="1" t="str">
        <f>"112100703"</f>
        <v>112100703</v>
      </c>
      <c r="E184" s="1">
        <v>0</v>
      </c>
      <c r="F184" s="1">
        <v>0</v>
      </c>
      <c r="H184" s="1">
        <v>0</v>
      </c>
    </row>
    <row r="185" s="1" customFormat="1" spans="1:8">
      <c r="A185" s="1" t="s">
        <v>11</v>
      </c>
      <c r="B185" s="1" t="s">
        <v>9</v>
      </c>
      <c r="C185" s="1" t="str">
        <f t="shared" si="4"/>
        <v>020069</v>
      </c>
      <c r="D185" s="1" t="str">
        <f>"112100704"</f>
        <v>112100704</v>
      </c>
      <c r="E185" s="1">
        <v>55</v>
      </c>
      <c r="F185" s="1">
        <v>61.5</v>
      </c>
      <c r="H185" s="1">
        <v>57.6</v>
      </c>
    </row>
    <row r="186" s="1" customFormat="1" spans="1:8">
      <c r="A186" s="1" t="s">
        <v>11</v>
      </c>
      <c r="B186" s="1" t="s">
        <v>9</v>
      </c>
      <c r="C186" s="1" t="str">
        <f t="shared" si="4"/>
        <v>020069</v>
      </c>
      <c r="D186" s="1" t="str">
        <f>"112100705"</f>
        <v>112100705</v>
      </c>
      <c r="E186" s="1">
        <v>0</v>
      </c>
      <c r="F186" s="1">
        <v>0</v>
      </c>
      <c r="H186" s="1">
        <v>0</v>
      </c>
    </row>
    <row r="187" s="1" customFormat="1" spans="1:8">
      <c r="A187" s="1" t="s">
        <v>11</v>
      </c>
      <c r="B187" s="1" t="s">
        <v>9</v>
      </c>
      <c r="C187" s="1" t="str">
        <f t="shared" si="4"/>
        <v>020069</v>
      </c>
      <c r="D187" s="1" t="str">
        <f>"112100706"</f>
        <v>112100706</v>
      </c>
      <c r="E187" s="1">
        <v>55.5</v>
      </c>
      <c r="F187" s="1">
        <v>55.5</v>
      </c>
      <c r="H187" s="1">
        <v>55.5</v>
      </c>
    </row>
    <row r="188" s="1" customFormat="1" spans="1:8">
      <c r="A188" s="1" t="s">
        <v>11</v>
      </c>
      <c r="B188" s="1" t="s">
        <v>9</v>
      </c>
      <c r="C188" s="1" t="str">
        <f t="shared" si="4"/>
        <v>020069</v>
      </c>
      <c r="D188" s="1" t="str">
        <f>"112100707"</f>
        <v>112100707</v>
      </c>
      <c r="E188" s="1">
        <v>33.5</v>
      </c>
      <c r="F188" s="1">
        <v>61</v>
      </c>
      <c r="H188" s="1">
        <v>44.5</v>
      </c>
    </row>
    <row r="189" s="1" customFormat="1" spans="1:8">
      <c r="A189" s="1" t="s">
        <v>11</v>
      </c>
      <c r="B189" s="1" t="s">
        <v>9</v>
      </c>
      <c r="C189" s="1" t="str">
        <f t="shared" si="4"/>
        <v>020069</v>
      </c>
      <c r="D189" s="1" t="str">
        <f>"112100708"</f>
        <v>112100708</v>
      </c>
      <c r="E189" s="1">
        <v>61.5</v>
      </c>
      <c r="F189" s="1">
        <v>91</v>
      </c>
      <c r="H189" s="1">
        <v>73.3</v>
      </c>
    </row>
    <row r="190" s="1" customFormat="1" spans="1:8">
      <c r="A190" s="1" t="s">
        <v>11</v>
      </c>
      <c r="B190" s="1" t="s">
        <v>9</v>
      </c>
      <c r="C190" s="1" t="str">
        <f t="shared" si="4"/>
        <v>020069</v>
      </c>
      <c r="D190" s="1" t="str">
        <f>"112100709"</f>
        <v>112100709</v>
      </c>
      <c r="E190" s="1">
        <v>58</v>
      </c>
      <c r="F190" s="1">
        <v>71.5</v>
      </c>
      <c r="H190" s="1">
        <v>63.4</v>
      </c>
    </row>
    <row r="191" s="1" customFormat="1" spans="1:8">
      <c r="A191" s="1" t="s">
        <v>11</v>
      </c>
      <c r="B191" s="1" t="s">
        <v>9</v>
      </c>
      <c r="C191" s="1" t="str">
        <f t="shared" si="4"/>
        <v>020069</v>
      </c>
      <c r="D191" s="1" t="str">
        <f>"112100710"</f>
        <v>112100710</v>
      </c>
      <c r="E191" s="1">
        <v>41.5</v>
      </c>
      <c r="F191" s="1">
        <v>73</v>
      </c>
      <c r="H191" s="1">
        <v>54.1</v>
      </c>
    </row>
    <row r="192" s="1" customFormat="1" spans="1:8">
      <c r="A192" s="1" t="s">
        <v>11</v>
      </c>
      <c r="B192" s="1" t="s">
        <v>9</v>
      </c>
      <c r="C192" s="1" t="str">
        <f t="shared" si="4"/>
        <v>020069</v>
      </c>
      <c r="D192" s="1" t="str">
        <f>"112100711"</f>
        <v>112100711</v>
      </c>
      <c r="E192" s="1">
        <v>92</v>
      </c>
      <c r="F192" s="1">
        <v>90.5</v>
      </c>
      <c r="H192" s="1">
        <v>91.4</v>
      </c>
    </row>
    <row r="193" s="1" customFormat="1" spans="1:8">
      <c r="A193" s="1" t="s">
        <v>11</v>
      </c>
      <c r="B193" s="1" t="s">
        <v>9</v>
      </c>
      <c r="C193" s="1" t="str">
        <f t="shared" si="4"/>
        <v>020069</v>
      </c>
      <c r="D193" s="1" t="str">
        <f>"112100712"</f>
        <v>112100712</v>
      </c>
      <c r="E193" s="1">
        <v>0</v>
      </c>
      <c r="F193" s="1">
        <v>0</v>
      </c>
      <c r="H193" s="1">
        <v>0</v>
      </c>
    </row>
    <row r="194" s="1" customFormat="1" spans="1:8">
      <c r="A194" s="1" t="s">
        <v>11</v>
      </c>
      <c r="B194" s="1" t="s">
        <v>9</v>
      </c>
      <c r="C194" s="1" t="str">
        <f t="shared" si="4"/>
        <v>020069</v>
      </c>
      <c r="D194" s="1" t="str">
        <f>"112100713"</f>
        <v>112100713</v>
      </c>
      <c r="E194" s="1">
        <v>45</v>
      </c>
      <c r="F194" s="1">
        <v>83</v>
      </c>
      <c r="H194" s="1">
        <v>60.2</v>
      </c>
    </row>
    <row r="195" s="1" customFormat="1" spans="1:8">
      <c r="A195" s="1" t="s">
        <v>11</v>
      </c>
      <c r="B195" s="1" t="s">
        <v>9</v>
      </c>
      <c r="C195" s="1" t="str">
        <f t="shared" si="4"/>
        <v>020069</v>
      </c>
      <c r="D195" s="1" t="str">
        <f>"112100714"</f>
        <v>112100714</v>
      </c>
      <c r="E195" s="1">
        <v>44.5</v>
      </c>
      <c r="F195" s="1">
        <v>52</v>
      </c>
      <c r="H195" s="1">
        <v>47.5</v>
      </c>
    </row>
    <row r="196" s="1" customFormat="1" spans="1:8">
      <c r="A196" s="1" t="s">
        <v>11</v>
      </c>
      <c r="B196" s="1" t="s">
        <v>9</v>
      </c>
      <c r="C196" s="1" t="str">
        <f t="shared" si="4"/>
        <v>020069</v>
      </c>
      <c r="D196" s="1" t="str">
        <f>"112100715"</f>
        <v>112100715</v>
      </c>
      <c r="E196" s="1">
        <v>29</v>
      </c>
      <c r="F196" s="1">
        <v>0</v>
      </c>
      <c r="H196" s="1">
        <v>17.4</v>
      </c>
    </row>
    <row r="197" s="1" customFormat="1" spans="1:8">
      <c r="A197" s="1" t="s">
        <v>11</v>
      </c>
      <c r="B197" s="1" t="s">
        <v>9</v>
      </c>
      <c r="C197" s="1" t="str">
        <f t="shared" si="4"/>
        <v>020069</v>
      </c>
      <c r="D197" s="1" t="str">
        <f>"112100716"</f>
        <v>112100716</v>
      </c>
      <c r="E197" s="1">
        <v>31</v>
      </c>
      <c r="F197" s="1">
        <v>45.5</v>
      </c>
      <c r="H197" s="1">
        <v>36.8</v>
      </c>
    </row>
    <row r="198" s="1" customFormat="1" spans="1:8">
      <c r="A198" s="1" t="s">
        <v>11</v>
      </c>
      <c r="B198" s="1" t="s">
        <v>9</v>
      </c>
      <c r="C198" s="1" t="str">
        <f t="shared" si="4"/>
        <v>020069</v>
      </c>
      <c r="D198" s="1" t="str">
        <f>"112100717"</f>
        <v>112100717</v>
      </c>
      <c r="E198" s="1">
        <v>59</v>
      </c>
      <c r="F198" s="1">
        <v>56</v>
      </c>
      <c r="H198" s="1">
        <v>57.8</v>
      </c>
    </row>
    <row r="199" s="1" customFormat="1" spans="1:8">
      <c r="A199" s="1" t="s">
        <v>11</v>
      </c>
      <c r="B199" s="1" t="s">
        <v>9</v>
      </c>
      <c r="C199" s="1" t="str">
        <f t="shared" si="4"/>
        <v>020069</v>
      </c>
      <c r="D199" s="1" t="str">
        <f>"112100718"</f>
        <v>112100718</v>
      </c>
      <c r="E199" s="1">
        <v>67</v>
      </c>
      <c r="F199" s="1">
        <v>93</v>
      </c>
      <c r="H199" s="1">
        <v>77.4</v>
      </c>
    </row>
    <row r="200" s="1" customFormat="1" spans="1:8">
      <c r="A200" s="1" t="s">
        <v>11</v>
      </c>
      <c r="B200" s="1" t="s">
        <v>9</v>
      </c>
      <c r="C200" s="1" t="str">
        <f t="shared" si="4"/>
        <v>020069</v>
      </c>
      <c r="D200" s="1" t="str">
        <f>"112100719"</f>
        <v>112100719</v>
      </c>
      <c r="E200" s="1">
        <v>86</v>
      </c>
      <c r="F200" s="1">
        <v>82.5</v>
      </c>
      <c r="H200" s="1">
        <v>84.6</v>
      </c>
    </row>
    <row r="201" s="1" customFormat="1" spans="1:8">
      <c r="A201" s="1" t="s">
        <v>11</v>
      </c>
      <c r="B201" s="1" t="s">
        <v>9</v>
      </c>
      <c r="C201" s="1" t="str">
        <f t="shared" si="4"/>
        <v>020069</v>
      </c>
      <c r="D201" s="1" t="str">
        <f>"112100720"</f>
        <v>112100720</v>
      </c>
      <c r="E201" s="1">
        <v>102.5</v>
      </c>
      <c r="F201" s="1">
        <v>97</v>
      </c>
      <c r="H201" s="1">
        <v>100.3</v>
      </c>
    </row>
    <row r="202" s="1" customFormat="1" spans="1:8">
      <c r="A202" s="1" t="s">
        <v>11</v>
      </c>
      <c r="B202" s="1" t="s">
        <v>9</v>
      </c>
      <c r="C202" s="1" t="str">
        <f t="shared" si="4"/>
        <v>020069</v>
      </c>
      <c r="D202" s="1" t="str">
        <f>"112100721"</f>
        <v>112100721</v>
      </c>
      <c r="E202" s="1">
        <v>45</v>
      </c>
      <c r="F202" s="1">
        <v>72</v>
      </c>
      <c r="H202" s="1">
        <v>55.8</v>
      </c>
    </row>
    <row r="203" s="1" customFormat="1" spans="1:8">
      <c r="A203" s="1" t="s">
        <v>11</v>
      </c>
      <c r="B203" s="1" t="s">
        <v>9</v>
      </c>
      <c r="C203" s="1" t="str">
        <f t="shared" si="4"/>
        <v>020069</v>
      </c>
      <c r="D203" s="1" t="str">
        <f>"112100722"</f>
        <v>112100722</v>
      </c>
      <c r="E203" s="1">
        <v>39.5</v>
      </c>
      <c r="F203" s="1">
        <v>77.5</v>
      </c>
      <c r="H203" s="1">
        <v>54.7</v>
      </c>
    </row>
    <row r="204" s="1" customFormat="1" spans="1:8">
      <c r="A204" s="1" t="s">
        <v>11</v>
      </c>
      <c r="B204" s="1" t="s">
        <v>9</v>
      </c>
      <c r="C204" s="1" t="str">
        <f t="shared" si="4"/>
        <v>020069</v>
      </c>
      <c r="D204" s="1" t="str">
        <f>"112100723"</f>
        <v>112100723</v>
      </c>
      <c r="E204" s="1">
        <v>60.5</v>
      </c>
      <c r="F204" s="1">
        <v>83.5</v>
      </c>
      <c r="H204" s="1">
        <v>69.7</v>
      </c>
    </row>
    <row r="205" s="1" customFormat="1" spans="1:8">
      <c r="A205" s="1" t="s">
        <v>11</v>
      </c>
      <c r="B205" s="1" t="s">
        <v>9</v>
      </c>
      <c r="C205" s="1" t="str">
        <f t="shared" si="4"/>
        <v>020069</v>
      </c>
      <c r="D205" s="1" t="str">
        <f>"112100724"</f>
        <v>112100724</v>
      </c>
      <c r="E205" s="1">
        <v>0</v>
      </c>
      <c r="F205" s="1">
        <v>0</v>
      </c>
      <c r="H205" s="1">
        <v>0</v>
      </c>
    </row>
    <row r="206" s="1" customFormat="1" spans="1:8">
      <c r="A206" s="1" t="s">
        <v>11</v>
      </c>
      <c r="B206" s="1" t="s">
        <v>9</v>
      </c>
      <c r="C206" s="1" t="str">
        <f t="shared" si="4"/>
        <v>020069</v>
      </c>
      <c r="D206" s="1" t="str">
        <f>"112100725"</f>
        <v>112100725</v>
      </c>
      <c r="E206" s="1">
        <v>47</v>
      </c>
      <c r="F206" s="1">
        <v>0</v>
      </c>
      <c r="H206" s="1">
        <v>28.2</v>
      </c>
    </row>
    <row r="207" s="1" customFormat="1" spans="1:8">
      <c r="A207" s="1" t="s">
        <v>11</v>
      </c>
      <c r="B207" s="1" t="s">
        <v>9</v>
      </c>
      <c r="C207" s="1" t="str">
        <f t="shared" si="4"/>
        <v>020069</v>
      </c>
      <c r="D207" s="1" t="str">
        <f>"112100726"</f>
        <v>112100726</v>
      </c>
      <c r="E207" s="1">
        <v>0</v>
      </c>
      <c r="F207" s="1">
        <v>0</v>
      </c>
      <c r="H207" s="1">
        <v>0</v>
      </c>
    </row>
    <row r="208" s="1" customFormat="1" spans="1:8">
      <c r="A208" s="1" t="s">
        <v>11</v>
      </c>
      <c r="B208" s="1" t="s">
        <v>9</v>
      </c>
      <c r="C208" s="1" t="str">
        <f t="shared" si="4"/>
        <v>020069</v>
      </c>
      <c r="D208" s="1" t="str">
        <f>"112100727"</f>
        <v>112100727</v>
      </c>
      <c r="E208" s="1">
        <v>26.5</v>
      </c>
      <c r="F208" s="1">
        <v>60.5</v>
      </c>
      <c r="H208" s="1">
        <v>40.1</v>
      </c>
    </row>
    <row r="209" s="1" customFormat="1" spans="1:8">
      <c r="A209" s="1" t="s">
        <v>11</v>
      </c>
      <c r="B209" s="1" t="s">
        <v>9</v>
      </c>
      <c r="C209" s="1" t="str">
        <f t="shared" si="4"/>
        <v>020069</v>
      </c>
      <c r="D209" s="1" t="str">
        <f>"112100728"</f>
        <v>112100728</v>
      </c>
      <c r="E209" s="1">
        <v>69.5</v>
      </c>
      <c r="F209" s="1">
        <v>90.5</v>
      </c>
      <c r="H209" s="1">
        <v>77.9</v>
      </c>
    </row>
    <row r="210" s="1" customFormat="1" spans="1:8">
      <c r="A210" s="1" t="s">
        <v>11</v>
      </c>
      <c r="B210" s="1" t="s">
        <v>9</v>
      </c>
      <c r="C210" s="1" t="str">
        <f t="shared" si="4"/>
        <v>020069</v>
      </c>
      <c r="D210" s="1" t="str">
        <f>"112100729"</f>
        <v>112100729</v>
      </c>
      <c r="E210" s="1">
        <v>86.5</v>
      </c>
      <c r="F210" s="1">
        <v>74</v>
      </c>
      <c r="H210" s="1">
        <v>81.5</v>
      </c>
    </row>
    <row r="211" s="1" customFormat="1" spans="1:8">
      <c r="A211" s="1" t="s">
        <v>11</v>
      </c>
      <c r="B211" s="1" t="s">
        <v>9</v>
      </c>
      <c r="C211" s="1" t="str">
        <f t="shared" si="4"/>
        <v>020069</v>
      </c>
      <c r="D211" s="1" t="str">
        <f>"112100730"</f>
        <v>112100730</v>
      </c>
      <c r="E211" s="1">
        <v>0</v>
      </c>
      <c r="F211" s="1">
        <v>0</v>
      </c>
      <c r="H211" s="1">
        <v>0</v>
      </c>
    </row>
    <row r="212" s="1" customFormat="1" spans="1:8">
      <c r="A212" s="1" t="s">
        <v>11</v>
      </c>
      <c r="B212" s="1" t="s">
        <v>9</v>
      </c>
      <c r="C212" s="1" t="str">
        <f t="shared" si="4"/>
        <v>020069</v>
      </c>
      <c r="D212" s="1" t="str">
        <f>"112100801"</f>
        <v>112100801</v>
      </c>
      <c r="E212" s="1">
        <v>63.5</v>
      </c>
      <c r="F212" s="1">
        <v>0</v>
      </c>
      <c r="H212" s="1">
        <v>38.1</v>
      </c>
    </row>
    <row r="213" s="1" customFormat="1" spans="1:8">
      <c r="A213" s="1" t="s">
        <v>11</v>
      </c>
      <c r="B213" s="1" t="s">
        <v>9</v>
      </c>
      <c r="C213" s="1" t="str">
        <f t="shared" si="4"/>
        <v>020069</v>
      </c>
      <c r="D213" s="1" t="str">
        <f>"112100802"</f>
        <v>112100802</v>
      </c>
      <c r="E213" s="1">
        <v>65</v>
      </c>
      <c r="F213" s="1">
        <v>0</v>
      </c>
      <c r="H213" s="1">
        <v>39</v>
      </c>
    </row>
    <row r="214" s="1" customFormat="1" spans="1:8">
      <c r="A214" s="1" t="s">
        <v>11</v>
      </c>
      <c r="B214" s="1" t="s">
        <v>9</v>
      </c>
      <c r="C214" s="1" t="str">
        <f t="shared" si="4"/>
        <v>020069</v>
      </c>
      <c r="D214" s="1" t="str">
        <f>"112100803"</f>
        <v>112100803</v>
      </c>
      <c r="E214" s="1">
        <v>45.5</v>
      </c>
      <c r="F214" s="1">
        <v>72.5</v>
      </c>
      <c r="H214" s="1">
        <v>56.3</v>
      </c>
    </row>
    <row r="215" s="1" customFormat="1" spans="1:8">
      <c r="A215" s="1" t="s">
        <v>11</v>
      </c>
      <c r="B215" s="1" t="s">
        <v>9</v>
      </c>
      <c r="C215" s="1" t="str">
        <f t="shared" si="4"/>
        <v>020069</v>
      </c>
      <c r="D215" s="1" t="str">
        <f>"112100804"</f>
        <v>112100804</v>
      </c>
      <c r="E215" s="1">
        <v>43.5</v>
      </c>
      <c r="F215" s="1">
        <v>0</v>
      </c>
      <c r="H215" s="1">
        <v>26.1</v>
      </c>
    </row>
    <row r="216" s="1" customFormat="1" spans="1:8">
      <c r="A216" s="1" t="s">
        <v>11</v>
      </c>
      <c r="B216" s="1" t="s">
        <v>9</v>
      </c>
      <c r="C216" s="1" t="str">
        <f t="shared" si="4"/>
        <v>020069</v>
      </c>
      <c r="D216" s="1" t="str">
        <f>"112100805"</f>
        <v>112100805</v>
      </c>
      <c r="E216" s="1">
        <v>45.5</v>
      </c>
      <c r="F216" s="1">
        <v>78</v>
      </c>
      <c r="H216" s="1">
        <v>58.5</v>
      </c>
    </row>
    <row r="217" s="1" customFormat="1" spans="1:8">
      <c r="A217" s="1" t="s">
        <v>11</v>
      </c>
      <c r="B217" s="1" t="s">
        <v>9</v>
      </c>
      <c r="C217" s="1" t="str">
        <f t="shared" si="4"/>
        <v>020069</v>
      </c>
      <c r="D217" s="1" t="str">
        <f>"112100806"</f>
        <v>112100806</v>
      </c>
      <c r="E217" s="1">
        <v>20</v>
      </c>
      <c r="F217" s="1">
        <v>65</v>
      </c>
      <c r="H217" s="1">
        <v>38</v>
      </c>
    </row>
    <row r="218" s="1" customFormat="1" spans="1:8">
      <c r="A218" s="1" t="s">
        <v>11</v>
      </c>
      <c r="B218" s="1" t="s">
        <v>9</v>
      </c>
      <c r="C218" s="1" t="str">
        <f t="shared" si="4"/>
        <v>020069</v>
      </c>
      <c r="D218" s="1" t="str">
        <f>"112100807"</f>
        <v>112100807</v>
      </c>
      <c r="E218" s="1">
        <v>51.5</v>
      </c>
      <c r="F218" s="1">
        <v>65.5</v>
      </c>
      <c r="H218" s="1">
        <v>57.1</v>
      </c>
    </row>
    <row r="219" s="1" customFormat="1" spans="1:8">
      <c r="A219" s="1" t="s">
        <v>11</v>
      </c>
      <c r="B219" s="1" t="s">
        <v>9</v>
      </c>
      <c r="C219" s="1" t="str">
        <f t="shared" si="4"/>
        <v>020069</v>
      </c>
      <c r="D219" s="1" t="str">
        <f>"112100808"</f>
        <v>112100808</v>
      </c>
      <c r="E219" s="1">
        <v>74.5</v>
      </c>
      <c r="F219" s="1">
        <v>66</v>
      </c>
      <c r="H219" s="1">
        <v>71.1</v>
      </c>
    </row>
    <row r="220" s="1" customFormat="1" spans="1:8">
      <c r="A220" s="1" t="s">
        <v>11</v>
      </c>
      <c r="B220" s="1" t="s">
        <v>9</v>
      </c>
      <c r="C220" s="1" t="str">
        <f t="shared" si="4"/>
        <v>020069</v>
      </c>
      <c r="D220" s="1" t="str">
        <f>"112100809"</f>
        <v>112100809</v>
      </c>
      <c r="E220" s="1">
        <v>12.5</v>
      </c>
      <c r="F220" s="1">
        <v>50</v>
      </c>
      <c r="H220" s="1">
        <v>27.5</v>
      </c>
    </row>
    <row r="221" s="1" customFormat="1" spans="1:8">
      <c r="A221" s="1" t="s">
        <v>11</v>
      </c>
      <c r="B221" s="1" t="s">
        <v>9</v>
      </c>
      <c r="C221" s="1" t="str">
        <f t="shared" si="4"/>
        <v>020069</v>
      </c>
      <c r="D221" s="1" t="str">
        <f>"112100810"</f>
        <v>112100810</v>
      </c>
      <c r="E221" s="1">
        <v>43</v>
      </c>
      <c r="F221" s="1">
        <v>73.5</v>
      </c>
      <c r="H221" s="1">
        <v>55.2</v>
      </c>
    </row>
    <row r="222" s="1" customFormat="1" spans="1:8">
      <c r="A222" s="1" t="s">
        <v>11</v>
      </c>
      <c r="B222" s="1" t="s">
        <v>9</v>
      </c>
      <c r="C222" s="1" t="str">
        <f t="shared" si="4"/>
        <v>020069</v>
      </c>
      <c r="D222" s="1" t="str">
        <f>"112100811"</f>
        <v>112100811</v>
      </c>
      <c r="E222" s="1">
        <v>0</v>
      </c>
      <c r="F222" s="1">
        <v>0</v>
      </c>
      <c r="H222" s="1">
        <v>0</v>
      </c>
    </row>
    <row r="223" s="1" customFormat="1" spans="1:8">
      <c r="A223" s="1" t="s">
        <v>11</v>
      </c>
      <c r="B223" s="1" t="s">
        <v>9</v>
      </c>
      <c r="C223" s="1" t="str">
        <f t="shared" si="4"/>
        <v>020069</v>
      </c>
      <c r="D223" s="1" t="str">
        <f>"112100812"</f>
        <v>112100812</v>
      </c>
      <c r="E223" s="1">
        <v>19</v>
      </c>
      <c r="F223" s="1">
        <v>56</v>
      </c>
      <c r="H223" s="1">
        <v>33.8</v>
      </c>
    </row>
    <row r="224" s="1" customFormat="1" spans="1:8">
      <c r="A224" s="1" t="s">
        <v>11</v>
      </c>
      <c r="B224" s="1" t="s">
        <v>9</v>
      </c>
      <c r="C224" s="1" t="str">
        <f t="shared" si="4"/>
        <v>020069</v>
      </c>
      <c r="D224" s="1" t="str">
        <f>"112100813"</f>
        <v>112100813</v>
      </c>
      <c r="E224" s="1">
        <v>0</v>
      </c>
      <c r="F224" s="1">
        <v>0</v>
      </c>
      <c r="H224" s="1">
        <v>0</v>
      </c>
    </row>
    <row r="225" s="1" customFormat="1" spans="1:8">
      <c r="A225" s="1" t="s">
        <v>11</v>
      </c>
      <c r="B225" s="1" t="s">
        <v>9</v>
      </c>
      <c r="C225" s="1" t="str">
        <f t="shared" si="4"/>
        <v>020069</v>
      </c>
      <c r="D225" s="1" t="str">
        <f>"112100814"</f>
        <v>112100814</v>
      </c>
      <c r="E225" s="1">
        <v>49.5</v>
      </c>
      <c r="F225" s="1">
        <v>57.5</v>
      </c>
      <c r="H225" s="1">
        <v>52.7</v>
      </c>
    </row>
    <row r="226" s="1" customFormat="1" spans="1:8">
      <c r="A226" s="1" t="s">
        <v>12</v>
      </c>
      <c r="B226" s="1" t="s">
        <v>9</v>
      </c>
      <c r="C226" s="1" t="str">
        <f t="shared" ref="C226:C289" si="5">"020072"</f>
        <v>020072</v>
      </c>
      <c r="D226" s="1" t="str">
        <f>"112100815"</f>
        <v>112100815</v>
      </c>
      <c r="E226" s="1">
        <v>0</v>
      </c>
      <c r="F226" s="1">
        <v>0</v>
      </c>
      <c r="H226" s="1">
        <v>0</v>
      </c>
    </row>
    <row r="227" s="1" customFormat="1" spans="1:8">
      <c r="A227" s="1" t="s">
        <v>12</v>
      </c>
      <c r="B227" s="1" t="s">
        <v>9</v>
      </c>
      <c r="C227" s="1" t="str">
        <f t="shared" si="5"/>
        <v>020072</v>
      </c>
      <c r="D227" s="1" t="str">
        <f>"112100816"</f>
        <v>112100816</v>
      </c>
      <c r="E227" s="1">
        <v>0</v>
      </c>
      <c r="F227" s="1">
        <v>0</v>
      </c>
      <c r="H227" s="1">
        <v>0</v>
      </c>
    </row>
    <row r="228" s="1" customFormat="1" spans="1:8">
      <c r="A228" s="1" t="s">
        <v>12</v>
      </c>
      <c r="B228" s="1" t="s">
        <v>9</v>
      </c>
      <c r="C228" s="1" t="str">
        <f t="shared" si="5"/>
        <v>020072</v>
      </c>
      <c r="D228" s="1" t="str">
        <f>"112100817"</f>
        <v>112100817</v>
      </c>
      <c r="E228" s="1">
        <v>56.5</v>
      </c>
      <c r="F228" s="1">
        <v>66.5</v>
      </c>
      <c r="H228" s="1">
        <v>60.5</v>
      </c>
    </row>
    <row r="229" s="1" customFormat="1" spans="1:8">
      <c r="A229" s="1" t="s">
        <v>12</v>
      </c>
      <c r="B229" s="1" t="s">
        <v>9</v>
      </c>
      <c r="C229" s="1" t="str">
        <f t="shared" si="5"/>
        <v>020072</v>
      </c>
      <c r="D229" s="1" t="str">
        <f>"112100818"</f>
        <v>112100818</v>
      </c>
      <c r="E229" s="1">
        <v>44</v>
      </c>
      <c r="F229" s="1">
        <v>58.5</v>
      </c>
      <c r="H229" s="1">
        <v>49.8</v>
      </c>
    </row>
    <row r="230" s="1" customFormat="1" spans="1:8">
      <c r="A230" s="1" t="s">
        <v>12</v>
      </c>
      <c r="B230" s="1" t="s">
        <v>9</v>
      </c>
      <c r="C230" s="1" t="str">
        <f t="shared" si="5"/>
        <v>020072</v>
      </c>
      <c r="D230" s="1" t="str">
        <f>"112100819"</f>
        <v>112100819</v>
      </c>
      <c r="E230" s="1">
        <v>41</v>
      </c>
      <c r="F230" s="1">
        <v>56</v>
      </c>
      <c r="H230" s="1">
        <v>47</v>
      </c>
    </row>
    <row r="231" s="1" customFormat="1" spans="1:8">
      <c r="A231" s="1" t="s">
        <v>12</v>
      </c>
      <c r="B231" s="1" t="s">
        <v>9</v>
      </c>
      <c r="C231" s="1" t="str">
        <f t="shared" si="5"/>
        <v>020072</v>
      </c>
      <c r="D231" s="1" t="str">
        <f>"112100820"</f>
        <v>112100820</v>
      </c>
      <c r="E231" s="1">
        <v>40.5</v>
      </c>
      <c r="F231" s="1">
        <v>66</v>
      </c>
      <c r="H231" s="1">
        <v>50.7</v>
      </c>
    </row>
    <row r="232" s="1" customFormat="1" spans="1:8">
      <c r="A232" s="1" t="s">
        <v>12</v>
      </c>
      <c r="B232" s="1" t="s">
        <v>9</v>
      </c>
      <c r="C232" s="1" t="str">
        <f t="shared" si="5"/>
        <v>020072</v>
      </c>
      <c r="D232" s="1" t="str">
        <f>"112100821"</f>
        <v>112100821</v>
      </c>
      <c r="E232" s="1">
        <v>55.5</v>
      </c>
      <c r="F232" s="1">
        <v>66</v>
      </c>
      <c r="H232" s="1">
        <v>59.7</v>
      </c>
    </row>
    <row r="233" s="1" customFormat="1" spans="1:8">
      <c r="A233" s="1" t="s">
        <v>12</v>
      </c>
      <c r="B233" s="1" t="s">
        <v>9</v>
      </c>
      <c r="C233" s="1" t="str">
        <f t="shared" si="5"/>
        <v>020072</v>
      </c>
      <c r="D233" s="1" t="str">
        <f>"112100822"</f>
        <v>112100822</v>
      </c>
      <c r="E233" s="1">
        <v>56</v>
      </c>
      <c r="F233" s="1">
        <v>56.5</v>
      </c>
      <c r="H233" s="1">
        <v>56.2</v>
      </c>
    </row>
    <row r="234" s="1" customFormat="1" spans="1:8">
      <c r="A234" s="1" t="s">
        <v>12</v>
      </c>
      <c r="B234" s="1" t="s">
        <v>9</v>
      </c>
      <c r="C234" s="1" t="str">
        <f t="shared" si="5"/>
        <v>020072</v>
      </c>
      <c r="D234" s="1" t="str">
        <f>"112100823"</f>
        <v>112100823</v>
      </c>
      <c r="E234" s="1">
        <v>40</v>
      </c>
      <c r="F234" s="1">
        <v>57.5</v>
      </c>
      <c r="H234" s="1">
        <v>47</v>
      </c>
    </row>
    <row r="235" s="1" customFormat="1" spans="1:8">
      <c r="A235" s="1" t="s">
        <v>12</v>
      </c>
      <c r="B235" s="1" t="s">
        <v>9</v>
      </c>
      <c r="C235" s="1" t="str">
        <f t="shared" si="5"/>
        <v>020072</v>
      </c>
      <c r="D235" s="1" t="str">
        <f>"112100824"</f>
        <v>112100824</v>
      </c>
      <c r="E235" s="1">
        <v>37.5</v>
      </c>
      <c r="F235" s="1">
        <v>72</v>
      </c>
      <c r="H235" s="1">
        <v>51.3</v>
      </c>
    </row>
    <row r="236" s="1" customFormat="1" spans="1:8">
      <c r="A236" s="1" t="s">
        <v>12</v>
      </c>
      <c r="B236" s="1" t="s">
        <v>9</v>
      </c>
      <c r="C236" s="1" t="str">
        <f t="shared" si="5"/>
        <v>020072</v>
      </c>
      <c r="D236" s="1" t="str">
        <f>"112100825"</f>
        <v>112100825</v>
      </c>
      <c r="E236" s="1">
        <v>40.5</v>
      </c>
      <c r="F236" s="1">
        <v>61</v>
      </c>
      <c r="H236" s="1">
        <v>48.7</v>
      </c>
    </row>
    <row r="237" s="1" customFormat="1" spans="1:8">
      <c r="A237" s="1" t="s">
        <v>12</v>
      </c>
      <c r="B237" s="1" t="s">
        <v>9</v>
      </c>
      <c r="C237" s="1" t="str">
        <f t="shared" si="5"/>
        <v>020072</v>
      </c>
      <c r="D237" s="1" t="str">
        <f>"112100826"</f>
        <v>112100826</v>
      </c>
      <c r="E237" s="1">
        <v>36</v>
      </c>
      <c r="F237" s="1">
        <v>60.5</v>
      </c>
      <c r="H237" s="1">
        <v>45.8</v>
      </c>
    </row>
    <row r="238" s="1" customFormat="1" spans="1:8">
      <c r="A238" s="1" t="s">
        <v>12</v>
      </c>
      <c r="B238" s="1" t="s">
        <v>9</v>
      </c>
      <c r="C238" s="1" t="str">
        <f t="shared" si="5"/>
        <v>020072</v>
      </c>
      <c r="D238" s="1" t="str">
        <f>"112100827"</f>
        <v>112100827</v>
      </c>
      <c r="E238" s="1">
        <v>59</v>
      </c>
      <c r="F238" s="1">
        <v>86.5</v>
      </c>
      <c r="H238" s="1">
        <v>70</v>
      </c>
    </row>
    <row r="239" s="1" customFormat="1" spans="1:8">
      <c r="A239" s="1" t="s">
        <v>12</v>
      </c>
      <c r="B239" s="1" t="s">
        <v>9</v>
      </c>
      <c r="C239" s="1" t="str">
        <f t="shared" si="5"/>
        <v>020072</v>
      </c>
      <c r="D239" s="1" t="str">
        <f>"112100828"</f>
        <v>112100828</v>
      </c>
      <c r="E239" s="1">
        <v>99</v>
      </c>
      <c r="F239" s="1">
        <v>90.5</v>
      </c>
      <c r="H239" s="1">
        <v>95.6</v>
      </c>
    </row>
    <row r="240" s="1" customFormat="1" spans="1:8">
      <c r="A240" s="1" t="s">
        <v>12</v>
      </c>
      <c r="B240" s="1" t="s">
        <v>9</v>
      </c>
      <c r="C240" s="1" t="str">
        <f t="shared" si="5"/>
        <v>020072</v>
      </c>
      <c r="D240" s="1" t="str">
        <f>"112100829"</f>
        <v>112100829</v>
      </c>
      <c r="E240" s="1">
        <v>0</v>
      </c>
      <c r="F240" s="1">
        <v>0</v>
      </c>
      <c r="H240" s="1">
        <v>0</v>
      </c>
    </row>
    <row r="241" s="1" customFormat="1" spans="1:8">
      <c r="A241" s="1" t="s">
        <v>12</v>
      </c>
      <c r="B241" s="1" t="s">
        <v>9</v>
      </c>
      <c r="C241" s="1" t="str">
        <f t="shared" si="5"/>
        <v>020072</v>
      </c>
      <c r="D241" s="1" t="str">
        <f>"112100830"</f>
        <v>112100830</v>
      </c>
      <c r="E241" s="1">
        <v>0</v>
      </c>
      <c r="F241" s="1">
        <v>0</v>
      </c>
      <c r="H241" s="1">
        <v>0</v>
      </c>
    </row>
    <row r="242" s="1" customFormat="1" spans="1:8">
      <c r="A242" s="1" t="s">
        <v>12</v>
      </c>
      <c r="B242" s="1" t="s">
        <v>9</v>
      </c>
      <c r="C242" s="1" t="str">
        <f t="shared" si="5"/>
        <v>020072</v>
      </c>
      <c r="D242" s="1" t="str">
        <f>"112100901"</f>
        <v>112100901</v>
      </c>
      <c r="E242" s="1">
        <v>50.5</v>
      </c>
      <c r="F242" s="1">
        <v>77</v>
      </c>
      <c r="H242" s="1">
        <v>61.1</v>
      </c>
    </row>
    <row r="243" s="1" customFormat="1" spans="1:8">
      <c r="A243" s="1" t="s">
        <v>12</v>
      </c>
      <c r="B243" s="1" t="s">
        <v>9</v>
      </c>
      <c r="C243" s="1" t="str">
        <f t="shared" si="5"/>
        <v>020072</v>
      </c>
      <c r="D243" s="1" t="str">
        <f>"112100902"</f>
        <v>112100902</v>
      </c>
      <c r="E243" s="1">
        <v>26</v>
      </c>
      <c r="F243" s="1">
        <v>62.5</v>
      </c>
      <c r="H243" s="1">
        <v>40.6</v>
      </c>
    </row>
    <row r="244" s="1" customFormat="1" spans="1:8">
      <c r="A244" s="1" t="s">
        <v>12</v>
      </c>
      <c r="B244" s="1" t="s">
        <v>9</v>
      </c>
      <c r="C244" s="1" t="str">
        <f t="shared" si="5"/>
        <v>020072</v>
      </c>
      <c r="D244" s="1" t="str">
        <f>"112100903"</f>
        <v>112100903</v>
      </c>
      <c r="E244" s="1">
        <v>53.5</v>
      </c>
      <c r="F244" s="1">
        <v>87.5</v>
      </c>
      <c r="H244" s="1">
        <v>67.1</v>
      </c>
    </row>
    <row r="245" s="1" customFormat="1" spans="1:8">
      <c r="A245" s="1" t="s">
        <v>12</v>
      </c>
      <c r="B245" s="1" t="s">
        <v>9</v>
      </c>
      <c r="C245" s="1" t="str">
        <f t="shared" si="5"/>
        <v>020072</v>
      </c>
      <c r="D245" s="1" t="str">
        <f>"112100904"</f>
        <v>112100904</v>
      </c>
      <c r="E245" s="1">
        <v>0</v>
      </c>
      <c r="F245" s="1">
        <v>0</v>
      </c>
      <c r="H245" s="1">
        <v>0</v>
      </c>
    </row>
    <row r="246" s="1" customFormat="1" spans="1:8">
      <c r="A246" s="1" t="s">
        <v>12</v>
      </c>
      <c r="B246" s="1" t="s">
        <v>9</v>
      </c>
      <c r="C246" s="1" t="str">
        <f t="shared" si="5"/>
        <v>020072</v>
      </c>
      <c r="D246" s="1" t="str">
        <f>"112100905"</f>
        <v>112100905</v>
      </c>
      <c r="E246" s="1">
        <v>50</v>
      </c>
      <c r="F246" s="1">
        <v>74</v>
      </c>
      <c r="H246" s="1">
        <v>59.6</v>
      </c>
    </row>
    <row r="247" s="1" customFormat="1" spans="1:8">
      <c r="A247" s="1" t="s">
        <v>12</v>
      </c>
      <c r="B247" s="1" t="s">
        <v>9</v>
      </c>
      <c r="C247" s="1" t="str">
        <f t="shared" si="5"/>
        <v>020072</v>
      </c>
      <c r="D247" s="1" t="str">
        <f>"112100906"</f>
        <v>112100906</v>
      </c>
      <c r="E247" s="1">
        <v>75.5</v>
      </c>
      <c r="F247" s="1">
        <v>77.5</v>
      </c>
      <c r="H247" s="1">
        <v>76.3</v>
      </c>
    </row>
    <row r="248" s="1" customFormat="1" spans="1:8">
      <c r="A248" s="1" t="s">
        <v>12</v>
      </c>
      <c r="B248" s="1" t="s">
        <v>9</v>
      </c>
      <c r="C248" s="1" t="str">
        <f t="shared" si="5"/>
        <v>020072</v>
      </c>
      <c r="D248" s="1" t="str">
        <f>"112100907"</f>
        <v>112100907</v>
      </c>
      <c r="E248" s="1">
        <v>58</v>
      </c>
      <c r="F248" s="1">
        <v>71.5</v>
      </c>
      <c r="G248" s="1">
        <v>2</v>
      </c>
      <c r="H248" s="1">
        <v>65.4</v>
      </c>
    </row>
    <row r="249" s="1" customFormat="1" spans="1:8">
      <c r="A249" s="1" t="s">
        <v>12</v>
      </c>
      <c r="B249" s="1" t="s">
        <v>9</v>
      </c>
      <c r="C249" s="1" t="str">
        <f t="shared" si="5"/>
        <v>020072</v>
      </c>
      <c r="D249" s="1" t="str">
        <f>"112100908"</f>
        <v>112100908</v>
      </c>
      <c r="E249" s="1">
        <v>0</v>
      </c>
      <c r="F249" s="1">
        <v>0</v>
      </c>
      <c r="H249" s="1">
        <v>0</v>
      </c>
    </row>
    <row r="250" s="1" customFormat="1" spans="1:8">
      <c r="A250" s="1" t="s">
        <v>12</v>
      </c>
      <c r="B250" s="1" t="s">
        <v>9</v>
      </c>
      <c r="C250" s="1" t="str">
        <f t="shared" si="5"/>
        <v>020072</v>
      </c>
      <c r="D250" s="1" t="str">
        <f>"112100909"</f>
        <v>112100909</v>
      </c>
      <c r="E250" s="1">
        <v>43.5</v>
      </c>
      <c r="F250" s="1">
        <v>53.5</v>
      </c>
      <c r="H250" s="1">
        <v>47.5</v>
      </c>
    </row>
    <row r="251" s="1" customFormat="1" spans="1:8">
      <c r="A251" s="1" t="s">
        <v>12</v>
      </c>
      <c r="B251" s="1" t="s">
        <v>9</v>
      </c>
      <c r="C251" s="1" t="str">
        <f t="shared" si="5"/>
        <v>020072</v>
      </c>
      <c r="D251" s="1" t="str">
        <f>"112100910"</f>
        <v>112100910</v>
      </c>
      <c r="E251" s="1">
        <v>93</v>
      </c>
      <c r="F251" s="1">
        <v>83</v>
      </c>
      <c r="H251" s="1">
        <v>89</v>
      </c>
    </row>
    <row r="252" s="1" customFormat="1" spans="1:8">
      <c r="A252" s="1" t="s">
        <v>12</v>
      </c>
      <c r="B252" s="1" t="s">
        <v>9</v>
      </c>
      <c r="C252" s="1" t="str">
        <f t="shared" si="5"/>
        <v>020072</v>
      </c>
      <c r="D252" s="1" t="str">
        <f>"112100911"</f>
        <v>112100911</v>
      </c>
      <c r="E252" s="1">
        <v>31.5</v>
      </c>
      <c r="F252" s="1">
        <v>56</v>
      </c>
      <c r="H252" s="1">
        <v>41.3</v>
      </c>
    </row>
    <row r="253" s="1" customFormat="1" spans="1:8">
      <c r="A253" s="1" t="s">
        <v>12</v>
      </c>
      <c r="B253" s="1" t="s">
        <v>9</v>
      </c>
      <c r="C253" s="1" t="str">
        <f t="shared" si="5"/>
        <v>020072</v>
      </c>
      <c r="D253" s="1" t="str">
        <f>"112100912"</f>
        <v>112100912</v>
      </c>
      <c r="E253" s="1">
        <v>92</v>
      </c>
      <c r="F253" s="1">
        <v>88.5</v>
      </c>
      <c r="H253" s="1">
        <v>90.6</v>
      </c>
    </row>
    <row r="254" s="1" customFormat="1" spans="1:8">
      <c r="A254" s="1" t="s">
        <v>12</v>
      </c>
      <c r="B254" s="1" t="s">
        <v>9</v>
      </c>
      <c r="C254" s="1" t="str">
        <f t="shared" si="5"/>
        <v>020072</v>
      </c>
      <c r="D254" s="1" t="str">
        <f>"112100913"</f>
        <v>112100913</v>
      </c>
      <c r="E254" s="1">
        <v>48.5</v>
      </c>
      <c r="F254" s="1">
        <v>70</v>
      </c>
      <c r="H254" s="1">
        <v>57.1</v>
      </c>
    </row>
    <row r="255" s="1" customFormat="1" spans="1:8">
      <c r="A255" s="1" t="s">
        <v>12</v>
      </c>
      <c r="B255" s="1" t="s">
        <v>9</v>
      </c>
      <c r="C255" s="1" t="str">
        <f t="shared" si="5"/>
        <v>020072</v>
      </c>
      <c r="D255" s="1" t="str">
        <f>"112100914"</f>
        <v>112100914</v>
      </c>
      <c r="E255" s="1">
        <v>0</v>
      </c>
      <c r="F255" s="1">
        <v>0</v>
      </c>
      <c r="H255" s="1">
        <v>0</v>
      </c>
    </row>
    <row r="256" s="1" customFormat="1" spans="1:8">
      <c r="A256" s="1" t="s">
        <v>12</v>
      </c>
      <c r="B256" s="1" t="s">
        <v>9</v>
      </c>
      <c r="C256" s="1" t="str">
        <f t="shared" si="5"/>
        <v>020072</v>
      </c>
      <c r="D256" s="1" t="str">
        <f>"112100915"</f>
        <v>112100915</v>
      </c>
      <c r="E256" s="1">
        <v>46</v>
      </c>
      <c r="F256" s="1">
        <v>61</v>
      </c>
      <c r="H256" s="1">
        <v>52</v>
      </c>
    </row>
    <row r="257" s="1" customFormat="1" spans="1:8">
      <c r="A257" s="1" t="s">
        <v>12</v>
      </c>
      <c r="B257" s="1" t="s">
        <v>9</v>
      </c>
      <c r="C257" s="1" t="str">
        <f t="shared" si="5"/>
        <v>020072</v>
      </c>
      <c r="D257" s="1" t="str">
        <f>"112100916"</f>
        <v>112100916</v>
      </c>
      <c r="E257" s="1">
        <v>51.5</v>
      </c>
      <c r="F257" s="1">
        <v>66.5</v>
      </c>
      <c r="H257" s="1">
        <v>57.5</v>
      </c>
    </row>
    <row r="258" s="1" customFormat="1" spans="1:8">
      <c r="A258" s="1" t="s">
        <v>12</v>
      </c>
      <c r="B258" s="1" t="s">
        <v>9</v>
      </c>
      <c r="C258" s="1" t="str">
        <f t="shared" si="5"/>
        <v>020072</v>
      </c>
      <c r="D258" s="1" t="str">
        <f>"112100917"</f>
        <v>112100917</v>
      </c>
      <c r="E258" s="1">
        <v>0</v>
      </c>
      <c r="F258" s="1">
        <v>0</v>
      </c>
      <c r="H258" s="1">
        <v>0</v>
      </c>
    </row>
    <row r="259" s="1" customFormat="1" spans="1:8">
      <c r="A259" s="1" t="s">
        <v>12</v>
      </c>
      <c r="B259" s="1" t="s">
        <v>9</v>
      </c>
      <c r="C259" s="1" t="str">
        <f t="shared" si="5"/>
        <v>020072</v>
      </c>
      <c r="D259" s="1" t="str">
        <f>"112100918"</f>
        <v>112100918</v>
      </c>
      <c r="E259" s="1">
        <v>0</v>
      </c>
      <c r="F259" s="1">
        <v>0</v>
      </c>
      <c r="H259" s="1">
        <v>0</v>
      </c>
    </row>
    <row r="260" s="1" customFormat="1" spans="1:8">
      <c r="A260" s="1" t="s">
        <v>12</v>
      </c>
      <c r="B260" s="1" t="s">
        <v>9</v>
      </c>
      <c r="C260" s="1" t="str">
        <f t="shared" si="5"/>
        <v>020072</v>
      </c>
      <c r="D260" s="1" t="str">
        <f>"112100919"</f>
        <v>112100919</v>
      </c>
      <c r="E260" s="1">
        <v>90</v>
      </c>
      <c r="F260" s="1">
        <v>93.5</v>
      </c>
      <c r="H260" s="1">
        <v>91.4</v>
      </c>
    </row>
    <row r="261" s="1" customFormat="1" spans="1:8">
      <c r="A261" s="1" t="s">
        <v>12</v>
      </c>
      <c r="B261" s="1" t="s">
        <v>9</v>
      </c>
      <c r="C261" s="1" t="str">
        <f t="shared" si="5"/>
        <v>020072</v>
      </c>
      <c r="D261" s="1" t="str">
        <f>"112100920"</f>
        <v>112100920</v>
      </c>
      <c r="E261" s="1">
        <v>58</v>
      </c>
      <c r="F261" s="1">
        <v>76.5</v>
      </c>
      <c r="H261" s="1">
        <v>65.4</v>
      </c>
    </row>
    <row r="262" s="1" customFormat="1" spans="1:8">
      <c r="A262" s="1" t="s">
        <v>12</v>
      </c>
      <c r="B262" s="1" t="s">
        <v>9</v>
      </c>
      <c r="C262" s="1" t="str">
        <f t="shared" si="5"/>
        <v>020072</v>
      </c>
      <c r="D262" s="1" t="str">
        <f>"112100921"</f>
        <v>112100921</v>
      </c>
      <c r="E262" s="1">
        <v>14</v>
      </c>
      <c r="F262" s="1">
        <v>61</v>
      </c>
      <c r="H262" s="1">
        <v>32.8</v>
      </c>
    </row>
    <row r="263" s="1" customFormat="1" spans="1:8">
      <c r="A263" s="1" t="s">
        <v>12</v>
      </c>
      <c r="B263" s="1" t="s">
        <v>9</v>
      </c>
      <c r="C263" s="1" t="str">
        <f t="shared" si="5"/>
        <v>020072</v>
      </c>
      <c r="D263" s="1" t="str">
        <f>"112100922"</f>
        <v>112100922</v>
      </c>
      <c r="E263" s="1">
        <v>59.5</v>
      </c>
      <c r="F263" s="1">
        <v>68.5</v>
      </c>
      <c r="H263" s="1">
        <v>63.1</v>
      </c>
    </row>
    <row r="264" s="1" customFormat="1" spans="1:8">
      <c r="A264" s="1" t="s">
        <v>12</v>
      </c>
      <c r="B264" s="1" t="s">
        <v>9</v>
      </c>
      <c r="C264" s="1" t="str">
        <f t="shared" si="5"/>
        <v>020072</v>
      </c>
      <c r="D264" s="1" t="str">
        <f>"112100923"</f>
        <v>112100923</v>
      </c>
      <c r="E264" s="1">
        <v>80.5</v>
      </c>
      <c r="F264" s="1">
        <v>54.5</v>
      </c>
      <c r="H264" s="1">
        <v>70.1</v>
      </c>
    </row>
    <row r="265" s="1" customFormat="1" spans="1:8">
      <c r="A265" s="1" t="s">
        <v>12</v>
      </c>
      <c r="B265" s="1" t="s">
        <v>9</v>
      </c>
      <c r="C265" s="1" t="str">
        <f t="shared" si="5"/>
        <v>020072</v>
      </c>
      <c r="D265" s="1" t="str">
        <f>"112100924"</f>
        <v>112100924</v>
      </c>
      <c r="E265" s="1">
        <v>82</v>
      </c>
      <c r="F265" s="1">
        <v>87</v>
      </c>
      <c r="H265" s="1">
        <v>84</v>
      </c>
    </row>
    <row r="266" s="1" customFormat="1" spans="1:8">
      <c r="A266" s="1" t="s">
        <v>12</v>
      </c>
      <c r="B266" s="1" t="s">
        <v>9</v>
      </c>
      <c r="C266" s="1" t="str">
        <f t="shared" si="5"/>
        <v>020072</v>
      </c>
      <c r="D266" s="1" t="str">
        <f>"112100925"</f>
        <v>112100925</v>
      </c>
      <c r="E266" s="1">
        <v>63</v>
      </c>
      <c r="F266" s="1">
        <v>73.5</v>
      </c>
      <c r="H266" s="1">
        <v>67.2</v>
      </c>
    </row>
    <row r="267" s="1" customFormat="1" spans="1:8">
      <c r="A267" s="1" t="s">
        <v>12</v>
      </c>
      <c r="B267" s="1" t="s">
        <v>9</v>
      </c>
      <c r="C267" s="1" t="str">
        <f t="shared" si="5"/>
        <v>020072</v>
      </c>
      <c r="D267" s="1" t="str">
        <f>"112100926"</f>
        <v>112100926</v>
      </c>
      <c r="E267" s="1">
        <v>57</v>
      </c>
      <c r="F267" s="1">
        <v>88</v>
      </c>
      <c r="H267" s="1">
        <v>69.4</v>
      </c>
    </row>
    <row r="268" s="1" customFormat="1" spans="1:8">
      <c r="A268" s="1" t="s">
        <v>12</v>
      </c>
      <c r="B268" s="1" t="s">
        <v>9</v>
      </c>
      <c r="C268" s="1" t="str">
        <f t="shared" si="5"/>
        <v>020072</v>
      </c>
      <c r="D268" s="1" t="str">
        <f>"112100927"</f>
        <v>112100927</v>
      </c>
      <c r="E268" s="1">
        <v>83</v>
      </c>
      <c r="F268" s="1">
        <v>86.5</v>
      </c>
      <c r="H268" s="1">
        <v>84.4</v>
      </c>
    </row>
    <row r="269" s="1" customFormat="1" spans="1:8">
      <c r="A269" s="1" t="s">
        <v>12</v>
      </c>
      <c r="B269" s="1" t="s">
        <v>9</v>
      </c>
      <c r="C269" s="1" t="str">
        <f t="shared" si="5"/>
        <v>020072</v>
      </c>
      <c r="D269" s="1" t="str">
        <f>"112100928"</f>
        <v>112100928</v>
      </c>
      <c r="E269" s="1">
        <v>75.5</v>
      </c>
      <c r="F269" s="1">
        <v>86.5</v>
      </c>
      <c r="H269" s="1">
        <v>79.9</v>
      </c>
    </row>
    <row r="270" s="1" customFormat="1" spans="1:8">
      <c r="A270" s="1" t="s">
        <v>12</v>
      </c>
      <c r="B270" s="1" t="s">
        <v>9</v>
      </c>
      <c r="C270" s="1" t="str">
        <f t="shared" si="5"/>
        <v>020072</v>
      </c>
      <c r="D270" s="1" t="str">
        <f>"112100929"</f>
        <v>112100929</v>
      </c>
      <c r="E270" s="1">
        <v>51</v>
      </c>
      <c r="F270" s="1">
        <v>60</v>
      </c>
      <c r="H270" s="1">
        <v>54.6</v>
      </c>
    </row>
    <row r="271" s="1" customFormat="1" spans="1:8">
      <c r="A271" s="1" t="s">
        <v>12</v>
      </c>
      <c r="B271" s="1" t="s">
        <v>9</v>
      </c>
      <c r="C271" s="1" t="str">
        <f t="shared" si="5"/>
        <v>020072</v>
      </c>
      <c r="D271" s="1" t="str">
        <f>"112100930"</f>
        <v>112100930</v>
      </c>
      <c r="E271" s="1">
        <v>37</v>
      </c>
      <c r="F271" s="1">
        <v>69</v>
      </c>
      <c r="H271" s="1">
        <v>49.8</v>
      </c>
    </row>
    <row r="272" s="1" customFormat="1" spans="1:8">
      <c r="A272" s="1" t="s">
        <v>12</v>
      </c>
      <c r="B272" s="1" t="s">
        <v>9</v>
      </c>
      <c r="C272" s="1" t="str">
        <f t="shared" si="5"/>
        <v>020072</v>
      </c>
      <c r="D272" s="1" t="str">
        <f>"112101001"</f>
        <v>112101001</v>
      </c>
      <c r="E272" s="1">
        <v>0</v>
      </c>
      <c r="F272" s="1">
        <v>0</v>
      </c>
      <c r="H272" s="1">
        <v>0</v>
      </c>
    </row>
    <row r="273" s="1" customFormat="1" spans="1:8">
      <c r="A273" s="1" t="s">
        <v>12</v>
      </c>
      <c r="B273" s="1" t="s">
        <v>9</v>
      </c>
      <c r="C273" s="1" t="str">
        <f t="shared" si="5"/>
        <v>020072</v>
      </c>
      <c r="D273" s="1" t="str">
        <f>"112101002"</f>
        <v>112101002</v>
      </c>
      <c r="E273" s="1">
        <v>44</v>
      </c>
      <c r="F273" s="1">
        <v>67</v>
      </c>
      <c r="H273" s="1">
        <v>53.2</v>
      </c>
    </row>
    <row r="274" s="1" customFormat="1" spans="1:8">
      <c r="A274" s="1" t="s">
        <v>12</v>
      </c>
      <c r="B274" s="1" t="s">
        <v>9</v>
      </c>
      <c r="C274" s="1" t="str">
        <f t="shared" si="5"/>
        <v>020072</v>
      </c>
      <c r="D274" s="1" t="str">
        <f>"112101003"</f>
        <v>112101003</v>
      </c>
      <c r="E274" s="1">
        <v>0</v>
      </c>
      <c r="F274" s="1">
        <v>0</v>
      </c>
      <c r="H274" s="1">
        <v>0</v>
      </c>
    </row>
    <row r="275" s="1" customFormat="1" spans="1:8">
      <c r="A275" s="1" t="s">
        <v>12</v>
      </c>
      <c r="B275" s="1" t="s">
        <v>9</v>
      </c>
      <c r="C275" s="1" t="str">
        <f t="shared" si="5"/>
        <v>020072</v>
      </c>
      <c r="D275" s="1" t="str">
        <f>"112101004"</f>
        <v>112101004</v>
      </c>
      <c r="E275" s="1">
        <v>67.5</v>
      </c>
      <c r="F275" s="1">
        <v>75</v>
      </c>
      <c r="H275" s="1">
        <v>70.5</v>
      </c>
    </row>
    <row r="276" s="1" customFormat="1" spans="1:8">
      <c r="A276" s="1" t="s">
        <v>12</v>
      </c>
      <c r="B276" s="1" t="s">
        <v>9</v>
      </c>
      <c r="C276" s="1" t="str">
        <f t="shared" si="5"/>
        <v>020072</v>
      </c>
      <c r="D276" s="1" t="str">
        <f>"112101005"</f>
        <v>112101005</v>
      </c>
      <c r="E276" s="1">
        <v>0</v>
      </c>
      <c r="F276" s="1">
        <v>0</v>
      </c>
      <c r="H276" s="1">
        <v>0</v>
      </c>
    </row>
    <row r="277" s="1" customFormat="1" spans="1:8">
      <c r="A277" s="1" t="s">
        <v>12</v>
      </c>
      <c r="B277" s="1" t="s">
        <v>9</v>
      </c>
      <c r="C277" s="1" t="str">
        <f t="shared" si="5"/>
        <v>020072</v>
      </c>
      <c r="D277" s="1" t="str">
        <f>"112101006"</f>
        <v>112101006</v>
      </c>
      <c r="E277" s="1">
        <v>0</v>
      </c>
      <c r="F277" s="1">
        <v>0</v>
      </c>
      <c r="H277" s="1">
        <v>0</v>
      </c>
    </row>
    <row r="278" s="1" customFormat="1" spans="1:8">
      <c r="A278" s="1" t="s">
        <v>12</v>
      </c>
      <c r="B278" s="1" t="s">
        <v>9</v>
      </c>
      <c r="C278" s="1" t="str">
        <f t="shared" si="5"/>
        <v>020072</v>
      </c>
      <c r="D278" s="1" t="str">
        <f>"112101007"</f>
        <v>112101007</v>
      </c>
      <c r="E278" s="1">
        <v>71.5</v>
      </c>
      <c r="F278" s="1">
        <v>76</v>
      </c>
      <c r="H278" s="1">
        <v>73.3</v>
      </c>
    </row>
    <row r="279" s="1" customFormat="1" spans="1:8">
      <c r="A279" s="1" t="s">
        <v>12</v>
      </c>
      <c r="B279" s="1" t="s">
        <v>9</v>
      </c>
      <c r="C279" s="1" t="str">
        <f t="shared" si="5"/>
        <v>020072</v>
      </c>
      <c r="D279" s="1" t="str">
        <f>"112101008"</f>
        <v>112101008</v>
      </c>
      <c r="E279" s="1">
        <v>33.5</v>
      </c>
      <c r="F279" s="1">
        <v>67.5</v>
      </c>
      <c r="H279" s="1">
        <v>47.1</v>
      </c>
    </row>
    <row r="280" s="1" customFormat="1" spans="1:8">
      <c r="A280" s="1" t="s">
        <v>12</v>
      </c>
      <c r="B280" s="1" t="s">
        <v>9</v>
      </c>
      <c r="C280" s="1" t="str">
        <f t="shared" si="5"/>
        <v>020072</v>
      </c>
      <c r="D280" s="1" t="str">
        <f>"112101009"</f>
        <v>112101009</v>
      </c>
      <c r="E280" s="1">
        <v>72</v>
      </c>
      <c r="F280" s="1">
        <v>81.5</v>
      </c>
      <c r="H280" s="1">
        <v>75.8</v>
      </c>
    </row>
    <row r="281" s="1" customFormat="1" spans="1:8">
      <c r="A281" s="1" t="s">
        <v>12</v>
      </c>
      <c r="B281" s="1" t="s">
        <v>9</v>
      </c>
      <c r="C281" s="1" t="str">
        <f t="shared" si="5"/>
        <v>020072</v>
      </c>
      <c r="D281" s="1" t="str">
        <f>"112101010"</f>
        <v>112101010</v>
      </c>
      <c r="E281" s="1">
        <v>54.5</v>
      </c>
      <c r="F281" s="1">
        <v>76</v>
      </c>
      <c r="H281" s="1">
        <v>63.1</v>
      </c>
    </row>
    <row r="282" s="1" customFormat="1" spans="1:8">
      <c r="A282" s="1" t="s">
        <v>12</v>
      </c>
      <c r="B282" s="1" t="s">
        <v>9</v>
      </c>
      <c r="C282" s="1" t="str">
        <f t="shared" si="5"/>
        <v>020072</v>
      </c>
      <c r="D282" s="1" t="str">
        <f>"112101011"</f>
        <v>112101011</v>
      </c>
      <c r="E282" s="1">
        <v>54</v>
      </c>
      <c r="F282" s="1">
        <v>66.5</v>
      </c>
      <c r="H282" s="1">
        <v>59</v>
      </c>
    </row>
    <row r="283" s="1" customFormat="1" spans="1:8">
      <c r="A283" s="1" t="s">
        <v>12</v>
      </c>
      <c r="B283" s="1" t="s">
        <v>9</v>
      </c>
      <c r="C283" s="1" t="str">
        <f t="shared" si="5"/>
        <v>020072</v>
      </c>
      <c r="D283" s="1" t="str">
        <f>"112101012"</f>
        <v>112101012</v>
      </c>
      <c r="E283" s="1">
        <v>49.5</v>
      </c>
      <c r="F283" s="1">
        <v>51</v>
      </c>
      <c r="H283" s="1">
        <v>50.1</v>
      </c>
    </row>
    <row r="284" s="1" customFormat="1" spans="1:8">
      <c r="A284" s="1" t="s">
        <v>12</v>
      </c>
      <c r="B284" s="1" t="s">
        <v>9</v>
      </c>
      <c r="C284" s="1" t="str">
        <f t="shared" si="5"/>
        <v>020072</v>
      </c>
      <c r="D284" s="1" t="str">
        <f>"112101013"</f>
        <v>112101013</v>
      </c>
      <c r="E284" s="1">
        <v>47.5</v>
      </c>
      <c r="F284" s="1">
        <v>60</v>
      </c>
      <c r="H284" s="1">
        <v>52.5</v>
      </c>
    </row>
    <row r="285" s="1" customFormat="1" spans="1:8">
      <c r="A285" s="1" t="s">
        <v>12</v>
      </c>
      <c r="B285" s="1" t="s">
        <v>9</v>
      </c>
      <c r="C285" s="1" t="str">
        <f t="shared" si="5"/>
        <v>020072</v>
      </c>
      <c r="D285" s="1" t="str">
        <f>"112101014"</f>
        <v>112101014</v>
      </c>
      <c r="E285" s="1">
        <v>46</v>
      </c>
      <c r="F285" s="1">
        <v>71</v>
      </c>
      <c r="H285" s="1">
        <v>56</v>
      </c>
    </row>
    <row r="286" s="1" customFormat="1" spans="1:8">
      <c r="A286" s="1" t="s">
        <v>12</v>
      </c>
      <c r="B286" s="1" t="s">
        <v>9</v>
      </c>
      <c r="C286" s="1" t="str">
        <f t="shared" si="5"/>
        <v>020072</v>
      </c>
      <c r="D286" s="1" t="str">
        <f>"112101015"</f>
        <v>112101015</v>
      </c>
      <c r="E286" s="1">
        <v>25.5</v>
      </c>
      <c r="F286" s="1">
        <v>53.5</v>
      </c>
      <c r="H286" s="1">
        <v>36.7</v>
      </c>
    </row>
    <row r="287" s="1" customFormat="1" spans="1:8">
      <c r="A287" s="1" t="s">
        <v>12</v>
      </c>
      <c r="B287" s="1" t="s">
        <v>9</v>
      </c>
      <c r="C287" s="1" t="str">
        <f t="shared" si="5"/>
        <v>020072</v>
      </c>
      <c r="D287" s="1" t="str">
        <f>"112101016"</f>
        <v>112101016</v>
      </c>
      <c r="E287" s="1">
        <v>0</v>
      </c>
      <c r="F287" s="1">
        <v>0</v>
      </c>
      <c r="H287" s="1">
        <v>0</v>
      </c>
    </row>
    <row r="288" s="1" customFormat="1" spans="1:8">
      <c r="A288" s="1" t="s">
        <v>12</v>
      </c>
      <c r="B288" s="1" t="s">
        <v>9</v>
      </c>
      <c r="C288" s="1" t="str">
        <f t="shared" si="5"/>
        <v>020072</v>
      </c>
      <c r="D288" s="1" t="str">
        <f>"112101017"</f>
        <v>112101017</v>
      </c>
      <c r="E288" s="1">
        <v>100.5</v>
      </c>
      <c r="F288" s="1">
        <v>88.5</v>
      </c>
      <c r="H288" s="1">
        <v>95.7</v>
      </c>
    </row>
    <row r="289" s="1" customFormat="1" spans="1:8">
      <c r="A289" s="1" t="s">
        <v>12</v>
      </c>
      <c r="B289" s="1" t="s">
        <v>9</v>
      </c>
      <c r="C289" s="1" t="str">
        <f t="shared" si="5"/>
        <v>020072</v>
      </c>
      <c r="D289" s="1" t="str">
        <f>"112101018"</f>
        <v>112101018</v>
      </c>
      <c r="E289" s="1">
        <v>89</v>
      </c>
      <c r="F289" s="1">
        <v>92</v>
      </c>
      <c r="H289" s="1">
        <v>90.2</v>
      </c>
    </row>
    <row r="290" s="1" customFormat="1" spans="1:8">
      <c r="A290" s="1" t="s">
        <v>12</v>
      </c>
      <c r="B290" s="1" t="s">
        <v>9</v>
      </c>
      <c r="C290" s="1" t="str">
        <f t="shared" ref="C290:C353" si="6">"020072"</f>
        <v>020072</v>
      </c>
      <c r="D290" s="1" t="str">
        <f>"112101019"</f>
        <v>112101019</v>
      </c>
      <c r="E290" s="1">
        <v>35</v>
      </c>
      <c r="F290" s="1">
        <v>67.5</v>
      </c>
      <c r="H290" s="1">
        <v>48</v>
      </c>
    </row>
    <row r="291" s="1" customFormat="1" spans="1:8">
      <c r="A291" s="1" t="s">
        <v>12</v>
      </c>
      <c r="B291" s="1" t="s">
        <v>9</v>
      </c>
      <c r="C291" s="1" t="str">
        <f t="shared" si="6"/>
        <v>020072</v>
      </c>
      <c r="D291" s="1" t="str">
        <f>"112101020"</f>
        <v>112101020</v>
      </c>
      <c r="E291" s="1">
        <v>32.5</v>
      </c>
      <c r="F291" s="1">
        <v>78.5</v>
      </c>
      <c r="H291" s="1">
        <v>50.9</v>
      </c>
    </row>
    <row r="292" s="1" customFormat="1" spans="1:8">
      <c r="A292" s="1" t="s">
        <v>12</v>
      </c>
      <c r="B292" s="1" t="s">
        <v>9</v>
      </c>
      <c r="C292" s="1" t="str">
        <f t="shared" si="6"/>
        <v>020072</v>
      </c>
      <c r="D292" s="1" t="str">
        <f>"112101021"</f>
        <v>112101021</v>
      </c>
      <c r="E292" s="1">
        <v>32.5</v>
      </c>
      <c r="F292" s="1">
        <v>51.5</v>
      </c>
      <c r="H292" s="1">
        <v>40.1</v>
      </c>
    </row>
    <row r="293" s="1" customFormat="1" spans="1:8">
      <c r="A293" s="1" t="s">
        <v>12</v>
      </c>
      <c r="B293" s="1" t="s">
        <v>9</v>
      </c>
      <c r="C293" s="1" t="str">
        <f t="shared" si="6"/>
        <v>020072</v>
      </c>
      <c r="D293" s="1" t="str">
        <f>"112101022"</f>
        <v>112101022</v>
      </c>
      <c r="E293" s="1">
        <v>93</v>
      </c>
      <c r="F293" s="1">
        <v>86</v>
      </c>
      <c r="H293" s="1">
        <v>90.2</v>
      </c>
    </row>
    <row r="294" s="1" customFormat="1" spans="1:8">
      <c r="A294" s="1" t="s">
        <v>12</v>
      </c>
      <c r="B294" s="1" t="s">
        <v>9</v>
      </c>
      <c r="C294" s="1" t="str">
        <f t="shared" si="6"/>
        <v>020072</v>
      </c>
      <c r="D294" s="1" t="str">
        <f>"112101023"</f>
        <v>112101023</v>
      </c>
      <c r="E294" s="1">
        <v>49</v>
      </c>
      <c r="F294" s="1">
        <v>81</v>
      </c>
      <c r="H294" s="1">
        <v>61.8</v>
      </c>
    </row>
    <row r="295" s="1" customFormat="1" spans="1:8">
      <c r="A295" s="1" t="s">
        <v>12</v>
      </c>
      <c r="B295" s="1" t="s">
        <v>9</v>
      </c>
      <c r="C295" s="1" t="str">
        <f t="shared" si="6"/>
        <v>020072</v>
      </c>
      <c r="D295" s="1" t="str">
        <f>"112101024"</f>
        <v>112101024</v>
      </c>
      <c r="E295" s="1">
        <v>0</v>
      </c>
      <c r="F295" s="1">
        <v>0</v>
      </c>
      <c r="H295" s="1">
        <v>0</v>
      </c>
    </row>
    <row r="296" s="1" customFormat="1" spans="1:8">
      <c r="A296" s="1" t="s">
        <v>12</v>
      </c>
      <c r="B296" s="1" t="s">
        <v>9</v>
      </c>
      <c r="C296" s="1" t="str">
        <f t="shared" si="6"/>
        <v>020072</v>
      </c>
      <c r="D296" s="1" t="str">
        <f>"112101025"</f>
        <v>112101025</v>
      </c>
      <c r="E296" s="1">
        <v>0</v>
      </c>
      <c r="F296" s="1">
        <v>0</v>
      </c>
      <c r="H296" s="1">
        <v>0</v>
      </c>
    </row>
    <row r="297" s="1" customFormat="1" spans="1:8">
      <c r="A297" s="1" t="s">
        <v>12</v>
      </c>
      <c r="B297" s="1" t="s">
        <v>9</v>
      </c>
      <c r="C297" s="1" t="str">
        <f t="shared" si="6"/>
        <v>020072</v>
      </c>
      <c r="D297" s="1" t="str">
        <f>"112101026"</f>
        <v>112101026</v>
      </c>
      <c r="E297" s="1">
        <v>82</v>
      </c>
      <c r="F297" s="1">
        <v>86</v>
      </c>
      <c r="H297" s="1">
        <v>83.6</v>
      </c>
    </row>
    <row r="298" s="1" customFormat="1" spans="1:8">
      <c r="A298" s="1" t="s">
        <v>12</v>
      </c>
      <c r="B298" s="1" t="s">
        <v>9</v>
      </c>
      <c r="C298" s="1" t="str">
        <f t="shared" si="6"/>
        <v>020072</v>
      </c>
      <c r="D298" s="1" t="str">
        <f>"112101027"</f>
        <v>112101027</v>
      </c>
      <c r="E298" s="1">
        <v>0</v>
      </c>
      <c r="F298" s="1">
        <v>0</v>
      </c>
      <c r="H298" s="1">
        <v>0</v>
      </c>
    </row>
    <row r="299" s="1" customFormat="1" spans="1:8">
      <c r="A299" s="1" t="s">
        <v>12</v>
      </c>
      <c r="B299" s="1" t="s">
        <v>9</v>
      </c>
      <c r="C299" s="1" t="str">
        <f t="shared" si="6"/>
        <v>020072</v>
      </c>
      <c r="D299" s="1" t="str">
        <f>"112101028"</f>
        <v>112101028</v>
      </c>
      <c r="E299" s="1">
        <v>70.5</v>
      </c>
      <c r="F299" s="1">
        <v>68</v>
      </c>
      <c r="H299" s="1">
        <v>69.5</v>
      </c>
    </row>
    <row r="300" s="1" customFormat="1" spans="1:8">
      <c r="A300" s="1" t="s">
        <v>12</v>
      </c>
      <c r="B300" s="1" t="s">
        <v>9</v>
      </c>
      <c r="C300" s="1" t="str">
        <f t="shared" si="6"/>
        <v>020072</v>
      </c>
      <c r="D300" s="1" t="str">
        <f>"112101029"</f>
        <v>112101029</v>
      </c>
      <c r="E300" s="1">
        <v>0</v>
      </c>
      <c r="F300" s="1">
        <v>0</v>
      </c>
      <c r="H300" s="1">
        <v>0</v>
      </c>
    </row>
    <row r="301" s="1" customFormat="1" spans="1:8">
      <c r="A301" s="1" t="s">
        <v>12</v>
      </c>
      <c r="B301" s="1" t="s">
        <v>9</v>
      </c>
      <c r="C301" s="1" t="str">
        <f t="shared" si="6"/>
        <v>020072</v>
      </c>
      <c r="D301" s="1" t="str">
        <f>"112101030"</f>
        <v>112101030</v>
      </c>
      <c r="E301" s="1">
        <v>80</v>
      </c>
      <c r="F301" s="1">
        <v>72</v>
      </c>
      <c r="H301" s="1">
        <v>76.8</v>
      </c>
    </row>
    <row r="302" s="1" customFormat="1" spans="1:8">
      <c r="A302" s="1" t="s">
        <v>12</v>
      </c>
      <c r="B302" s="1" t="s">
        <v>9</v>
      </c>
      <c r="C302" s="1" t="str">
        <f t="shared" si="6"/>
        <v>020072</v>
      </c>
      <c r="D302" s="1" t="str">
        <f>"112101101"</f>
        <v>112101101</v>
      </c>
      <c r="E302" s="1">
        <v>41</v>
      </c>
      <c r="F302" s="1">
        <v>83.5</v>
      </c>
      <c r="H302" s="1">
        <v>58</v>
      </c>
    </row>
    <row r="303" s="1" customFormat="1" spans="1:8">
      <c r="A303" s="1" t="s">
        <v>12</v>
      </c>
      <c r="B303" s="1" t="s">
        <v>9</v>
      </c>
      <c r="C303" s="1" t="str">
        <f t="shared" si="6"/>
        <v>020072</v>
      </c>
      <c r="D303" s="1" t="str">
        <f>"112101102"</f>
        <v>112101102</v>
      </c>
      <c r="E303" s="1">
        <v>0</v>
      </c>
      <c r="F303" s="1">
        <v>0</v>
      </c>
      <c r="H303" s="1">
        <v>0</v>
      </c>
    </row>
    <row r="304" s="1" customFormat="1" spans="1:8">
      <c r="A304" s="1" t="s">
        <v>12</v>
      </c>
      <c r="B304" s="1" t="s">
        <v>9</v>
      </c>
      <c r="C304" s="1" t="str">
        <f t="shared" si="6"/>
        <v>020072</v>
      </c>
      <c r="D304" s="1" t="str">
        <f>"112101103"</f>
        <v>112101103</v>
      </c>
      <c r="E304" s="1">
        <v>0</v>
      </c>
      <c r="F304" s="1">
        <v>0</v>
      </c>
      <c r="H304" s="1">
        <v>0</v>
      </c>
    </row>
    <row r="305" s="1" customFormat="1" spans="1:8">
      <c r="A305" s="1" t="s">
        <v>12</v>
      </c>
      <c r="B305" s="1" t="s">
        <v>9</v>
      </c>
      <c r="C305" s="1" t="str">
        <f t="shared" si="6"/>
        <v>020072</v>
      </c>
      <c r="D305" s="1" t="str">
        <f>"112101104"</f>
        <v>112101104</v>
      </c>
      <c r="E305" s="1">
        <v>29.5</v>
      </c>
      <c r="F305" s="1">
        <v>52.5</v>
      </c>
      <c r="H305" s="1">
        <v>38.7</v>
      </c>
    </row>
    <row r="306" s="1" customFormat="1" spans="1:8">
      <c r="A306" s="1" t="s">
        <v>12</v>
      </c>
      <c r="B306" s="1" t="s">
        <v>9</v>
      </c>
      <c r="C306" s="1" t="str">
        <f t="shared" si="6"/>
        <v>020072</v>
      </c>
      <c r="D306" s="1" t="str">
        <f>"112101105"</f>
        <v>112101105</v>
      </c>
      <c r="E306" s="1">
        <v>59.5</v>
      </c>
      <c r="F306" s="1">
        <v>72.5</v>
      </c>
      <c r="H306" s="1">
        <v>64.7</v>
      </c>
    </row>
    <row r="307" s="1" customFormat="1" spans="1:8">
      <c r="A307" s="1" t="s">
        <v>12</v>
      </c>
      <c r="B307" s="1" t="s">
        <v>9</v>
      </c>
      <c r="C307" s="1" t="str">
        <f t="shared" si="6"/>
        <v>020072</v>
      </c>
      <c r="D307" s="1" t="str">
        <f>"112101106"</f>
        <v>112101106</v>
      </c>
      <c r="E307" s="1">
        <v>0</v>
      </c>
      <c r="F307" s="1">
        <v>0</v>
      </c>
      <c r="H307" s="1">
        <v>0</v>
      </c>
    </row>
    <row r="308" s="1" customFormat="1" spans="1:8">
      <c r="A308" s="1" t="s">
        <v>12</v>
      </c>
      <c r="B308" s="1" t="s">
        <v>9</v>
      </c>
      <c r="C308" s="1" t="str">
        <f t="shared" si="6"/>
        <v>020072</v>
      </c>
      <c r="D308" s="1" t="str">
        <f>"112101107"</f>
        <v>112101107</v>
      </c>
      <c r="E308" s="1">
        <v>77.5</v>
      </c>
      <c r="F308" s="1">
        <v>93</v>
      </c>
      <c r="H308" s="1">
        <v>83.7</v>
      </c>
    </row>
    <row r="309" s="1" customFormat="1" spans="1:8">
      <c r="A309" s="1" t="s">
        <v>12</v>
      </c>
      <c r="B309" s="1" t="s">
        <v>9</v>
      </c>
      <c r="C309" s="1" t="str">
        <f t="shared" si="6"/>
        <v>020072</v>
      </c>
      <c r="D309" s="1" t="str">
        <f>"112101108"</f>
        <v>112101108</v>
      </c>
      <c r="E309" s="1">
        <v>36.5</v>
      </c>
      <c r="F309" s="1">
        <v>71.5</v>
      </c>
      <c r="H309" s="1">
        <v>50.5</v>
      </c>
    </row>
    <row r="310" s="1" customFormat="1" spans="1:8">
      <c r="A310" s="1" t="s">
        <v>12</v>
      </c>
      <c r="B310" s="1" t="s">
        <v>9</v>
      </c>
      <c r="C310" s="1" t="str">
        <f t="shared" si="6"/>
        <v>020072</v>
      </c>
      <c r="D310" s="1" t="str">
        <f>"112101109"</f>
        <v>112101109</v>
      </c>
      <c r="E310" s="1">
        <v>44</v>
      </c>
      <c r="F310" s="1">
        <v>74.5</v>
      </c>
      <c r="H310" s="1">
        <v>56.2</v>
      </c>
    </row>
    <row r="311" s="1" customFormat="1" spans="1:8">
      <c r="A311" s="1" t="s">
        <v>12</v>
      </c>
      <c r="B311" s="1" t="s">
        <v>9</v>
      </c>
      <c r="C311" s="1" t="str">
        <f t="shared" si="6"/>
        <v>020072</v>
      </c>
      <c r="D311" s="1" t="str">
        <f>"112101110"</f>
        <v>112101110</v>
      </c>
      <c r="E311" s="1">
        <v>71.5</v>
      </c>
      <c r="F311" s="1">
        <v>82</v>
      </c>
      <c r="H311" s="1">
        <v>75.7</v>
      </c>
    </row>
    <row r="312" s="1" customFormat="1" spans="1:8">
      <c r="A312" s="1" t="s">
        <v>12</v>
      </c>
      <c r="B312" s="1" t="s">
        <v>9</v>
      </c>
      <c r="C312" s="1" t="str">
        <f t="shared" si="6"/>
        <v>020072</v>
      </c>
      <c r="D312" s="1" t="str">
        <f>"112101111"</f>
        <v>112101111</v>
      </c>
      <c r="E312" s="1">
        <v>24.5</v>
      </c>
      <c r="F312" s="1">
        <v>0</v>
      </c>
      <c r="H312" s="1">
        <v>14.7</v>
      </c>
    </row>
    <row r="313" s="1" customFormat="1" spans="1:8">
      <c r="A313" s="1" t="s">
        <v>12</v>
      </c>
      <c r="B313" s="1" t="s">
        <v>9</v>
      </c>
      <c r="C313" s="1" t="str">
        <f t="shared" si="6"/>
        <v>020072</v>
      </c>
      <c r="D313" s="1" t="str">
        <f>"112101112"</f>
        <v>112101112</v>
      </c>
      <c r="E313" s="1">
        <v>36.5</v>
      </c>
      <c r="F313" s="1">
        <v>52</v>
      </c>
      <c r="H313" s="1">
        <v>42.7</v>
      </c>
    </row>
    <row r="314" s="1" customFormat="1" spans="1:8">
      <c r="A314" s="1" t="s">
        <v>12</v>
      </c>
      <c r="B314" s="1" t="s">
        <v>9</v>
      </c>
      <c r="C314" s="1" t="str">
        <f t="shared" si="6"/>
        <v>020072</v>
      </c>
      <c r="D314" s="1" t="str">
        <f>"112101113"</f>
        <v>112101113</v>
      </c>
      <c r="E314" s="1">
        <v>0</v>
      </c>
      <c r="F314" s="1">
        <v>0</v>
      </c>
      <c r="H314" s="1">
        <v>0</v>
      </c>
    </row>
    <row r="315" s="1" customFormat="1" spans="1:8">
      <c r="A315" s="1" t="s">
        <v>12</v>
      </c>
      <c r="B315" s="1" t="s">
        <v>9</v>
      </c>
      <c r="C315" s="1" t="str">
        <f t="shared" si="6"/>
        <v>020072</v>
      </c>
      <c r="D315" s="1" t="str">
        <f>"112101114"</f>
        <v>112101114</v>
      </c>
      <c r="E315" s="1">
        <v>78.5</v>
      </c>
      <c r="F315" s="1">
        <v>88.5</v>
      </c>
      <c r="H315" s="1">
        <v>82.5</v>
      </c>
    </row>
    <row r="316" s="1" customFormat="1" spans="1:8">
      <c r="A316" s="1" t="s">
        <v>12</v>
      </c>
      <c r="B316" s="1" t="s">
        <v>9</v>
      </c>
      <c r="C316" s="1" t="str">
        <f t="shared" si="6"/>
        <v>020072</v>
      </c>
      <c r="D316" s="1" t="str">
        <f>"112101115"</f>
        <v>112101115</v>
      </c>
      <c r="E316" s="1">
        <v>81.5</v>
      </c>
      <c r="F316" s="1">
        <v>89</v>
      </c>
      <c r="H316" s="1">
        <v>84.5</v>
      </c>
    </row>
    <row r="317" s="1" customFormat="1" spans="1:8">
      <c r="A317" s="1" t="s">
        <v>12</v>
      </c>
      <c r="B317" s="1" t="s">
        <v>9</v>
      </c>
      <c r="C317" s="1" t="str">
        <f t="shared" si="6"/>
        <v>020072</v>
      </c>
      <c r="D317" s="1" t="str">
        <f>"112101116"</f>
        <v>112101116</v>
      </c>
      <c r="E317" s="1">
        <v>73</v>
      </c>
      <c r="F317" s="1">
        <v>82</v>
      </c>
      <c r="H317" s="1">
        <v>76.6</v>
      </c>
    </row>
    <row r="318" s="1" customFormat="1" spans="1:8">
      <c r="A318" s="1" t="s">
        <v>12</v>
      </c>
      <c r="B318" s="1" t="s">
        <v>9</v>
      </c>
      <c r="C318" s="1" t="str">
        <f t="shared" si="6"/>
        <v>020072</v>
      </c>
      <c r="D318" s="1" t="str">
        <f>"112101117"</f>
        <v>112101117</v>
      </c>
      <c r="E318" s="1">
        <v>59</v>
      </c>
      <c r="F318" s="1">
        <v>74</v>
      </c>
      <c r="H318" s="1">
        <v>65</v>
      </c>
    </row>
    <row r="319" s="1" customFormat="1" spans="1:8">
      <c r="A319" s="1" t="s">
        <v>12</v>
      </c>
      <c r="B319" s="1" t="s">
        <v>9</v>
      </c>
      <c r="C319" s="1" t="str">
        <f t="shared" si="6"/>
        <v>020072</v>
      </c>
      <c r="D319" s="1" t="str">
        <f>"112101118"</f>
        <v>112101118</v>
      </c>
      <c r="E319" s="1">
        <v>55.5</v>
      </c>
      <c r="F319" s="1">
        <v>53</v>
      </c>
      <c r="H319" s="1">
        <v>54.5</v>
      </c>
    </row>
    <row r="320" s="1" customFormat="1" spans="1:8">
      <c r="A320" s="1" t="s">
        <v>12</v>
      </c>
      <c r="B320" s="1" t="s">
        <v>9</v>
      </c>
      <c r="C320" s="1" t="str">
        <f t="shared" si="6"/>
        <v>020072</v>
      </c>
      <c r="D320" s="1" t="str">
        <f>"112101119"</f>
        <v>112101119</v>
      </c>
      <c r="E320" s="1">
        <v>41.5</v>
      </c>
      <c r="F320" s="1">
        <v>49.5</v>
      </c>
      <c r="H320" s="1">
        <v>44.7</v>
      </c>
    </row>
    <row r="321" s="1" customFormat="1" spans="1:8">
      <c r="A321" s="1" t="s">
        <v>12</v>
      </c>
      <c r="B321" s="1" t="s">
        <v>9</v>
      </c>
      <c r="C321" s="1" t="str">
        <f t="shared" si="6"/>
        <v>020072</v>
      </c>
      <c r="D321" s="1" t="str">
        <f>"112101120"</f>
        <v>112101120</v>
      </c>
      <c r="E321" s="1">
        <v>0</v>
      </c>
      <c r="F321" s="1">
        <v>0</v>
      </c>
      <c r="H321" s="1">
        <v>0</v>
      </c>
    </row>
    <row r="322" s="1" customFormat="1" spans="1:8">
      <c r="A322" s="1" t="s">
        <v>12</v>
      </c>
      <c r="B322" s="1" t="s">
        <v>9</v>
      </c>
      <c r="C322" s="1" t="str">
        <f t="shared" si="6"/>
        <v>020072</v>
      </c>
      <c r="D322" s="1" t="str">
        <f>"112101121"</f>
        <v>112101121</v>
      </c>
      <c r="E322" s="1">
        <v>40.5</v>
      </c>
      <c r="F322" s="1">
        <v>72</v>
      </c>
      <c r="H322" s="1">
        <v>53.1</v>
      </c>
    </row>
    <row r="323" s="1" customFormat="1" spans="1:8">
      <c r="A323" s="1" t="s">
        <v>12</v>
      </c>
      <c r="B323" s="1" t="s">
        <v>9</v>
      </c>
      <c r="C323" s="1" t="str">
        <f t="shared" si="6"/>
        <v>020072</v>
      </c>
      <c r="D323" s="1" t="str">
        <f>"112101122"</f>
        <v>112101122</v>
      </c>
      <c r="E323" s="1">
        <v>82.5</v>
      </c>
      <c r="F323" s="1">
        <v>88</v>
      </c>
      <c r="H323" s="1">
        <v>84.7</v>
      </c>
    </row>
    <row r="324" s="1" customFormat="1" spans="1:8">
      <c r="A324" s="1" t="s">
        <v>12</v>
      </c>
      <c r="B324" s="1" t="s">
        <v>9</v>
      </c>
      <c r="C324" s="1" t="str">
        <f t="shared" si="6"/>
        <v>020072</v>
      </c>
      <c r="D324" s="1" t="str">
        <f>"112101123"</f>
        <v>112101123</v>
      </c>
      <c r="E324" s="1">
        <v>38.5</v>
      </c>
      <c r="F324" s="1">
        <v>86.5</v>
      </c>
      <c r="H324" s="1">
        <v>57.7</v>
      </c>
    </row>
    <row r="325" s="1" customFormat="1" spans="1:8">
      <c r="A325" s="1" t="s">
        <v>12</v>
      </c>
      <c r="B325" s="1" t="s">
        <v>9</v>
      </c>
      <c r="C325" s="1" t="str">
        <f t="shared" si="6"/>
        <v>020072</v>
      </c>
      <c r="D325" s="1" t="str">
        <f>"112101124"</f>
        <v>112101124</v>
      </c>
      <c r="E325" s="1">
        <v>38</v>
      </c>
      <c r="F325" s="1">
        <v>60</v>
      </c>
      <c r="H325" s="1">
        <v>46.8</v>
      </c>
    </row>
    <row r="326" s="1" customFormat="1" spans="1:8">
      <c r="A326" s="1" t="s">
        <v>12</v>
      </c>
      <c r="B326" s="1" t="s">
        <v>9</v>
      </c>
      <c r="C326" s="1" t="str">
        <f t="shared" si="6"/>
        <v>020072</v>
      </c>
      <c r="D326" s="1" t="str">
        <f>"112101125"</f>
        <v>112101125</v>
      </c>
      <c r="E326" s="1">
        <v>0</v>
      </c>
      <c r="F326" s="1">
        <v>0</v>
      </c>
      <c r="H326" s="1">
        <v>0</v>
      </c>
    </row>
    <row r="327" s="1" customFormat="1" spans="1:8">
      <c r="A327" s="1" t="s">
        <v>12</v>
      </c>
      <c r="B327" s="1" t="s">
        <v>9</v>
      </c>
      <c r="C327" s="1" t="str">
        <f t="shared" si="6"/>
        <v>020072</v>
      </c>
      <c r="D327" s="1" t="str">
        <f>"112101126"</f>
        <v>112101126</v>
      </c>
      <c r="E327" s="1">
        <v>38</v>
      </c>
      <c r="F327" s="1">
        <v>49.5</v>
      </c>
      <c r="H327" s="1">
        <v>42.6</v>
      </c>
    </row>
    <row r="328" s="1" customFormat="1" spans="1:8">
      <c r="A328" s="1" t="s">
        <v>12</v>
      </c>
      <c r="B328" s="1" t="s">
        <v>9</v>
      </c>
      <c r="C328" s="1" t="str">
        <f t="shared" si="6"/>
        <v>020072</v>
      </c>
      <c r="D328" s="1" t="str">
        <f>"112101127"</f>
        <v>112101127</v>
      </c>
      <c r="E328" s="1">
        <v>0</v>
      </c>
      <c r="F328" s="1">
        <v>0</v>
      </c>
      <c r="H328" s="1">
        <v>0</v>
      </c>
    </row>
    <row r="329" s="1" customFormat="1" spans="1:8">
      <c r="A329" s="1" t="s">
        <v>12</v>
      </c>
      <c r="B329" s="1" t="s">
        <v>9</v>
      </c>
      <c r="C329" s="1" t="str">
        <f t="shared" si="6"/>
        <v>020072</v>
      </c>
      <c r="D329" s="1" t="str">
        <f>"112101128"</f>
        <v>112101128</v>
      </c>
      <c r="E329" s="1">
        <v>0</v>
      </c>
      <c r="F329" s="1">
        <v>0</v>
      </c>
      <c r="H329" s="1">
        <v>0</v>
      </c>
    </row>
    <row r="330" s="1" customFormat="1" spans="1:8">
      <c r="A330" s="1" t="s">
        <v>12</v>
      </c>
      <c r="B330" s="1" t="s">
        <v>9</v>
      </c>
      <c r="C330" s="1" t="str">
        <f t="shared" si="6"/>
        <v>020072</v>
      </c>
      <c r="D330" s="1" t="str">
        <f>"112101129"</f>
        <v>112101129</v>
      </c>
      <c r="E330" s="1">
        <v>78</v>
      </c>
      <c r="F330" s="1">
        <v>92.5</v>
      </c>
      <c r="H330" s="1">
        <v>83.8</v>
      </c>
    </row>
    <row r="331" s="1" customFormat="1" spans="1:8">
      <c r="A331" s="1" t="s">
        <v>12</v>
      </c>
      <c r="B331" s="1" t="s">
        <v>9</v>
      </c>
      <c r="C331" s="1" t="str">
        <f t="shared" si="6"/>
        <v>020072</v>
      </c>
      <c r="D331" s="1" t="str">
        <f>"112101130"</f>
        <v>112101130</v>
      </c>
      <c r="E331" s="1">
        <v>0</v>
      </c>
      <c r="F331" s="1">
        <v>0</v>
      </c>
      <c r="H331" s="1">
        <v>0</v>
      </c>
    </row>
    <row r="332" s="1" customFormat="1" spans="1:8">
      <c r="A332" s="1" t="s">
        <v>12</v>
      </c>
      <c r="B332" s="1" t="s">
        <v>9</v>
      </c>
      <c r="C332" s="1" t="str">
        <f t="shared" si="6"/>
        <v>020072</v>
      </c>
      <c r="D332" s="1" t="str">
        <f>"112101201"</f>
        <v>112101201</v>
      </c>
      <c r="E332" s="1">
        <v>0</v>
      </c>
      <c r="F332" s="1">
        <v>0</v>
      </c>
      <c r="H332" s="1">
        <v>0</v>
      </c>
    </row>
    <row r="333" s="1" customFormat="1" spans="1:8">
      <c r="A333" s="1" t="s">
        <v>12</v>
      </c>
      <c r="B333" s="1" t="s">
        <v>9</v>
      </c>
      <c r="C333" s="1" t="str">
        <f t="shared" si="6"/>
        <v>020072</v>
      </c>
      <c r="D333" s="1" t="str">
        <f>"112101202"</f>
        <v>112101202</v>
      </c>
      <c r="E333" s="1">
        <v>0</v>
      </c>
      <c r="F333" s="1">
        <v>0</v>
      </c>
      <c r="H333" s="1">
        <v>0</v>
      </c>
    </row>
    <row r="334" s="1" customFormat="1" spans="1:8">
      <c r="A334" s="1" t="s">
        <v>12</v>
      </c>
      <c r="B334" s="1" t="s">
        <v>9</v>
      </c>
      <c r="C334" s="1" t="str">
        <f t="shared" si="6"/>
        <v>020072</v>
      </c>
      <c r="D334" s="1" t="str">
        <f>"112101203"</f>
        <v>112101203</v>
      </c>
      <c r="E334" s="1">
        <v>82.5</v>
      </c>
      <c r="F334" s="1">
        <v>74.5</v>
      </c>
      <c r="H334" s="1">
        <v>79.3</v>
      </c>
    </row>
    <row r="335" s="1" customFormat="1" spans="1:8">
      <c r="A335" s="1" t="s">
        <v>12</v>
      </c>
      <c r="B335" s="1" t="s">
        <v>9</v>
      </c>
      <c r="C335" s="1" t="str">
        <f t="shared" si="6"/>
        <v>020072</v>
      </c>
      <c r="D335" s="1" t="str">
        <f>"112101204"</f>
        <v>112101204</v>
      </c>
      <c r="E335" s="1">
        <v>0</v>
      </c>
      <c r="F335" s="1">
        <v>0</v>
      </c>
      <c r="H335" s="1">
        <v>0</v>
      </c>
    </row>
    <row r="336" s="1" customFormat="1" spans="1:8">
      <c r="A336" s="1" t="s">
        <v>12</v>
      </c>
      <c r="B336" s="1" t="s">
        <v>9</v>
      </c>
      <c r="C336" s="1" t="str">
        <f t="shared" si="6"/>
        <v>020072</v>
      </c>
      <c r="D336" s="1" t="str">
        <f>"112101205"</f>
        <v>112101205</v>
      </c>
      <c r="E336" s="1">
        <v>40</v>
      </c>
      <c r="F336" s="1">
        <v>61.5</v>
      </c>
      <c r="H336" s="1">
        <v>48.6</v>
      </c>
    </row>
    <row r="337" s="1" customFormat="1" spans="1:8">
      <c r="A337" s="1" t="s">
        <v>12</v>
      </c>
      <c r="B337" s="1" t="s">
        <v>9</v>
      </c>
      <c r="C337" s="1" t="str">
        <f t="shared" si="6"/>
        <v>020072</v>
      </c>
      <c r="D337" s="1" t="str">
        <f>"112101206"</f>
        <v>112101206</v>
      </c>
      <c r="E337" s="1">
        <v>90</v>
      </c>
      <c r="F337" s="1">
        <v>94.5</v>
      </c>
      <c r="H337" s="1">
        <v>91.8</v>
      </c>
    </row>
    <row r="338" s="1" customFormat="1" spans="1:8">
      <c r="A338" s="1" t="s">
        <v>12</v>
      </c>
      <c r="B338" s="1" t="s">
        <v>9</v>
      </c>
      <c r="C338" s="1" t="str">
        <f t="shared" si="6"/>
        <v>020072</v>
      </c>
      <c r="D338" s="1" t="str">
        <f>"112101207"</f>
        <v>112101207</v>
      </c>
      <c r="E338" s="1">
        <v>0</v>
      </c>
      <c r="F338" s="1">
        <v>0</v>
      </c>
      <c r="H338" s="1">
        <v>0</v>
      </c>
    </row>
    <row r="339" s="1" customFormat="1" spans="1:8">
      <c r="A339" s="1" t="s">
        <v>12</v>
      </c>
      <c r="B339" s="1" t="s">
        <v>9</v>
      </c>
      <c r="C339" s="1" t="str">
        <f t="shared" si="6"/>
        <v>020072</v>
      </c>
      <c r="D339" s="1" t="str">
        <f>"112101208"</f>
        <v>112101208</v>
      </c>
      <c r="E339" s="1">
        <v>52</v>
      </c>
      <c r="F339" s="1">
        <v>68.5</v>
      </c>
      <c r="H339" s="1">
        <v>58.6</v>
      </c>
    </row>
    <row r="340" s="1" customFormat="1" spans="1:8">
      <c r="A340" s="1" t="s">
        <v>12</v>
      </c>
      <c r="B340" s="1" t="s">
        <v>9</v>
      </c>
      <c r="C340" s="1" t="str">
        <f t="shared" si="6"/>
        <v>020072</v>
      </c>
      <c r="D340" s="1" t="str">
        <f>"112101209"</f>
        <v>112101209</v>
      </c>
      <c r="E340" s="1">
        <v>102</v>
      </c>
      <c r="F340" s="1">
        <v>81.5</v>
      </c>
      <c r="H340" s="1">
        <v>93.8</v>
      </c>
    </row>
    <row r="341" s="1" customFormat="1" spans="1:8">
      <c r="A341" s="1" t="s">
        <v>12</v>
      </c>
      <c r="B341" s="1" t="s">
        <v>9</v>
      </c>
      <c r="C341" s="1" t="str">
        <f t="shared" si="6"/>
        <v>020072</v>
      </c>
      <c r="D341" s="1" t="str">
        <f>"112101210"</f>
        <v>112101210</v>
      </c>
      <c r="E341" s="1">
        <v>37</v>
      </c>
      <c r="F341" s="1">
        <v>67.5</v>
      </c>
      <c r="H341" s="1">
        <v>49.2</v>
      </c>
    </row>
    <row r="342" s="1" customFormat="1" spans="1:8">
      <c r="A342" s="1" t="s">
        <v>12</v>
      </c>
      <c r="B342" s="1" t="s">
        <v>9</v>
      </c>
      <c r="C342" s="1" t="str">
        <f t="shared" si="6"/>
        <v>020072</v>
      </c>
      <c r="D342" s="1" t="str">
        <f>"112101211"</f>
        <v>112101211</v>
      </c>
      <c r="E342" s="1">
        <v>0</v>
      </c>
      <c r="F342" s="1">
        <v>0</v>
      </c>
      <c r="H342" s="1">
        <v>0</v>
      </c>
    </row>
    <row r="343" s="1" customFormat="1" spans="1:8">
      <c r="A343" s="1" t="s">
        <v>12</v>
      </c>
      <c r="B343" s="1" t="s">
        <v>9</v>
      </c>
      <c r="C343" s="1" t="str">
        <f t="shared" si="6"/>
        <v>020072</v>
      </c>
      <c r="D343" s="1" t="str">
        <f>"112101212"</f>
        <v>112101212</v>
      </c>
      <c r="E343" s="1">
        <v>86</v>
      </c>
      <c r="F343" s="1">
        <v>65</v>
      </c>
      <c r="H343" s="1">
        <v>77.6</v>
      </c>
    </row>
    <row r="344" s="1" customFormat="1" spans="1:8">
      <c r="A344" s="1" t="s">
        <v>12</v>
      </c>
      <c r="B344" s="1" t="s">
        <v>9</v>
      </c>
      <c r="C344" s="1" t="str">
        <f t="shared" si="6"/>
        <v>020072</v>
      </c>
      <c r="D344" s="1" t="str">
        <f>"112101213"</f>
        <v>112101213</v>
      </c>
      <c r="E344" s="1">
        <v>55.5</v>
      </c>
      <c r="F344" s="1">
        <v>80</v>
      </c>
      <c r="H344" s="1">
        <v>65.3</v>
      </c>
    </row>
    <row r="345" s="1" customFormat="1" spans="1:8">
      <c r="A345" s="1" t="s">
        <v>12</v>
      </c>
      <c r="B345" s="1" t="s">
        <v>9</v>
      </c>
      <c r="C345" s="1" t="str">
        <f t="shared" si="6"/>
        <v>020072</v>
      </c>
      <c r="D345" s="1" t="str">
        <f>"112101214"</f>
        <v>112101214</v>
      </c>
      <c r="E345" s="1">
        <v>89</v>
      </c>
      <c r="F345" s="1">
        <v>92</v>
      </c>
      <c r="H345" s="1">
        <v>90.2</v>
      </c>
    </row>
    <row r="346" s="1" customFormat="1" spans="1:8">
      <c r="A346" s="1" t="s">
        <v>12</v>
      </c>
      <c r="B346" s="1" t="s">
        <v>9</v>
      </c>
      <c r="C346" s="1" t="str">
        <f t="shared" si="6"/>
        <v>020072</v>
      </c>
      <c r="D346" s="1" t="str">
        <f>"112101215"</f>
        <v>112101215</v>
      </c>
      <c r="E346" s="1">
        <v>72</v>
      </c>
      <c r="F346" s="1">
        <v>98</v>
      </c>
      <c r="H346" s="1">
        <v>82.4</v>
      </c>
    </row>
    <row r="347" s="1" customFormat="1" spans="1:8">
      <c r="A347" s="1" t="s">
        <v>12</v>
      </c>
      <c r="B347" s="1" t="s">
        <v>9</v>
      </c>
      <c r="C347" s="1" t="str">
        <f t="shared" si="6"/>
        <v>020072</v>
      </c>
      <c r="D347" s="1" t="str">
        <f>"112101216"</f>
        <v>112101216</v>
      </c>
      <c r="E347" s="1">
        <v>90.5</v>
      </c>
      <c r="F347" s="1">
        <v>86</v>
      </c>
      <c r="H347" s="1">
        <v>88.7</v>
      </c>
    </row>
    <row r="348" s="1" customFormat="1" spans="1:8">
      <c r="A348" s="1" t="s">
        <v>12</v>
      </c>
      <c r="B348" s="1" t="s">
        <v>9</v>
      </c>
      <c r="C348" s="1" t="str">
        <f t="shared" si="6"/>
        <v>020072</v>
      </c>
      <c r="D348" s="1" t="str">
        <f>"112101217"</f>
        <v>112101217</v>
      </c>
      <c r="E348" s="1">
        <v>0</v>
      </c>
      <c r="F348" s="1">
        <v>0</v>
      </c>
      <c r="H348" s="1">
        <v>0</v>
      </c>
    </row>
    <row r="349" s="1" customFormat="1" spans="1:8">
      <c r="A349" s="1" t="s">
        <v>12</v>
      </c>
      <c r="B349" s="1" t="s">
        <v>9</v>
      </c>
      <c r="C349" s="1" t="str">
        <f t="shared" si="6"/>
        <v>020072</v>
      </c>
      <c r="D349" s="1" t="str">
        <f>"112101218"</f>
        <v>112101218</v>
      </c>
      <c r="E349" s="1">
        <v>60</v>
      </c>
      <c r="F349" s="1">
        <v>92.5</v>
      </c>
      <c r="H349" s="1">
        <v>73</v>
      </c>
    </row>
    <row r="350" s="1" customFormat="1" spans="1:8">
      <c r="A350" s="1" t="s">
        <v>12</v>
      </c>
      <c r="B350" s="1" t="s">
        <v>9</v>
      </c>
      <c r="C350" s="1" t="str">
        <f t="shared" si="6"/>
        <v>020072</v>
      </c>
      <c r="D350" s="1" t="str">
        <f>"112101219"</f>
        <v>112101219</v>
      </c>
      <c r="E350" s="1">
        <v>44.5</v>
      </c>
      <c r="F350" s="1">
        <v>69</v>
      </c>
      <c r="H350" s="1">
        <v>54.3</v>
      </c>
    </row>
    <row r="351" s="1" customFormat="1" spans="1:8">
      <c r="A351" s="1" t="s">
        <v>12</v>
      </c>
      <c r="B351" s="1" t="s">
        <v>9</v>
      </c>
      <c r="C351" s="1" t="str">
        <f t="shared" si="6"/>
        <v>020072</v>
      </c>
      <c r="D351" s="1" t="str">
        <f>"112101220"</f>
        <v>112101220</v>
      </c>
      <c r="E351" s="1">
        <v>77</v>
      </c>
      <c r="F351" s="1">
        <v>96.5</v>
      </c>
      <c r="H351" s="1">
        <v>84.8</v>
      </c>
    </row>
    <row r="352" s="1" customFormat="1" spans="1:8">
      <c r="A352" s="1" t="s">
        <v>12</v>
      </c>
      <c r="B352" s="1" t="s">
        <v>9</v>
      </c>
      <c r="C352" s="1" t="str">
        <f t="shared" si="6"/>
        <v>020072</v>
      </c>
      <c r="D352" s="1" t="str">
        <f>"112101221"</f>
        <v>112101221</v>
      </c>
      <c r="E352" s="1">
        <v>0</v>
      </c>
      <c r="F352" s="1">
        <v>0</v>
      </c>
      <c r="H352" s="1">
        <v>0</v>
      </c>
    </row>
    <row r="353" s="1" customFormat="1" spans="1:8">
      <c r="A353" s="1" t="s">
        <v>12</v>
      </c>
      <c r="B353" s="1" t="s">
        <v>9</v>
      </c>
      <c r="C353" s="1" t="str">
        <f t="shared" si="6"/>
        <v>020072</v>
      </c>
      <c r="D353" s="1" t="str">
        <f>"112101222"</f>
        <v>112101222</v>
      </c>
      <c r="E353" s="1">
        <v>86</v>
      </c>
      <c r="F353" s="1">
        <v>93.5</v>
      </c>
      <c r="H353" s="1">
        <v>89</v>
      </c>
    </row>
    <row r="354" s="1" customFormat="1" spans="1:8">
      <c r="A354" s="1" t="s">
        <v>12</v>
      </c>
      <c r="B354" s="1" t="s">
        <v>9</v>
      </c>
      <c r="C354" s="1" t="str">
        <f t="shared" ref="C354:C367" si="7">"020072"</f>
        <v>020072</v>
      </c>
      <c r="D354" s="1" t="str">
        <f>"112101223"</f>
        <v>112101223</v>
      </c>
      <c r="E354" s="1">
        <v>65.5</v>
      </c>
      <c r="F354" s="1">
        <v>81</v>
      </c>
      <c r="H354" s="1">
        <v>71.7</v>
      </c>
    </row>
    <row r="355" s="1" customFormat="1" spans="1:8">
      <c r="A355" s="1" t="s">
        <v>12</v>
      </c>
      <c r="B355" s="1" t="s">
        <v>9</v>
      </c>
      <c r="C355" s="1" t="str">
        <f t="shared" si="7"/>
        <v>020072</v>
      </c>
      <c r="D355" s="1" t="str">
        <f>"112101224"</f>
        <v>112101224</v>
      </c>
      <c r="E355" s="1">
        <v>49.5</v>
      </c>
      <c r="F355" s="1">
        <v>77.5</v>
      </c>
      <c r="H355" s="1">
        <v>60.7</v>
      </c>
    </row>
    <row r="356" s="1" customFormat="1" spans="1:8">
      <c r="A356" s="1" t="s">
        <v>12</v>
      </c>
      <c r="B356" s="1" t="s">
        <v>9</v>
      </c>
      <c r="C356" s="1" t="str">
        <f t="shared" si="7"/>
        <v>020072</v>
      </c>
      <c r="D356" s="1" t="str">
        <f>"112101225"</f>
        <v>112101225</v>
      </c>
      <c r="E356" s="1">
        <v>46.5</v>
      </c>
      <c r="F356" s="1">
        <v>66</v>
      </c>
      <c r="H356" s="1">
        <v>54.3</v>
      </c>
    </row>
    <row r="357" s="1" customFormat="1" spans="1:8">
      <c r="A357" s="1" t="s">
        <v>12</v>
      </c>
      <c r="B357" s="1" t="s">
        <v>9</v>
      </c>
      <c r="C357" s="1" t="str">
        <f t="shared" si="7"/>
        <v>020072</v>
      </c>
      <c r="D357" s="1" t="str">
        <f>"112101226"</f>
        <v>112101226</v>
      </c>
      <c r="E357" s="1">
        <v>0</v>
      </c>
      <c r="F357" s="1">
        <v>0</v>
      </c>
      <c r="H357" s="1">
        <v>0</v>
      </c>
    </row>
    <row r="358" s="1" customFormat="1" spans="1:8">
      <c r="A358" s="1" t="s">
        <v>12</v>
      </c>
      <c r="B358" s="1" t="s">
        <v>9</v>
      </c>
      <c r="C358" s="1" t="str">
        <f t="shared" si="7"/>
        <v>020072</v>
      </c>
      <c r="D358" s="1" t="str">
        <f>"112101227"</f>
        <v>112101227</v>
      </c>
      <c r="E358" s="1">
        <v>45.5</v>
      </c>
      <c r="F358" s="1">
        <v>68</v>
      </c>
      <c r="H358" s="1">
        <v>54.5</v>
      </c>
    </row>
    <row r="359" s="1" customFormat="1" spans="1:8">
      <c r="A359" s="1" t="s">
        <v>12</v>
      </c>
      <c r="B359" s="1" t="s">
        <v>9</v>
      </c>
      <c r="C359" s="1" t="str">
        <f t="shared" si="7"/>
        <v>020072</v>
      </c>
      <c r="D359" s="1" t="str">
        <f>"112101228"</f>
        <v>112101228</v>
      </c>
      <c r="E359" s="1">
        <v>0</v>
      </c>
      <c r="F359" s="1">
        <v>0</v>
      </c>
      <c r="H359" s="1">
        <v>0</v>
      </c>
    </row>
    <row r="360" s="1" customFormat="1" spans="1:8">
      <c r="A360" s="1" t="s">
        <v>12</v>
      </c>
      <c r="B360" s="1" t="s">
        <v>9</v>
      </c>
      <c r="C360" s="1" t="str">
        <f t="shared" si="7"/>
        <v>020072</v>
      </c>
      <c r="D360" s="1" t="str">
        <f>"112101229"</f>
        <v>112101229</v>
      </c>
      <c r="E360" s="1">
        <v>51</v>
      </c>
      <c r="F360" s="1">
        <v>0</v>
      </c>
      <c r="H360" s="1">
        <v>30.6</v>
      </c>
    </row>
    <row r="361" s="1" customFormat="1" spans="1:8">
      <c r="A361" s="1" t="s">
        <v>12</v>
      </c>
      <c r="B361" s="1" t="s">
        <v>9</v>
      </c>
      <c r="C361" s="1" t="str">
        <f t="shared" si="7"/>
        <v>020072</v>
      </c>
      <c r="D361" s="1" t="str">
        <f>"112101230"</f>
        <v>112101230</v>
      </c>
      <c r="E361" s="1">
        <v>74.5</v>
      </c>
      <c r="F361" s="1">
        <v>89</v>
      </c>
      <c r="H361" s="1">
        <v>80.3</v>
      </c>
    </row>
    <row r="362" s="1" customFormat="1" spans="1:8">
      <c r="A362" s="1" t="s">
        <v>12</v>
      </c>
      <c r="B362" s="1" t="s">
        <v>9</v>
      </c>
      <c r="C362" s="1" t="str">
        <f t="shared" si="7"/>
        <v>020072</v>
      </c>
      <c r="D362" s="1" t="str">
        <f>"112101301"</f>
        <v>112101301</v>
      </c>
      <c r="E362" s="1">
        <v>67</v>
      </c>
      <c r="F362" s="1">
        <v>78</v>
      </c>
      <c r="H362" s="1">
        <v>71.4</v>
      </c>
    </row>
    <row r="363" s="1" customFormat="1" spans="1:8">
      <c r="A363" s="1" t="s">
        <v>12</v>
      </c>
      <c r="B363" s="1" t="s">
        <v>9</v>
      </c>
      <c r="C363" s="1" t="str">
        <f t="shared" si="7"/>
        <v>020072</v>
      </c>
      <c r="D363" s="1" t="str">
        <f>"112101302"</f>
        <v>112101302</v>
      </c>
      <c r="E363" s="1">
        <v>21</v>
      </c>
      <c r="F363" s="1">
        <v>0</v>
      </c>
      <c r="H363" s="1">
        <v>12.6</v>
      </c>
    </row>
    <row r="364" s="1" customFormat="1" spans="1:8">
      <c r="A364" s="1" t="s">
        <v>12</v>
      </c>
      <c r="B364" s="1" t="s">
        <v>9</v>
      </c>
      <c r="C364" s="1" t="str">
        <f t="shared" si="7"/>
        <v>020072</v>
      </c>
      <c r="D364" s="1" t="str">
        <f>"112101303"</f>
        <v>112101303</v>
      </c>
      <c r="E364" s="1">
        <v>33.5</v>
      </c>
      <c r="F364" s="1">
        <v>55.5</v>
      </c>
      <c r="H364" s="1">
        <v>42.3</v>
      </c>
    </row>
    <row r="365" s="1" customFormat="1" spans="1:8">
      <c r="A365" s="1" t="s">
        <v>12</v>
      </c>
      <c r="B365" s="1" t="s">
        <v>9</v>
      </c>
      <c r="C365" s="1" t="str">
        <f t="shared" si="7"/>
        <v>020072</v>
      </c>
      <c r="D365" s="1" t="str">
        <f>"112101304"</f>
        <v>112101304</v>
      </c>
      <c r="E365" s="1">
        <v>0</v>
      </c>
      <c r="F365" s="1">
        <v>0</v>
      </c>
      <c r="H365" s="1">
        <v>0</v>
      </c>
    </row>
    <row r="366" s="1" customFormat="1" spans="1:8">
      <c r="A366" s="1" t="s">
        <v>12</v>
      </c>
      <c r="B366" s="1" t="s">
        <v>9</v>
      </c>
      <c r="C366" s="1" t="str">
        <f t="shared" si="7"/>
        <v>020072</v>
      </c>
      <c r="D366" s="1" t="str">
        <f>"112101305"</f>
        <v>112101305</v>
      </c>
      <c r="E366" s="1">
        <v>94</v>
      </c>
      <c r="F366" s="1">
        <v>89.5</v>
      </c>
      <c r="H366" s="1">
        <v>92.2</v>
      </c>
    </row>
    <row r="367" s="1" customFormat="1" spans="1:8">
      <c r="A367" s="1" t="s">
        <v>12</v>
      </c>
      <c r="B367" s="1" t="s">
        <v>9</v>
      </c>
      <c r="C367" s="1" t="str">
        <f t="shared" si="7"/>
        <v>020072</v>
      </c>
      <c r="D367" s="1" t="str">
        <f>"112101306"</f>
        <v>112101306</v>
      </c>
      <c r="E367" s="1">
        <v>31</v>
      </c>
      <c r="F367" s="1">
        <v>0</v>
      </c>
      <c r="H367" s="1">
        <v>18.6</v>
      </c>
    </row>
    <row r="368" s="1" customFormat="1" spans="1:8">
      <c r="A368" s="1" t="s">
        <v>13</v>
      </c>
      <c r="B368" s="1" t="s">
        <v>9</v>
      </c>
      <c r="C368" s="1" t="str">
        <f t="shared" ref="C368:C410" si="8">"020081"</f>
        <v>020081</v>
      </c>
      <c r="D368" s="1" t="str">
        <f>"112101307"</f>
        <v>112101307</v>
      </c>
      <c r="E368" s="1">
        <v>44.5</v>
      </c>
      <c r="F368" s="1">
        <v>64</v>
      </c>
      <c r="H368" s="1">
        <v>52.3</v>
      </c>
    </row>
    <row r="369" s="1" customFormat="1" spans="1:8">
      <c r="A369" s="1" t="s">
        <v>13</v>
      </c>
      <c r="B369" s="1" t="s">
        <v>9</v>
      </c>
      <c r="C369" s="1" t="str">
        <f t="shared" si="8"/>
        <v>020081</v>
      </c>
      <c r="D369" s="1" t="str">
        <f>"112101308"</f>
        <v>112101308</v>
      </c>
      <c r="E369" s="1">
        <v>0</v>
      </c>
      <c r="F369" s="1">
        <v>0</v>
      </c>
      <c r="H369" s="1">
        <v>0</v>
      </c>
    </row>
    <row r="370" s="1" customFormat="1" spans="1:8">
      <c r="A370" s="1" t="s">
        <v>13</v>
      </c>
      <c r="B370" s="1" t="s">
        <v>9</v>
      </c>
      <c r="C370" s="1" t="str">
        <f t="shared" si="8"/>
        <v>020081</v>
      </c>
      <c r="D370" s="1" t="str">
        <f>"112101309"</f>
        <v>112101309</v>
      </c>
      <c r="E370" s="1">
        <v>51.5</v>
      </c>
      <c r="F370" s="1">
        <v>59.5</v>
      </c>
      <c r="H370" s="1">
        <v>54.7</v>
      </c>
    </row>
    <row r="371" s="1" customFormat="1" spans="1:8">
      <c r="A371" s="1" t="s">
        <v>13</v>
      </c>
      <c r="B371" s="1" t="s">
        <v>9</v>
      </c>
      <c r="C371" s="1" t="str">
        <f t="shared" si="8"/>
        <v>020081</v>
      </c>
      <c r="D371" s="1" t="str">
        <f>"112101310"</f>
        <v>112101310</v>
      </c>
      <c r="E371" s="1">
        <v>0</v>
      </c>
      <c r="F371" s="1">
        <v>0</v>
      </c>
      <c r="H371" s="1">
        <v>0</v>
      </c>
    </row>
    <row r="372" s="1" customFormat="1" spans="1:8">
      <c r="A372" s="1" t="s">
        <v>13</v>
      </c>
      <c r="B372" s="1" t="s">
        <v>9</v>
      </c>
      <c r="C372" s="1" t="str">
        <f t="shared" si="8"/>
        <v>020081</v>
      </c>
      <c r="D372" s="1" t="str">
        <f>"112101311"</f>
        <v>112101311</v>
      </c>
      <c r="E372" s="1">
        <v>51.5</v>
      </c>
      <c r="F372" s="1">
        <v>64.5</v>
      </c>
      <c r="H372" s="1">
        <v>56.7</v>
      </c>
    </row>
    <row r="373" s="1" customFormat="1" spans="1:8">
      <c r="A373" s="1" t="s">
        <v>13</v>
      </c>
      <c r="B373" s="1" t="s">
        <v>9</v>
      </c>
      <c r="C373" s="1" t="str">
        <f t="shared" si="8"/>
        <v>020081</v>
      </c>
      <c r="D373" s="1" t="str">
        <f>"112101312"</f>
        <v>112101312</v>
      </c>
      <c r="E373" s="1">
        <v>0</v>
      </c>
      <c r="F373" s="1">
        <v>0</v>
      </c>
      <c r="H373" s="1">
        <v>0</v>
      </c>
    </row>
    <row r="374" s="1" customFormat="1" spans="1:8">
      <c r="A374" s="1" t="s">
        <v>13</v>
      </c>
      <c r="B374" s="1" t="s">
        <v>9</v>
      </c>
      <c r="C374" s="1" t="str">
        <f t="shared" si="8"/>
        <v>020081</v>
      </c>
      <c r="D374" s="1" t="str">
        <f>"112101313"</f>
        <v>112101313</v>
      </c>
      <c r="E374" s="1">
        <v>67</v>
      </c>
      <c r="F374" s="1">
        <v>83.5</v>
      </c>
      <c r="H374" s="1">
        <v>73.6</v>
      </c>
    </row>
    <row r="375" s="1" customFormat="1" spans="1:8">
      <c r="A375" s="1" t="s">
        <v>13</v>
      </c>
      <c r="B375" s="1" t="s">
        <v>9</v>
      </c>
      <c r="C375" s="1" t="str">
        <f t="shared" si="8"/>
        <v>020081</v>
      </c>
      <c r="D375" s="1" t="str">
        <f>"112101314"</f>
        <v>112101314</v>
      </c>
      <c r="E375" s="1">
        <v>33.5</v>
      </c>
      <c r="F375" s="1">
        <v>0</v>
      </c>
      <c r="H375" s="1">
        <v>20.1</v>
      </c>
    </row>
    <row r="376" s="1" customFormat="1" spans="1:8">
      <c r="A376" s="1" t="s">
        <v>13</v>
      </c>
      <c r="B376" s="1" t="s">
        <v>9</v>
      </c>
      <c r="C376" s="1" t="str">
        <f t="shared" si="8"/>
        <v>020081</v>
      </c>
      <c r="D376" s="1" t="str">
        <f>"112101315"</f>
        <v>112101315</v>
      </c>
      <c r="E376" s="1">
        <v>43.5</v>
      </c>
      <c r="F376" s="1">
        <v>71.5</v>
      </c>
      <c r="H376" s="1">
        <v>54.7</v>
      </c>
    </row>
    <row r="377" s="1" customFormat="1" spans="1:8">
      <c r="A377" s="1" t="s">
        <v>13</v>
      </c>
      <c r="B377" s="1" t="s">
        <v>9</v>
      </c>
      <c r="C377" s="1" t="str">
        <f t="shared" si="8"/>
        <v>020081</v>
      </c>
      <c r="D377" s="1" t="str">
        <f>"112101316"</f>
        <v>112101316</v>
      </c>
      <c r="E377" s="1">
        <v>0</v>
      </c>
      <c r="F377" s="1">
        <v>0</v>
      </c>
      <c r="H377" s="1">
        <v>0</v>
      </c>
    </row>
    <row r="378" s="1" customFormat="1" spans="1:8">
      <c r="A378" s="1" t="s">
        <v>13</v>
      </c>
      <c r="B378" s="1" t="s">
        <v>9</v>
      </c>
      <c r="C378" s="1" t="str">
        <f t="shared" si="8"/>
        <v>020081</v>
      </c>
      <c r="D378" s="1" t="str">
        <f>"112101317"</f>
        <v>112101317</v>
      </c>
      <c r="E378" s="1">
        <v>25.5</v>
      </c>
      <c r="F378" s="1">
        <v>56</v>
      </c>
      <c r="H378" s="1">
        <v>37.7</v>
      </c>
    </row>
    <row r="379" s="1" customFormat="1" spans="1:8">
      <c r="A379" s="1" t="s">
        <v>13</v>
      </c>
      <c r="B379" s="1" t="s">
        <v>9</v>
      </c>
      <c r="C379" s="1" t="str">
        <f t="shared" si="8"/>
        <v>020081</v>
      </c>
      <c r="D379" s="1" t="str">
        <f>"112101318"</f>
        <v>112101318</v>
      </c>
      <c r="E379" s="1">
        <v>66</v>
      </c>
      <c r="F379" s="1">
        <v>72.5</v>
      </c>
      <c r="H379" s="1">
        <v>68.6</v>
      </c>
    </row>
    <row r="380" s="1" customFormat="1" spans="1:8">
      <c r="A380" s="1" t="s">
        <v>13</v>
      </c>
      <c r="B380" s="1" t="s">
        <v>9</v>
      </c>
      <c r="C380" s="1" t="str">
        <f t="shared" si="8"/>
        <v>020081</v>
      </c>
      <c r="D380" s="1" t="str">
        <f>"112101319"</f>
        <v>112101319</v>
      </c>
      <c r="E380" s="1">
        <v>0</v>
      </c>
      <c r="F380" s="1">
        <v>0</v>
      </c>
      <c r="H380" s="1">
        <v>0</v>
      </c>
    </row>
    <row r="381" s="1" customFormat="1" spans="1:8">
      <c r="A381" s="1" t="s">
        <v>13</v>
      </c>
      <c r="B381" s="1" t="s">
        <v>9</v>
      </c>
      <c r="C381" s="1" t="str">
        <f t="shared" si="8"/>
        <v>020081</v>
      </c>
      <c r="D381" s="1" t="str">
        <f>"112101320"</f>
        <v>112101320</v>
      </c>
      <c r="E381" s="1">
        <v>70</v>
      </c>
      <c r="F381" s="1">
        <v>81.5</v>
      </c>
      <c r="H381" s="1">
        <v>74.6</v>
      </c>
    </row>
    <row r="382" s="1" customFormat="1" spans="1:8">
      <c r="A382" s="1" t="s">
        <v>13</v>
      </c>
      <c r="B382" s="1" t="s">
        <v>9</v>
      </c>
      <c r="C382" s="1" t="str">
        <f t="shared" si="8"/>
        <v>020081</v>
      </c>
      <c r="D382" s="1" t="str">
        <f>"112101321"</f>
        <v>112101321</v>
      </c>
      <c r="E382" s="1">
        <v>49.5</v>
      </c>
      <c r="F382" s="1">
        <v>68</v>
      </c>
      <c r="H382" s="1">
        <v>56.9</v>
      </c>
    </row>
    <row r="383" s="1" customFormat="1" spans="1:8">
      <c r="A383" s="1" t="s">
        <v>13</v>
      </c>
      <c r="B383" s="1" t="s">
        <v>9</v>
      </c>
      <c r="C383" s="1" t="str">
        <f t="shared" si="8"/>
        <v>020081</v>
      </c>
      <c r="D383" s="1" t="str">
        <f>"112101322"</f>
        <v>112101322</v>
      </c>
      <c r="E383" s="1">
        <v>38</v>
      </c>
      <c r="F383" s="1">
        <v>0</v>
      </c>
      <c r="H383" s="1">
        <v>22.8</v>
      </c>
    </row>
    <row r="384" s="1" customFormat="1" spans="1:8">
      <c r="A384" s="1" t="s">
        <v>13</v>
      </c>
      <c r="B384" s="1" t="s">
        <v>9</v>
      </c>
      <c r="C384" s="1" t="str">
        <f t="shared" si="8"/>
        <v>020081</v>
      </c>
      <c r="D384" s="1" t="str">
        <f>"112101323"</f>
        <v>112101323</v>
      </c>
      <c r="E384" s="1">
        <v>0</v>
      </c>
      <c r="F384" s="1">
        <v>0</v>
      </c>
      <c r="H384" s="1">
        <v>0</v>
      </c>
    </row>
    <row r="385" s="1" customFormat="1" spans="1:8">
      <c r="A385" s="1" t="s">
        <v>13</v>
      </c>
      <c r="B385" s="1" t="s">
        <v>9</v>
      </c>
      <c r="C385" s="1" t="str">
        <f t="shared" si="8"/>
        <v>020081</v>
      </c>
      <c r="D385" s="1" t="str">
        <f>"112101324"</f>
        <v>112101324</v>
      </c>
      <c r="E385" s="1">
        <v>37.5</v>
      </c>
      <c r="F385" s="1">
        <v>68.5</v>
      </c>
      <c r="H385" s="1">
        <v>49.9</v>
      </c>
    </row>
    <row r="386" s="1" customFormat="1" spans="1:8">
      <c r="A386" s="1" t="s">
        <v>13</v>
      </c>
      <c r="B386" s="1" t="s">
        <v>9</v>
      </c>
      <c r="C386" s="1" t="str">
        <f t="shared" si="8"/>
        <v>020081</v>
      </c>
      <c r="D386" s="1" t="str">
        <f>"112101325"</f>
        <v>112101325</v>
      </c>
      <c r="E386" s="1">
        <v>0</v>
      </c>
      <c r="F386" s="1">
        <v>0</v>
      </c>
      <c r="H386" s="1">
        <v>0</v>
      </c>
    </row>
    <row r="387" s="1" customFormat="1" spans="1:8">
      <c r="A387" s="1" t="s">
        <v>13</v>
      </c>
      <c r="B387" s="1" t="s">
        <v>9</v>
      </c>
      <c r="C387" s="1" t="str">
        <f t="shared" si="8"/>
        <v>020081</v>
      </c>
      <c r="D387" s="1" t="str">
        <f>"112101326"</f>
        <v>112101326</v>
      </c>
      <c r="E387" s="1">
        <v>45.5</v>
      </c>
      <c r="F387" s="1">
        <v>60.5</v>
      </c>
      <c r="H387" s="1">
        <v>51.5</v>
      </c>
    </row>
    <row r="388" s="1" customFormat="1" spans="1:8">
      <c r="A388" s="1" t="s">
        <v>13</v>
      </c>
      <c r="B388" s="1" t="s">
        <v>9</v>
      </c>
      <c r="C388" s="1" t="str">
        <f t="shared" si="8"/>
        <v>020081</v>
      </c>
      <c r="D388" s="1" t="str">
        <f>"112101327"</f>
        <v>112101327</v>
      </c>
      <c r="E388" s="1">
        <v>57.5</v>
      </c>
      <c r="F388" s="1">
        <v>0</v>
      </c>
      <c r="H388" s="1">
        <v>34.5</v>
      </c>
    </row>
    <row r="389" s="1" customFormat="1" spans="1:8">
      <c r="A389" s="1" t="s">
        <v>13</v>
      </c>
      <c r="B389" s="1" t="s">
        <v>9</v>
      </c>
      <c r="C389" s="1" t="str">
        <f t="shared" si="8"/>
        <v>020081</v>
      </c>
      <c r="D389" s="1" t="str">
        <f>"112101328"</f>
        <v>112101328</v>
      </c>
      <c r="E389" s="1">
        <v>42</v>
      </c>
      <c r="F389" s="1">
        <v>53.5</v>
      </c>
      <c r="H389" s="1">
        <v>46.6</v>
      </c>
    </row>
    <row r="390" s="1" customFormat="1" spans="1:8">
      <c r="A390" s="1" t="s">
        <v>13</v>
      </c>
      <c r="B390" s="1" t="s">
        <v>9</v>
      </c>
      <c r="C390" s="1" t="str">
        <f t="shared" si="8"/>
        <v>020081</v>
      </c>
      <c r="D390" s="1" t="str">
        <f>"112101329"</f>
        <v>112101329</v>
      </c>
      <c r="E390" s="1">
        <v>0</v>
      </c>
      <c r="F390" s="1">
        <v>0</v>
      </c>
      <c r="H390" s="1">
        <v>0</v>
      </c>
    </row>
    <row r="391" s="1" customFormat="1" spans="1:8">
      <c r="A391" s="1" t="s">
        <v>13</v>
      </c>
      <c r="B391" s="1" t="s">
        <v>9</v>
      </c>
      <c r="C391" s="1" t="str">
        <f t="shared" si="8"/>
        <v>020081</v>
      </c>
      <c r="D391" s="1" t="str">
        <f>"112101330"</f>
        <v>112101330</v>
      </c>
      <c r="E391" s="1">
        <v>45</v>
      </c>
      <c r="F391" s="1">
        <v>55</v>
      </c>
      <c r="H391" s="1">
        <v>49</v>
      </c>
    </row>
    <row r="392" s="1" customFormat="1" spans="1:8">
      <c r="A392" s="1" t="s">
        <v>13</v>
      </c>
      <c r="B392" s="1" t="s">
        <v>9</v>
      </c>
      <c r="C392" s="1" t="str">
        <f t="shared" si="8"/>
        <v>020081</v>
      </c>
      <c r="D392" s="1" t="str">
        <f>"112101401"</f>
        <v>112101401</v>
      </c>
      <c r="E392" s="1">
        <v>43.5</v>
      </c>
      <c r="F392" s="1">
        <v>55</v>
      </c>
      <c r="H392" s="1">
        <v>48.1</v>
      </c>
    </row>
    <row r="393" s="1" customFormat="1" spans="1:8">
      <c r="A393" s="1" t="s">
        <v>13</v>
      </c>
      <c r="B393" s="1" t="s">
        <v>9</v>
      </c>
      <c r="C393" s="1" t="str">
        <f t="shared" si="8"/>
        <v>020081</v>
      </c>
      <c r="D393" s="1" t="str">
        <f>"112101402"</f>
        <v>112101402</v>
      </c>
      <c r="E393" s="1">
        <v>56.5</v>
      </c>
      <c r="F393" s="1">
        <v>91</v>
      </c>
      <c r="H393" s="1">
        <v>70.3</v>
      </c>
    </row>
    <row r="394" s="1" customFormat="1" spans="1:8">
      <c r="A394" s="1" t="s">
        <v>13</v>
      </c>
      <c r="B394" s="1" t="s">
        <v>9</v>
      </c>
      <c r="C394" s="1" t="str">
        <f t="shared" si="8"/>
        <v>020081</v>
      </c>
      <c r="D394" s="1" t="str">
        <f>"112101403"</f>
        <v>112101403</v>
      </c>
      <c r="E394" s="1">
        <v>0</v>
      </c>
      <c r="F394" s="1">
        <v>0</v>
      </c>
      <c r="H394" s="1">
        <v>0</v>
      </c>
    </row>
    <row r="395" s="1" customFormat="1" spans="1:8">
      <c r="A395" s="1" t="s">
        <v>13</v>
      </c>
      <c r="B395" s="1" t="s">
        <v>9</v>
      </c>
      <c r="C395" s="1" t="str">
        <f t="shared" si="8"/>
        <v>020081</v>
      </c>
      <c r="D395" s="1" t="str">
        <f>"112101404"</f>
        <v>112101404</v>
      </c>
      <c r="E395" s="1">
        <v>73</v>
      </c>
      <c r="F395" s="1">
        <v>84</v>
      </c>
      <c r="H395" s="1">
        <v>77.4</v>
      </c>
    </row>
    <row r="396" s="1" customFormat="1" spans="1:8">
      <c r="A396" s="1" t="s">
        <v>13</v>
      </c>
      <c r="B396" s="1" t="s">
        <v>9</v>
      </c>
      <c r="C396" s="1" t="str">
        <f t="shared" si="8"/>
        <v>020081</v>
      </c>
      <c r="D396" s="1" t="str">
        <f>"112101405"</f>
        <v>112101405</v>
      </c>
      <c r="E396" s="1">
        <v>58</v>
      </c>
      <c r="F396" s="1">
        <v>54</v>
      </c>
      <c r="H396" s="1">
        <v>56.4</v>
      </c>
    </row>
    <row r="397" s="1" customFormat="1" spans="1:8">
      <c r="A397" s="1" t="s">
        <v>13</v>
      </c>
      <c r="B397" s="1" t="s">
        <v>9</v>
      </c>
      <c r="C397" s="1" t="str">
        <f t="shared" si="8"/>
        <v>020081</v>
      </c>
      <c r="D397" s="1" t="str">
        <f>"112101406"</f>
        <v>112101406</v>
      </c>
      <c r="E397" s="1">
        <v>42.5</v>
      </c>
      <c r="F397" s="1">
        <v>47.5</v>
      </c>
      <c r="H397" s="1">
        <v>44.5</v>
      </c>
    </row>
    <row r="398" s="1" customFormat="1" spans="1:8">
      <c r="A398" s="1" t="s">
        <v>13</v>
      </c>
      <c r="B398" s="1" t="s">
        <v>9</v>
      </c>
      <c r="C398" s="1" t="str">
        <f t="shared" si="8"/>
        <v>020081</v>
      </c>
      <c r="D398" s="1" t="str">
        <f>"112101407"</f>
        <v>112101407</v>
      </c>
      <c r="E398" s="1">
        <v>58</v>
      </c>
      <c r="F398" s="1">
        <v>60</v>
      </c>
      <c r="H398" s="1">
        <v>58.8</v>
      </c>
    </row>
    <row r="399" s="1" customFormat="1" spans="1:8">
      <c r="A399" s="1" t="s">
        <v>13</v>
      </c>
      <c r="B399" s="1" t="s">
        <v>9</v>
      </c>
      <c r="C399" s="1" t="str">
        <f t="shared" si="8"/>
        <v>020081</v>
      </c>
      <c r="D399" s="1" t="str">
        <f>"112101408"</f>
        <v>112101408</v>
      </c>
      <c r="E399" s="1">
        <v>58.5</v>
      </c>
      <c r="F399" s="1">
        <v>0</v>
      </c>
      <c r="H399" s="1">
        <v>35.1</v>
      </c>
    </row>
    <row r="400" s="1" customFormat="1" spans="1:8">
      <c r="A400" s="1" t="s">
        <v>13</v>
      </c>
      <c r="B400" s="1" t="s">
        <v>9</v>
      </c>
      <c r="C400" s="1" t="str">
        <f t="shared" si="8"/>
        <v>020081</v>
      </c>
      <c r="D400" s="1" t="str">
        <f>"112101409"</f>
        <v>112101409</v>
      </c>
      <c r="E400" s="1">
        <v>61</v>
      </c>
      <c r="F400" s="1">
        <v>70</v>
      </c>
      <c r="H400" s="1">
        <v>64.6</v>
      </c>
    </row>
    <row r="401" s="1" customFormat="1" spans="1:8">
      <c r="A401" s="1" t="s">
        <v>13</v>
      </c>
      <c r="B401" s="1" t="s">
        <v>9</v>
      </c>
      <c r="C401" s="1" t="str">
        <f t="shared" si="8"/>
        <v>020081</v>
      </c>
      <c r="D401" s="1" t="str">
        <f>"112101410"</f>
        <v>112101410</v>
      </c>
      <c r="E401" s="1">
        <v>78.5</v>
      </c>
      <c r="F401" s="1">
        <v>93.5</v>
      </c>
      <c r="H401" s="1">
        <v>84.5</v>
      </c>
    </row>
    <row r="402" s="1" customFormat="1" spans="1:8">
      <c r="A402" s="1" t="s">
        <v>13</v>
      </c>
      <c r="B402" s="1" t="s">
        <v>9</v>
      </c>
      <c r="C402" s="1" t="str">
        <f t="shared" si="8"/>
        <v>020081</v>
      </c>
      <c r="D402" s="1" t="str">
        <f>"112101411"</f>
        <v>112101411</v>
      </c>
      <c r="E402" s="1">
        <v>0</v>
      </c>
      <c r="F402" s="1">
        <v>0</v>
      </c>
      <c r="H402" s="1">
        <v>0</v>
      </c>
    </row>
    <row r="403" s="1" customFormat="1" spans="1:8">
      <c r="A403" s="1" t="s">
        <v>13</v>
      </c>
      <c r="B403" s="1" t="s">
        <v>9</v>
      </c>
      <c r="C403" s="1" t="str">
        <f t="shared" si="8"/>
        <v>020081</v>
      </c>
      <c r="D403" s="1" t="str">
        <f>"112101412"</f>
        <v>112101412</v>
      </c>
      <c r="E403" s="1">
        <v>48.5</v>
      </c>
      <c r="F403" s="1">
        <v>59.5</v>
      </c>
      <c r="H403" s="1">
        <v>52.9</v>
      </c>
    </row>
    <row r="404" s="1" customFormat="1" spans="1:8">
      <c r="A404" s="1" t="s">
        <v>13</v>
      </c>
      <c r="B404" s="1" t="s">
        <v>9</v>
      </c>
      <c r="C404" s="1" t="str">
        <f t="shared" si="8"/>
        <v>020081</v>
      </c>
      <c r="D404" s="1" t="str">
        <f>"112101413"</f>
        <v>112101413</v>
      </c>
      <c r="E404" s="1">
        <v>43</v>
      </c>
      <c r="F404" s="1">
        <v>0</v>
      </c>
      <c r="H404" s="1">
        <v>25.8</v>
      </c>
    </row>
    <row r="405" s="1" customFormat="1" spans="1:8">
      <c r="A405" s="1" t="s">
        <v>13</v>
      </c>
      <c r="B405" s="1" t="s">
        <v>9</v>
      </c>
      <c r="C405" s="1" t="str">
        <f t="shared" si="8"/>
        <v>020081</v>
      </c>
      <c r="D405" s="1" t="str">
        <f>"112101414"</f>
        <v>112101414</v>
      </c>
      <c r="E405" s="1">
        <v>50</v>
      </c>
      <c r="F405" s="1">
        <v>59</v>
      </c>
      <c r="H405" s="1">
        <v>53.6</v>
      </c>
    </row>
    <row r="406" s="1" customFormat="1" spans="1:8">
      <c r="A406" s="1" t="s">
        <v>13</v>
      </c>
      <c r="B406" s="1" t="s">
        <v>9</v>
      </c>
      <c r="C406" s="1" t="str">
        <f t="shared" si="8"/>
        <v>020081</v>
      </c>
      <c r="D406" s="1" t="str">
        <f>"112101415"</f>
        <v>112101415</v>
      </c>
      <c r="E406" s="1">
        <v>38.5</v>
      </c>
      <c r="F406" s="1">
        <v>60</v>
      </c>
      <c r="H406" s="1">
        <v>47.1</v>
      </c>
    </row>
    <row r="407" s="1" customFormat="1" spans="1:8">
      <c r="A407" s="1" t="s">
        <v>13</v>
      </c>
      <c r="B407" s="1" t="s">
        <v>9</v>
      </c>
      <c r="C407" s="1" t="str">
        <f t="shared" si="8"/>
        <v>020081</v>
      </c>
      <c r="D407" s="1" t="str">
        <f>"112101416"</f>
        <v>112101416</v>
      </c>
      <c r="E407" s="1">
        <v>32</v>
      </c>
      <c r="F407" s="1">
        <v>56.5</v>
      </c>
      <c r="H407" s="1">
        <v>41.8</v>
      </c>
    </row>
    <row r="408" s="1" customFormat="1" spans="1:8">
      <c r="A408" s="1" t="s">
        <v>13</v>
      </c>
      <c r="B408" s="1" t="s">
        <v>9</v>
      </c>
      <c r="C408" s="1" t="str">
        <f t="shared" si="8"/>
        <v>020081</v>
      </c>
      <c r="D408" s="1" t="str">
        <f>"112101417"</f>
        <v>112101417</v>
      </c>
      <c r="E408" s="1">
        <v>0</v>
      </c>
      <c r="F408" s="1">
        <v>0</v>
      </c>
      <c r="H408" s="1">
        <v>0</v>
      </c>
    </row>
    <row r="409" s="1" customFormat="1" spans="1:8">
      <c r="A409" s="1" t="s">
        <v>13</v>
      </c>
      <c r="B409" s="1" t="s">
        <v>9</v>
      </c>
      <c r="C409" s="1" t="str">
        <f t="shared" si="8"/>
        <v>020081</v>
      </c>
      <c r="D409" s="1" t="str">
        <f>"112101418"</f>
        <v>112101418</v>
      </c>
      <c r="E409" s="1">
        <v>39</v>
      </c>
      <c r="F409" s="1">
        <v>54.5</v>
      </c>
      <c r="H409" s="1">
        <v>45.2</v>
      </c>
    </row>
    <row r="410" s="1" customFormat="1" spans="1:8">
      <c r="A410" s="1" t="s">
        <v>13</v>
      </c>
      <c r="B410" s="1" t="s">
        <v>9</v>
      </c>
      <c r="C410" s="1" t="str">
        <f t="shared" si="8"/>
        <v>020081</v>
      </c>
      <c r="D410" s="1" t="str">
        <f>"112101419"</f>
        <v>112101419</v>
      </c>
      <c r="E410" s="1">
        <v>55</v>
      </c>
      <c r="F410" s="1">
        <v>59.5</v>
      </c>
      <c r="H410" s="1">
        <v>56.8</v>
      </c>
    </row>
    <row r="411" s="1" customFormat="1" spans="1:8">
      <c r="A411" s="1" t="s">
        <v>14</v>
      </c>
      <c r="B411" s="1" t="s">
        <v>9</v>
      </c>
      <c r="C411" s="1" t="str">
        <f t="shared" ref="C411:C474" si="9">"020083"</f>
        <v>020083</v>
      </c>
      <c r="D411" s="1" t="str">
        <f>"112101420"</f>
        <v>112101420</v>
      </c>
      <c r="E411" s="1">
        <v>40</v>
      </c>
      <c r="F411" s="1">
        <v>58.5</v>
      </c>
      <c r="H411" s="1">
        <v>47.4</v>
      </c>
    </row>
    <row r="412" s="1" customFormat="1" spans="1:8">
      <c r="A412" s="1" t="s">
        <v>14</v>
      </c>
      <c r="B412" s="1" t="s">
        <v>9</v>
      </c>
      <c r="C412" s="1" t="str">
        <f t="shared" si="9"/>
        <v>020083</v>
      </c>
      <c r="D412" s="1" t="str">
        <f>"112101421"</f>
        <v>112101421</v>
      </c>
      <c r="E412" s="1">
        <v>94</v>
      </c>
      <c r="F412" s="1">
        <v>92.5</v>
      </c>
      <c r="H412" s="1">
        <v>93.4</v>
      </c>
    </row>
    <row r="413" s="1" customFormat="1" spans="1:8">
      <c r="A413" s="1" t="s">
        <v>14</v>
      </c>
      <c r="B413" s="1" t="s">
        <v>9</v>
      </c>
      <c r="C413" s="1" t="str">
        <f t="shared" si="9"/>
        <v>020083</v>
      </c>
      <c r="D413" s="1" t="str">
        <f>"112101422"</f>
        <v>112101422</v>
      </c>
      <c r="E413" s="1">
        <v>49.5</v>
      </c>
      <c r="F413" s="1">
        <v>74.5</v>
      </c>
      <c r="H413" s="1">
        <v>59.5</v>
      </c>
    </row>
    <row r="414" s="1" customFormat="1" spans="1:8">
      <c r="A414" s="1" t="s">
        <v>14</v>
      </c>
      <c r="B414" s="1" t="s">
        <v>9</v>
      </c>
      <c r="C414" s="1" t="str">
        <f t="shared" si="9"/>
        <v>020083</v>
      </c>
      <c r="D414" s="1" t="str">
        <f>"112101423"</f>
        <v>112101423</v>
      </c>
      <c r="E414" s="1">
        <v>0</v>
      </c>
      <c r="F414" s="1">
        <v>0</v>
      </c>
      <c r="H414" s="1">
        <v>0</v>
      </c>
    </row>
    <row r="415" s="1" customFormat="1" spans="1:8">
      <c r="A415" s="1" t="s">
        <v>14</v>
      </c>
      <c r="B415" s="1" t="s">
        <v>9</v>
      </c>
      <c r="C415" s="1" t="str">
        <f t="shared" si="9"/>
        <v>020083</v>
      </c>
      <c r="D415" s="1" t="str">
        <f>"112101424"</f>
        <v>112101424</v>
      </c>
      <c r="E415" s="1">
        <v>0</v>
      </c>
      <c r="F415" s="1">
        <v>0</v>
      </c>
      <c r="H415" s="1">
        <v>0</v>
      </c>
    </row>
    <row r="416" s="1" customFormat="1" spans="1:8">
      <c r="A416" s="1" t="s">
        <v>14</v>
      </c>
      <c r="B416" s="1" t="s">
        <v>9</v>
      </c>
      <c r="C416" s="1" t="str">
        <f t="shared" si="9"/>
        <v>020083</v>
      </c>
      <c r="D416" s="1" t="str">
        <f>"112101425"</f>
        <v>112101425</v>
      </c>
      <c r="E416" s="1">
        <v>78.5</v>
      </c>
      <c r="F416" s="1">
        <v>65</v>
      </c>
      <c r="H416" s="1">
        <v>73.1</v>
      </c>
    </row>
    <row r="417" s="1" customFormat="1" spans="1:8">
      <c r="A417" s="1" t="s">
        <v>14</v>
      </c>
      <c r="B417" s="1" t="s">
        <v>9</v>
      </c>
      <c r="C417" s="1" t="str">
        <f t="shared" si="9"/>
        <v>020083</v>
      </c>
      <c r="D417" s="1" t="str">
        <f>"112101426"</f>
        <v>112101426</v>
      </c>
      <c r="E417" s="1">
        <v>70</v>
      </c>
      <c r="F417" s="1">
        <v>76</v>
      </c>
      <c r="H417" s="1">
        <v>72.4</v>
      </c>
    </row>
    <row r="418" s="1" customFormat="1" spans="1:8">
      <c r="A418" s="1" t="s">
        <v>14</v>
      </c>
      <c r="B418" s="1" t="s">
        <v>9</v>
      </c>
      <c r="C418" s="1" t="str">
        <f t="shared" si="9"/>
        <v>020083</v>
      </c>
      <c r="D418" s="1" t="str">
        <f>"112101427"</f>
        <v>112101427</v>
      </c>
      <c r="E418" s="1">
        <v>0</v>
      </c>
      <c r="F418" s="1">
        <v>0</v>
      </c>
      <c r="H418" s="1">
        <v>0</v>
      </c>
    </row>
    <row r="419" s="1" customFormat="1" spans="1:8">
      <c r="A419" s="1" t="s">
        <v>14</v>
      </c>
      <c r="B419" s="1" t="s">
        <v>9</v>
      </c>
      <c r="C419" s="1" t="str">
        <f t="shared" si="9"/>
        <v>020083</v>
      </c>
      <c r="D419" s="1" t="str">
        <f>"112101428"</f>
        <v>112101428</v>
      </c>
      <c r="E419" s="1">
        <v>0</v>
      </c>
      <c r="F419" s="1">
        <v>0</v>
      </c>
      <c r="H419" s="1">
        <v>0</v>
      </c>
    </row>
    <row r="420" s="1" customFormat="1" spans="1:8">
      <c r="A420" s="1" t="s">
        <v>14</v>
      </c>
      <c r="B420" s="1" t="s">
        <v>9</v>
      </c>
      <c r="C420" s="1" t="str">
        <f t="shared" si="9"/>
        <v>020083</v>
      </c>
      <c r="D420" s="1" t="str">
        <f>"112101429"</f>
        <v>112101429</v>
      </c>
      <c r="E420" s="1">
        <v>60.5</v>
      </c>
      <c r="F420" s="1">
        <v>58.5</v>
      </c>
      <c r="H420" s="1">
        <v>59.7</v>
      </c>
    </row>
    <row r="421" s="1" customFormat="1" spans="1:8">
      <c r="A421" s="1" t="s">
        <v>14</v>
      </c>
      <c r="B421" s="1" t="s">
        <v>9</v>
      </c>
      <c r="C421" s="1" t="str">
        <f t="shared" si="9"/>
        <v>020083</v>
      </c>
      <c r="D421" s="1" t="str">
        <f>"112101430"</f>
        <v>112101430</v>
      </c>
      <c r="E421" s="1">
        <v>65</v>
      </c>
      <c r="F421" s="1">
        <v>79.5</v>
      </c>
      <c r="H421" s="1">
        <v>70.8</v>
      </c>
    </row>
    <row r="422" s="1" customFormat="1" spans="1:8">
      <c r="A422" s="1" t="s">
        <v>14</v>
      </c>
      <c r="B422" s="1" t="s">
        <v>9</v>
      </c>
      <c r="C422" s="1" t="str">
        <f t="shared" si="9"/>
        <v>020083</v>
      </c>
      <c r="D422" s="1" t="str">
        <f>"112101501"</f>
        <v>112101501</v>
      </c>
      <c r="E422" s="1">
        <v>59.5</v>
      </c>
      <c r="F422" s="1">
        <v>81</v>
      </c>
      <c r="H422" s="1">
        <v>68.1</v>
      </c>
    </row>
    <row r="423" s="1" customFormat="1" spans="1:8">
      <c r="A423" s="1" t="s">
        <v>14</v>
      </c>
      <c r="B423" s="1" t="s">
        <v>9</v>
      </c>
      <c r="C423" s="1" t="str">
        <f t="shared" si="9"/>
        <v>020083</v>
      </c>
      <c r="D423" s="1" t="str">
        <f>"112101502"</f>
        <v>112101502</v>
      </c>
      <c r="E423" s="1">
        <v>47.5</v>
      </c>
      <c r="F423" s="1">
        <v>75.5</v>
      </c>
      <c r="H423" s="1">
        <v>58.7</v>
      </c>
    </row>
    <row r="424" s="1" customFormat="1" spans="1:8">
      <c r="A424" s="1" t="s">
        <v>14</v>
      </c>
      <c r="B424" s="1" t="s">
        <v>9</v>
      </c>
      <c r="C424" s="1" t="str">
        <f t="shared" si="9"/>
        <v>020083</v>
      </c>
      <c r="D424" s="1" t="str">
        <f>"112101503"</f>
        <v>112101503</v>
      </c>
      <c r="E424" s="1">
        <v>43.5</v>
      </c>
      <c r="F424" s="1">
        <v>81.5</v>
      </c>
      <c r="H424" s="1">
        <v>58.7</v>
      </c>
    </row>
    <row r="425" s="1" customFormat="1" spans="1:8">
      <c r="A425" s="1" t="s">
        <v>14</v>
      </c>
      <c r="B425" s="1" t="s">
        <v>9</v>
      </c>
      <c r="C425" s="1" t="str">
        <f t="shared" si="9"/>
        <v>020083</v>
      </c>
      <c r="D425" s="1" t="str">
        <f>"112101504"</f>
        <v>112101504</v>
      </c>
      <c r="E425" s="1">
        <v>43</v>
      </c>
      <c r="F425" s="1">
        <v>73.5</v>
      </c>
      <c r="H425" s="1">
        <v>55.2</v>
      </c>
    </row>
    <row r="426" s="1" customFormat="1" spans="1:8">
      <c r="A426" s="1" t="s">
        <v>14</v>
      </c>
      <c r="B426" s="1" t="s">
        <v>9</v>
      </c>
      <c r="C426" s="1" t="str">
        <f t="shared" si="9"/>
        <v>020083</v>
      </c>
      <c r="D426" s="1" t="str">
        <f>"112101505"</f>
        <v>112101505</v>
      </c>
      <c r="E426" s="1">
        <v>42</v>
      </c>
      <c r="F426" s="1">
        <v>54.5</v>
      </c>
      <c r="H426" s="1">
        <v>47</v>
      </c>
    </row>
    <row r="427" s="1" customFormat="1" spans="1:8">
      <c r="A427" s="1" t="s">
        <v>14</v>
      </c>
      <c r="B427" s="1" t="s">
        <v>9</v>
      </c>
      <c r="C427" s="1" t="str">
        <f t="shared" si="9"/>
        <v>020083</v>
      </c>
      <c r="D427" s="1" t="str">
        <f>"112101506"</f>
        <v>112101506</v>
      </c>
      <c r="E427" s="1">
        <v>24.5</v>
      </c>
      <c r="F427" s="1">
        <v>50.5</v>
      </c>
      <c r="H427" s="1">
        <v>34.9</v>
      </c>
    </row>
    <row r="428" s="1" customFormat="1" spans="1:8">
      <c r="A428" s="1" t="s">
        <v>14</v>
      </c>
      <c r="B428" s="1" t="s">
        <v>9</v>
      </c>
      <c r="C428" s="1" t="str">
        <f t="shared" si="9"/>
        <v>020083</v>
      </c>
      <c r="D428" s="1" t="str">
        <f>"112101507"</f>
        <v>112101507</v>
      </c>
      <c r="E428" s="1">
        <v>81</v>
      </c>
      <c r="F428" s="1">
        <v>91.5</v>
      </c>
      <c r="H428" s="1">
        <v>85.2</v>
      </c>
    </row>
    <row r="429" s="1" customFormat="1" spans="1:8">
      <c r="A429" s="1" t="s">
        <v>14</v>
      </c>
      <c r="B429" s="1" t="s">
        <v>9</v>
      </c>
      <c r="C429" s="1" t="str">
        <f t="shared" si="9"/>
        <v>020083</v>
      </c>
      <c r="D429" s="1" t="str">
        <f>"112101508"</f>
        <v>112101508</v>
      </c>
      <c r="E429" s="1">
        <v>0</v>
      </c>
      <c r="F429" s="1">
        <v>0</v>
      </c>
      <c r="H429" s="1">
        <v>0</v>
      </c>
    </row>
    <row r="430" s="1" customFormat="1" spans="1:8">
      <c r="A430" s="1" t="s">
        <v>14</v>
      </c>
      <c r="B430" s="1" t="s">
        <v>9</v>
      </c>
      <c r="C430" s="1" t="str">
        <f t="shared" si="9"/>
        <v>020083</v>
      </c>
      <c r="D430" s="1" t="str">
        <f>"112101509"</f>
        <v>112101509</v>
      </c>
      <c r="E430" s="1">
        <v>76</v>
      </c>
      <c r="F430" s="1">
        <v>94.5</v>
      </c>
      <c r="H430" s="1">
        <v>83.4</v>
      </c>
    </row>
    <row r="431" s="1" customFormat="1" spans="1:8">
      <c r="A431" s="1" t="s">
        <v>14</v>
      </c>
      <c r="B431" s="1" t="s">
        <v>9</v>
      </c>
      <c r="C431" s="1" t="str">
        <f t="shared" si="9"/>
        <v>020083</v>
      </c>
      <c r="D431" s="1" t="str">
        <f>"112101510"</f>
        <v>112101510</v>
      </c>
      <c r="E431" s="1">
        <v>0</v>
      </c>
      <c r="F431" s="1">
        <v>0</v>
      </c>
      <c r="H431" s="1">
        <v>0</v>
      </c>
    </row>
    <row r="432" s="1" customFormat="1" spans="1:8">
      <c r="A432" s="1" t="s">
        <v>14</v>
      </c>
      <c r="B432" s="1" t="s">
        <v>9</v>
      </c>
      <c r="C432" s="1" t="str">
        <f t="shared" si="9"/>
        <v>020083</v>
      </c>
      <c r="D432" s="1" t="str">
        <f>"112101511"</f>
        <v>112101511</v>
      </c>
      <c r="E432" s="1">
        <v>30</v>
      </c>
      <c r="F432" s="1">
        <v>63.5</v>
      </c>
      <c r="H432" s="1">
        <v>43.4</v>
      </c>
    </row>
    <row r="433" s="1" customFormat="1" spans="1:8">
      <c r="A433" s="1" t="s">
        <v>14</v>
      </c>
      <c r="B433" s="1" t="s">
        <v>9</v>
      </c>
      <c r="C433" s="1" t="str">
        <f t="shared" si="9"/>
        <v>020083</v>
      </c>
      <c r="D433" s="1" t="str">
        <f>"112101512"</f>
        <v>112101512</v>
      </c>
      <c r="E433" s="1">
        <v>83.5</v>
      </c>
      <c r="F433" s="1">
        <v>89.5</v>
      </c>
      <c r="H433" s="1">
        <v>85.9</v>
      </c>
    </row>
    <row r="434" s="1" customFormat="1" spans="1:8">
      <c r="A434" s="1" t="s">
        <v>14</v>
      </c>
      <c r="B434" s="1" t="s">
        <v>9</v>
      </c>
      <c r="C434" s="1" t="str">
        <f t="shared" si="9"/>
        <v>020083</v>
      </c>
      <c r="D434" s="1" t="str">
        <f>"112101513"</f>
        <v>112101513</v>
      </c>
      <c r="E434" s="1">
        <v>34.5</v>
      </c>
      <c r="F434" s="1">
        <v>57.5</v>
      </c>
      <c r="H434" s="1">
        <v>43.7</v>
      </c>
    </row>
    <row r="435" s="1" customFormat="1" spans="1:8">
      <c r="A435" s="1" t="s">
        <v>14</v>
      </c>
      <c r="B435" s="1" t="s">
        <v>9</v>
      </c>
      <c r="C435" s="1" t="str">
        <f t="shared" si="9"/>
        <v>020083</v>
      </c>
      <c r="D435" s="1" t="str">
        <f>"112101514"</f>
        <v>112101514</v>
      </c>
      <c r="E435" s="1">
        <v>0</v>
      </c>
      <c r="F435" s="1">
        <v>0</v>
      </c>
      <c r="H435" s="1">
        <v>0</v>
      </c>
    </row>
    <row r="436" s="1" customFormat="1" spans="1:8">
      <c r="A436" s="1" t="s">
        <v>14</v>
      </c>
      <c r="B436" s="1" t="s">
        <v>9</v>
      </c>
      <c r="C436" s="1" t="str">
        <f t="shared" si="9"/>
        <v>020083</v>
      </c>
      <c r="D436" s="1" t="str">
        <f>"112101515"</f>
        <v>112101515</v>
      </c>
      <c r="E436" s="1">
        <v>63.5</v>
      </c>
      <c r="F436" s="1">
        <v>0</v>
      </c>
      <c r="H436" s="1">
        <v>38.1</v>
      </c>
    </row>
    <row r="437" s="1" customFormat="1" spans="1:8">
      <c r="A437" s="1" t="s">
        <v>14</v>
      </c>
      <c r="B437" s="1" t="s">
        <v>9</v>
      </c>
      <c r="C437" s="1" t="str">
        <f t="shared" si="9"/>
        <v>020083</v>
      </c>
      <c r="D437" s="1" t="str">
        <f>"112101516"</f>
        <v>112101516</v>
      </c>
      <c r="E437" s="1">
        <v>51.5</v>
      </c>
      <c r="F437" s="1">
        <v>54.5</v>
      </c>
      <c r="H437" s="1">
        <v>52.7</v>
      </c>
    </row>
    <row r="438" s="1" customFormat="1" spans="1:8">
      <c r="A438" s="1" t="s">
        <v>14</v>
      </c>
      <c r="B438" s="1" t="s">
        <v>9</v>
      </c>
      <c r="C438" s="1" t="str">
        <f t="shared" si="9"/>
        <v>020083</v>
      </c>
      <c r="D438" s="1" t="str">
        <f>"112101517"</f>
        <v>112101517</v>
      </c>
      <c r="E438" s="1">
        <v>84</v>
      </c>
      <c r="F438" s="1">
        <v>74</v>
      </c>
      <c r="H438" s="1">
        <v>80</v>
      </c>
    </row>
    <row r="439" s="1" customFormat="1" spans="1:8">
      <c r="A439" s="1" t="s">
        <v>14</v>
      </c>
      <c r="B439" s="1" t="s">
        <v>9</v>
      </c>
      <c r="C439" s="1" t="str">
        <f t="shared" si="9"/>
        <v>020083</v>
      </c>
      <c r="D439" s="1" t="str">
        <f>"112101518"</f>
        <v>112101518</v>
      </c>
      <c r="E439" s="1">
        <v>45.5</v>
      </c>
      <c r="F439" s="1">
        <v>64.5</v>
      </c>
      <c r="H439" s="1">
        <v>53.1</v>
      </c>
    </row>
    <row r="440" s="1" customFormat="1" spans="1:8">
      <c r="A440" s="1" t="s">
        <v>14</v>
      </c>
      <c r="B440" s="1" t="s">
        <v>9</v>
      </c>
      <c r="C440" s="1" t="str">
        <f t="shared" si="9"/>
        <v>020083</v>
      </c>
      <c r="D440" s="1" t="str">
        <f>"112101519"</f>
        <v>112101519</v>
      </c>
      <c r="E440" s="1">
        <v>27.5</v>
      </c>
      <c r="F440" s="1">
        <v>65.5</v>
      </c>
      <c r="H440" s="1">
        <v>42.7</v>
      </c>
    </row>
    <row r="441" s="1" customFormat="1" spans="1:8">
      <c r="A441" s="1" t="s">
        <v>14</v>
      </c>
      <c r="B441" s="1" t="s">
        <v>9</v>
      </c>
      <c r="C441" s="1" t="str">
        <f t="shared" si="9"/>
        <v>020083</v>
      </c>
      <c r="D441" s="1" t="str">
        <f>"112101520"</f>
        <v>112101520</v>
      </c>
      <c r="E441" s="1">
        <v>74.5</v>
      </c>
      <c r="F441" s="1">
        <v>74</v>
      </c>
      <c r="H441" s="1">
        <v>74.3</v>
      </c>
    </row>
    <row r="442" s="1" customFormat="1" spans="1:8">
      <c r="A442" s="1" t="s">
        <v>14</v>
      </c>
      <c r="B442" s="1" t="s">
        <v>9</v>
      </c>
      <c r="C442" s="1" t="str">
        <f t="shared" si="9"/>
        <v>020083</v>
      </c>
      <c r="D442" s="1" t="str">
        <f>"112101521"</f>
        <v>112101521</v>
      </c>
      <c r="E442" s="1">
        <v>0</v>
      </c>
      <c r="F442" s="1">
        <v>0</v>
      </c>
      <c r="H442" s="1">
        <v>0</v>
      </c>
    </row>
    <row r="443" s="1" customFormat="1" spans="1:8">
      <c r="A443" s="1" t="s">
        <v>14</v>
      </c>
      <c r="B443" s="1" t="s">
        <v>9</v>
      </c>
      <c r="C443" s="1" t="str">
        <f t="shared" si="9"/>
        <v>020083</v>
      </c>
      <c r="D443" s="1" t="str">
        <f>"112101522"</f>
        <v>112101522</v>
      </c>
      <c r="E443" s="1">
        <v>58.5</v>
      </c>
      <c r="F443" s="1">
        <v>71</v>
      </c>
      <c r="H443" s="1">
        <v>63.5</v>
      </c>
    </row>
    <row r="444" s="1" customFormat="1" spans="1:8">
      <c r="A444" s="1" t="s">
        <v>14</v>
      </c>
      <c r="B444" s="1" t="s">
        <v>9</v>
      </c>
      <c r="C444" s="1" t="str">
        <f t="shared" si="9"/>
        <v>020083</v>
      </c>
      <c r="D444" s="1" t="str">
        <f>"112101523"</f>
        <v>112101523</v>
      </c>
      <c r="E444" s="1">
        <v>39.5</v>
      </c>
      <c r="F444" s="1">
        <v>57.5</v>
      </c>
      <c r="H444" s="1">
        <v>46.7</v>
      </c>
    </row>
    <row r="445" s="1" customFormat="1" spans="1:8">
      <c r="A445" s="1" t="s">
        <v>14</v>
      </c>
      <c r="B445" s="1" t="s">
        <v>9</v>
      </c>
      <c r="C445" s="1" t="str">
        <f t="shared" si="9"/>
        <v>020083</v>
      </c>
      <c r="D445" s="1" t="str">
        <f>"112101524"</f>
        <v>112101524</v>
      </c>
      <c r="E445" s="1">
        <v>76.5</v>
      </c>
      <c r="F445" s="1">
        <v>57</v>
      </c>
      <c r="H445" s="1">
        <v>68.7</v>
      </c>
    </row>
    <row r="446" s="1" customFormat="1" spans="1:8">
      <c r="A446" s="1" t="s">
        <v>14</v>
      </c>
      <c r="B446" s="1" t="s">
        <v>9</v>
      </c>
      <c r="C446" s="1" t="str">
        <f t="shared" si="9"/>
        <v>020083</v>
      </c>
      <c r="D446" s="1" t="str">
        <f>"112101525"</f>
        <v>112101525</v>
      </c>
      <c r="E446" s="1">
        <v>65</v>
      </c>
      <c r="F446" s="1">
        <v>78</v>
      </c>
      <c r="H446" s="1">
        <v>70.2</v>
      </c>
    </row>
    <row r="447" s="1" customFormat="1" spans="1:8">
      <c r="A447" s="1" t="s">
        <v>14</v>
      </c>
      <c r="B447" s="1" t="s">
        <v>9</v>
      </c>
      <c r="C447" s="1" t="str">
        <f t="shared" si="9"/>
        <v>020083</v>
      </c>
      <c r="D447" s="1" t="str">
        <f>"112101526"</f>
        <v>112101526</v>
      </c>
      <c r="E447" s="1">
        <v>0</v>
      </c>
      <c r="F447" s="1">
        <v>0</v>
      </c>
      <c r="H447" s="1">
        <v>0</v>
      </c>
    </row>
    <row r="448" s="1" customFormat="1" spans="1:8">
      <c r="A448" s="1" t="s">
        <v>14</v>
      </c>
      <c r="B448" s="1" t="s">
        <v>9</v>
      </c>
      <c r="C448" s="1" t="str">
        <f t="shared" si="9"/>
        <v>020083</v>
      </c>
      <c r="D448" s="1" t="str">
        <f>"112101527"</f>
        <v>112101527</v>
      </c>
      <c r="E448" s="1">
        <v>70</v>
      </c>
      <c r="F448" s="1">
        <v>74</v>
      </c>
      <c r="H448" s="1">
        <v>71.6</v>
      </c>
    </row>
    <row r="449" s="1" customFormat="1" spans="1:8">
      <c r="A449" s="1" t="s">
        <v>14</v>
      </c>
      <c r="B449" s="1" t="s">
        <v>9</v>
      </c>
      <c r="C449" s="1" t="str">
        <f t="shared" si="9"/>
        <v>020083</v>
      </c>
      <c r="D449" s="1" t="str">
        <f>"112101528"</f>
        <v>112101528</v>
      </c>
      <c r="E449" s="1">
        <v>30.5</v>
      </c>
      <c r="F449" s="1">
        <v>77.5</v>
      </c>
      <c r="H449" s="1">
        <v>49.3</v>
      </c>
    </row>
    <row r="450" s="1" customFormat="1" spans="1:8">
      <c r="A450" s="1" t="s">
        <v>14</v>
      </c>
      <c r="B450" s="1" t="s">
        <v>9</v>
      </c>
      <c r="C450" s="1" t="str">
        <f t="shared" si="9"/>
        <v>020083</v>
      </c>
      <c r="D450" s="1" t="str">
        <f>"112101529"</f>
        <v>112101529</v>
      </c>
      <c r="E450" s="1">
        <v>38.5</v>
      </c>
      <c r="F450" s="1">
        <v>75.5</v>
      </c>
      <c r="H450" s="1">
        <v>53.3</v>
      </c>
    </row>
    <row r="451" s="1" customFormat="1" spans="1:8">
      <c r="A451" s="1" t="s">
        <v>14</v>
      </c>
      <c r="B451" s="1" t="s">
        <v>9</v>
      </c>
      <c r="C451" s="1" t="str">
        <f t="shared" si="9"/>
        <v>020083</v>
      </c>
      <c r="D451" s="1" t="str">
        <f>"112101530"</f>
        <v>112101530</v>
      </c>
      <c r="E451" s="1">
        <v>68.5</v>
      </c>
      <c r="F451" s="1">
        <v>0</v>
      </c>
      <c r="H451" s="1">
        <v>41.1</v>
      </c>
    </row>
    <row r="452" s="1" customFormat="1" spans="1:8">
      <c r="A452" s="1" t="s">
        <v>14</v>
      </c>
      <c r="B452" s="1" t="s">
        <v>9</v>
      </c>
      <c r="C452" s="1" t="str">
        <f t="shared" si="9"/>
        <v>020083</v>
      </c>
      <c r="D452" s="1" t="str">
        <f>"112101601"</f>
        <v>112101601</v>
      </c>
      <c r="E452" s="1">
        <v>72.5</v>
      </c>
      <c r="F452" s="1">
        <v>78.5</v>
      </c>
      <c r="H452" s="1">
        <v>74.9</v>
      </c>
    </row>
    <row r="453" s="1" customFormat="1" spans="1:8">
      <c r="A453" s="1" t="s">
        <v>14</v>
      </c>
      <c r="B453" s="1" t="s">
        <v>9</v>
      </c>
      <c r="C453" s="1" t="str">
        <f t="shared" si="9"/>
        <v>020083</v>
      </c>
      <c r="D453" s="1" t="str">
        <f>"112101602"</f>
        <v>112101602</v>
      </c>
      <c r="E453" s="1">
        <v>37.5</v>
      </c>
      <c r="F453" s="1">
        <v>43.5</v>
      </c>
      <c r="H453" s="1">
        <v>39.9</v>
      </c>
    </row>
    <row r="454" s="1" customFormat="1" spans="1:8">
      <c r="A454" s="1" t="s">
        <v>14</v>
      </c>
      <c r="B454" s="1" t="s">
        <v>9</v>
      </c>
      <c r="C454" s="1" t="str">
        <f t="shared" si="9"/>
        <v>020083</v>
      </c>
      <c r="D454" s="1" t="str">
        <f>"112101603"</f>
        <v>112101603</v>
      </c>
      <c r="E454" s="1">
        <v>40.5</v>
      </c>
      <c r="F454" s="1">
        <v>82.5</v>
      </c>
      <c r="H454" s="1">
        <v>57.3</v>
      </c>
    </row>
    <row r="455" s="1" customFormat="1" spans="1:8">
      <c r="A455" s="1" t="s">
        <v>14</v>
      </c>
      <c r="B455" s="1" t="s">
        <v>9</v>
      </c>
      <c r="C455" s="1" t="str">
        <f t="shared" si="9"/>
        <v>020083</v>
      </c>
      <c r="D455" s="1" t="str">
        <f>"112101604"</f>
        <v>112101604</v>
      </c>
      <c r="E455" s="1">
        <v>60.5</v>
      </c>
      <c r="F455" s="1">
        <v>75.5</v>
      </c>
      <c r="H455" s="1">
        <v>66.5</v>
      </c>
    </row>
    <row r="456" s="1" customFormat="1" spans="1:8">
      <c r="A456" s="1" t="s">
        <v>14</v>
      </c>
      <c r="B456" s="1" t="s">
        <v>9</v>
      </c>
      <c r="C456" s="1" t="str">
        <f t="shared" si="9"/>
        <v>020083</v>
      </c>
      <c r="D456" s="1" t="str">
        <f>"112101605"</f>
        <v>112101605</v>
      </c>
      <c r="E456" s="1">
        <v>23</v>
      </c>
      <c r="F456" s="1">
        <v>56.5</v>
      </c>
      <c r="H456" s="1">
        <v>36.4</v>
      </c>
    </row>
    <row r="457" s="1" customFormat="1" spans="1:8">
      <c r="A457" s="1" t="s">
        <v>14</v>
      </c>
      <c r="B457" s="1" t="s">
        <v>9</v>
      </c>
      <c r="C457" s="1" t="str">
        <f t="shared" si="9"/>
        <v>020083</v>
      </c>
      <c r="D457" s="1" t="str">
        <f>"112101606"</f>
        <v>112101606</v>
      </c>
      <c r="E457" s="1">
        <v>65.5</v>
      </c>
      <c r="F457" s="1">
        <v>68.5</v>
      </c>
      <c r="H457" s="1">
        <v>66.7</v>
      </c>
    </row>
    <row r="458" s="1" customFormat="1" spans="1:8">
      <c r="A458" s="1" t="s">
        <v>14</v>
      </c>
      <c r="B458" s="1" t="s">
        <v>9</v>
      </c>
      <c r="C458" s="1" t="str">
        <f t="shared" si="9"/>
        <v>020083</v>
      </c>
      <c r="D458" s="1" t="str">
        <f>"112101607"</f>
        <v>112101607</v>
      </c>
      <c r="E458" s="1">
        <v>48</v>
      </c>
      <c r="F458" s="1">
        <v>89.5</v>
      </c>
      <c r="H458" s="1">
        <v>64.6</v>
      </c>
    </row>
    <row r="459" s="1" customFormat="1" spans="1:8">
      <c r="A459" s="1" t="s">
        <v>14</v>
      </c>
      <c r="B459" s="1" t="s">
        <v>9</v>
      </c>
      <c r="C459" s="1" t="str">
        <f t="shared" si="9"/>
        <v>020083</v>
      </c>
      <c r="D459" s="1" t="str">
        <f>"112101608"</f>
        <v>112101608</v>
      </c>
      <c r="E459" s="1">
        <v>71</v>
      </c>
      <c r="F459" s="1">
        <v>88</v>
      </c>
      <c r="H459" s="1">
        <v>77.8</v>
      </c>
    </row>
    <row r="460" s="1" customFormat="1" spans="1:8">
      <c r="A460" s="1" t="s">
        <v>14</v>
      </c>
      <c r="B460" s="1" t="s">
        <v>9</v>
      </c>
      <c r="C460" s="1" t="str">
        <f t="shared" si="9"/>
        <v>020083</v>
      </c>
      <c r="D460" s="1" t="str">
        <f>"112101609"</f>
        <v>112101609</v>
      </c>
      <c r="E460" s="1">
        <v>52.5</v>
      </c>
      <c r="F460" s="1">
        <v>63</v>
      </c>
      <c r="H460" s="1">
        <v>56.7</v>
      </c>
    </row>
    <row r="461" s="1" customFormat="1" spans="1:8">
      <c r="A461" s="1" t="s">
        <v>14</v>
      </c>
      <c r="B461" s="1" t="s">
        <v>9</v>
      </c>
      <c r="C461" s="1" t="str">
        <f t="shared" si="9"/>
        <v>020083</v>
      </c>
      <c r="D461" s="1" t="str">
        <f>"112101610"</f>
        <v>112101610</v>
      </c>
      <c r="E461" s="1">
        <v>30</v>
      </c>
      <c r="F461" s="1">
        <v>53.5</v>
      </c>
      <c r="H461" s="1">
        <v>39.4</v>
      </c>
    </row>
    <row r="462" s="1" customFormat="1" spans="1:8">
      <c r="A462" s="1" t="s">
        <v>14</v>
      </c>
      <c r="B462" s="1" t="s">
        <v>9</v>
      </c>
      <c r="C462" s="1" t="str">
        <f t="shared" si="9"/>
        <v>020083</v>
      </c>
      <c r="D462" s="1" t="str">
        <f>"112101611"</f>
        <v>112101611</v>
      </c>
      <c r="E462" s="1">
        <v>0</v>
      </c>
      <c r="F462" s="1">
        <v>0</v>
      </c>
      <c r="H462" s="1">
        <v>0</v>
      </c>
    </row>
    <row r="463" s="1" customFormat="1" spans="1:8">
      <c r="A463" s="1" t="s">
        <v>14</v>
      </c>
      <c r="B463" s="1" t="s">
        <v>9</v>
      </c>
      <c r="C463" s="1" t="str">
        <f t="shared" si="9"/>
        <v>020083</v>
      </c>
      <c r="D463" s="1" t="str">
        <f>"112101612"</f>
        <v>112101612</v>
      </c>
      <c r="E463" s="1">
        <v>26</v>
      </c>
      <c r="F463" s="1">
        <v>59.5</v>
      </c>
      <c r="H463" s="1">
        <v>39.4</v>
      </c>
    </row>
    <row r="464" s="1" customFormat="1" spans="1:8">
      <c r="A464" s="1" t="s">
        <v>14</v>
      </c>
      <c r="B464" s="1" t="s">
        <v>9</v>
      </c>
      <c r="C464" s="1" t="str">
        <f t="shared" si="9"/>
        <v>020083</v>
      </c>
      <c r="D464" s="1" t="str">
        <f>"112101613"</f>
        <v>112101613</v>
      </c>
      <c r="E464" s="1">
        <v>0</v>
      </c>
      <c r="F464" s="1">
        <v>0</v>
      </c>
      <c r="H464" s="1">
        <v>0</v>
      </c>
    </row>
    <row r="465" s="1" customFormat="1" spans="1:8">
      <c r="A465" s="1" t="s">
        <v>14</v>
      </c>
      <c r="B465" s="1" t="s">
        <v>9</v>
      </c>
      <c r="C465" s="1" t="str">
        <f t="shared" si="9"/>
        <v>020083</v>
      </c>
      <c r="D465" s="1" t="str">
        <f>"112101614"</f>
        <v>112101614</v>
      </c>
      <c r="E465" s="1">
        <v>0</v>
      </c>
      <c r="F465" s="1">
        <v>0</v>
      </c>
      <c r="H465" s="1">
        <v>0</v>
      </c>
    </row>
    <row r="466" s="1" customFormat="1" spans="1:8">
      <c r="A466" s="1" t="s">
        <v>14</v>
      </c>
      <c r="B466" s="1" t="s">
        <v>9</v>
      </c>
      <c r="C466" s="1" t="str">
        <f t="shared" si="9"/>
        <v>020083</v>
      </c>
      <c r="D466" s="1" t="str">
        <f>"112101615"</f>
        <v>112101615</v>
      </c>
      <c r="E466" s="1">
        <v>67</v>
      </c>
      <c r="F466" s="1">
        <v>33</v>
      </c>
      <c r="H466" s="1">
        <v>53.4</v>
      </c>
    </row>
    <row r="467" s="1" customFormat="1" spans="1:8">
      <c r="A467" s="1" t="s">
        <v>14</v>
      </c>
      <c r="B467" s="1" t="s">
        <v>9</v>
      </c>
      <c r="C467" s="1" t="str">
        <f t="shared" si="9"/>
        <v>020083</v>
      </c>
      <c r="D467" s="1" t="str">
        <f>"112101616"</f>
        <v>112101616</v>
      </c>
      <c r="E467" s="1">
        <v>51.5</v>
      </c>
      <c r="F467" s="1">
        <v>74</v>
      </c>
      <c r="H467" s="1">
        <v>60.5</v>
      </c>
    </row>
    <row r="468" s="1" customFormat="1" spans="1:8">
      <c r="A468" s="1" t="s">
        <v>14</v>
      </c>
      <c r="B468" s="1" t="s">
        <v>9</v>
      </c>
      <c r="C468" s="1" t="str">
        <f t="shared" si="9"/>
        <v>020083</v>
      </c>
      <c r="D468" s="1" t="str">
        <f>"112101617"</f>
        <v>112101617</v>
      </c>
      <c r="E468" s="1">
        <v>69</v>
      </c>
      <c r="F468" s="1">
        <v>92</v>
      </c>
      <c r="H468" s="1">
        <v>78.2</v>
      </c>
    </row>
    <row r="469" s="1" customFormat="1" spans="1:8">
      <c r="A469" s="1" t="s">
        <v>14</v>
      </c>
      <c r="B469" s="1" t="s">
        <v>9</v>
      </c>
      <c r="C469" s="1" t="str">
        <f t="shared" si="9"/>
        <v>020083</v>
      </c>
      <c r="D469" s="1" t="str">
        <f>"112101618"</f>
        <v>112101618</v>
      </c>
      <c r="E469" s="1">
        <v>18.5</v>
      </c>
      <c r="F469" s="1">
        <v>56</v>
      </c>
      <c r="H469" s="1">
        <v>33.5</v>
      </c>
    </row>
    <row r="470" s="1" customFormat="1" spans="1:8">
      <c r="A470" s="1" t="s">
        <v>14</v>
      </c>
      <c r="B470" s="1" t="s">
        <v>9</v>
      </c>
      <c r="C470" s="1" t="str">
        <f t="shared" si="9"/>
        <v>020083</v>
      </c>
      <c r="D470" s="1" t="str">
        <f>"112101619"</f>
        <v>112101619</v>
      </c>
      <c r="E470" s="1">
        <v>52</v>
      </c>
      <c r="F470" s="1">
        <v>79.5</v>
      </c>
      <c r="H470" s="1">
        <v>63</v>
      </c>
    </row>
    <row r="471" s="1" customFormat="1" spans="1:8">
      <c r="A471" s="1" t="s">
        <v>14</v>
      </c>
      <c r="B471" s="1" t="s">
        <v>9</v>
      </c>
      <c r="C471" s="1" t="str">
        <f t="shared" si="9"/>
        <v>020083</v>
      </c>
      <c r="D471" s="1" t="str">
        <f>"112101620"</f>
        <v>112101620</v>
      </c>
      <c r="E471" s="1">
        <v>53.5</v>
      </c>
      <c r="F471" s="1">
        <v>59</v>
      </c>
      <c r="H471" s="1">
        <v>55.7</v>
      </c>
    </row>
    <row r="472" s="1" customFormat="1" spans="1:8">
      <c r="A472" s="1" t="s">
        <v>14</v>
      </c>
      <c r="B472" s="1" t="s">
        <v>9</v>
      </c>
      <c r="C472" s="1" t="str">
        <f t="shared" si="9"/>
        <v>020083</v>
      </c>
      <c r="D472" s="1" t="str">
        <f>"112101621"</f>
        <v>112101621</v>
      </c>
      <c r="E472" s="1">
        <v>0</v>
      </c>
      <c r="F472" s="1">
        <v>0</v>
      </c>
      <c r="H472" s="1">
        <v>0</v>
      </c>
    </row>
    <row r="473" s="1" customFormat="1" spans="1:8">
      <c r="A473" s="1" t="s">
        <v>14</v>
      </c>
      <c r="B473" s="1" t="s">
        <v>9</v>
      </c>
      <c r="C473" s="1" t="str">
        <f t="shared" si="9"/>
        <v>020083</v>
      </c>
      <c r="D473" s="1" t="str">
        <f>"112101622"</f>
        <v>112101622</v>
      </c>
      <c r="E473" s="1">
        <v>67.5</v>
      </c>
      <c r="F473" s="1">
        <v>80</v>
      </c>
      <c r="H473" s="1">
        <v>72.5</v>
      </c>
    </row>
    <row r="474" s="1" customFormat="1" spans="1:8">
      <c r="A474" s="1" t="s">
        <v>14</v>
      </c>
      <c r="B474" s="1" t="s">
        <v>9</v>
      </c>
      <c r="C474" s="1" t="str">
        <f t="shared" si="9"/>
        <v>020083</v>
      </c>
      <c r="D474" s="1" t="str">
        <f>"112101623"</f>
        <v>112101623</v>
      </c>
      <c r="E474" s="1">
        <v>83</v>
      </c>
      <c r="F474" s="1">
        <v>86</v>
      </c>
      <c r="H474" s="1">
        <v>84.2</v>
      </c>
    </row>
    <row r="475" s="1" customFormat="1" spans="1:8">
      <c r="A475" s="1" t="s">
        <v>14</v>
      </c>
      <c r="B475" s="1" t="s">
        <v>9</v>
      </c>
      <c r="C475" s="1" t="str">
        <f t="shared" ref="C475:C538" si="10">"020083"</f>
        <v>020083</v>
      </c>
      <c r="D475" s="1" t="str">
        <f>"112101624"</f>
        <v>112101624</v>
      </c>
      <c r="E475" s="1">
        <v>56.5</v>
      </c>
      <c r="F475" s="1">
        <v>59.5</v>
      </c>
      <c r="H475" s="1">
        <v>57.7</v>
      </c>
    </row>
    <row r="476" s="1" customFormat="1" spans="1:8">
      <c r="A476" s="1" t="s">
        <v>14</v>
      </c>
      <c r="B476" s="1" t="s">
        <v>9</v>
      </c>
      <c r="C476" s="1" t="str">
        <f t="shared" si="10"/>
        <v>020083</v>
      </c>
      <c r="D476" s="1" t="str">
        <f>"112101625"</f>
        <v>112101625</v>
      </c>
      <c r="E476" s="1">
        <v>31.5</v>
      </c>
      <c r="F476" s="1">
        <v>59.5</v>
      </c>
      <c r="H476" s="1">
        <v>42.7</v>
      </c>
    </row>
    <row r="477" s="1" customFormat="1" spans="1:8">
      <c r="A477" s="1" t="s">
        <v>14</v>
      </c>
      <c r="B477" s="1" t="s">
        <v>9</v>
      </c>
      <c r="C477" s="1" t="str">
        <f t="shared" si="10"/>
        <v>020083</v>
      </c>
      <c r="D477" s="1" t="str">
        <f>"112101626"</f>
        <v>112101626</v>
      </c>
      <c r="E477" s="1">
        <v>66.5</v>
      </c>
      <c r="F477" s="1">
        <v>75.5</v>
      </c>
      <c r="H477" s="1">
        <v>70.1</v>
      </c>
    </row>
    <row r="478" s="1" customFormat="1" spans="1:8">
      <c r="A478" s="1" t="s">
        <v>14</v>
      </c>
      <c r="B478" s="1" t="s">
        <v>9</v>
      </c>
      <c r="C478" s="1" t="str">
        <f t="shared" si="10"/>
        <v>020083</v>
      </c>
      <c r="D478" s="1" t="str">
        <f>"112101627"</f>
        <v>112101627</v>
      </c>
      <c r="E478" s="1">
        <v>85</v>
      </c>
      <c r="F478" s="1">
        <v>96.5</v>
      </c>
      <c r="H478" s="1">
        <v>89.6</v>
      </c>
    </row>
    <row r="479" s="1" customFormat="1" spans="1:8">
      <c r="A479" s="1" t="s">
        <v>14</v>
      </c>
      <c r="B479" s="1" t="s">
        <v>9</v>
      </c>
      <c r="C479" s="1" t="str">
        <f t="shared" si="10"/>
        <v>020083</v>
      </c>
      <c r="D479" s="1" t="str">
        <f>"112101628"</f>
        <v>112101628</v>
      </c>
      <c r="E479" s="1">
        <v>56</v>
      </c>
      <c r="F479" s="1">
        <v>72</v>
      </c>
      <c r="H479" s="1">
        <v>62.4</v>
      </c>
    </row>
    <row r="480" s="1" customFormat="1" spans="1:8">
      <c r="A480" s="1" t="s">
        <v>14</v>
      </c>
      <c r="B480" s="1" t="s">
        <v>9</v>
      </c>
      <c r="C480" s="1" t="str">
        <f t="shared" si="10"/>
        <v>020083</v>
      </c>
      <c r="D480" s="1" t="str">
        <f>"112101629"</f>
        <v>112101629</v>
      </c>
      <c r="E480" s="1">
        <v>37</v>
      </c>
      <c r="F480" s="1">
        <v>75</v>
      </c>
      <c r="H480" s="1">
        <v>52.2</v>
      </c>
    </row>
    <row r="481" s="1" customFormat="1" spans="1:8">
      <c r="A481" s="1" t="s">
        <v>14</v>
      </c>
      <c r="B481" s="1" t="s">
        <v>9</v>
      </c>
      <c r="C481" s="1" t="str">
        <f t="shared" si="10"/>
        <v>020083</v>
      </c>
      <c r="D481" s="1" t="str">
        <f>"112101630"</f>
        <v>112101630</v>
      </c>
      <c r="E481" s="1">
        <v>92</v>
      </c>
      <c r="F481" s="1">
        <v>97</v>
      </c>
      <c r="H481" s="1">
        <v>94</v>
      </c>
    </row>
    <row r="482" s="1" customFormat="1" spans="1:8">
      <c r="A482" s="1" t="s">
        <v>14</v>
      </c>
      <c r="B482" s="1" t="s">
        <v>9</v>
      </c>
      <c r="C482" s="1" t="str">
        <f t="shared" si="10"/>
        <v>020083</v>
      </c>
      <c r="D482" s="1" t="str">
        <f>"112101701"</f>
        <v>112101701</v>
      </c>
      <c r="E482" s="1">
        <v>58.5</v>
      </c>
      <c r="F482" s="1">
        <v>82.5</v>
      </c>
      <c r="H482" s="1">
        <v>68.1</v>
      </c>
    </row>
    <row r="483" s="1" customFormat="1" spans="1:8">
      <c r="A483" s="1" t="s">
        <v>14</v>
      </c>
      <c r="B483" s="1" t="s">
        <v>9</v>
      </c>
      <c r="C483" s="1" t="str">
        <f t="shared" si="10"/>
        <v>020083</v>
      </c>
      <c r="D483" s="1" t="str">
        <f>"112101702"</f>
        <v>112101702</v>
      </c>
      <c r="E483" s="1">
        <v>35</v>
      </c>
      <c r="F483" s="1">
        <v>56.5</v>
      </c>
      <c r="H483" s="1">
        <v>43.6</v>
      </c>
    </row>
    <row r="484" s="1" customFormat="1" spans="1:8">
      <c r="A484" s="1" t="s">
        <v>14</v>
      </c>
      <c r="B484" s="1" t="s">
        <v>9</v>
      </c>
      <c r="C484" s="1" t="str">
        <f t="shared" si="10"/>
        <v>020083</v>
      </c>
      <c r="D484" s="1" t="str">
        <f>"112101703"</f>
        <v>112101703</v>
      </c>
      <c r="E484" s="1">
        <v>48</v>
      </c>
      <c r="F484" s="1">
        <v>63</v>
      </c>
      <c r="H484" s="1">
        <v>54</v>
      </c>
    </row>
    <row r="485" s="1" customFormat="1" spans="1:8">
      <c r="A485" s="1" t="s">
        <v>14</v>
      </c>
      <c r="B485" s="1" t="s">
        <v>9</v>
      </c>
      <c r="C485" s="1" t="str">
        <f t="shared" si="10"/>
        <v>020083</v>
      </c>
      <c r="D485" s="1" t="str">
        <f>"112101704"</f>
        <v>112101704</v>
      </c>
      <c r="E485" s="1">
        <v>30.5</v>
      </c>
      <c r="F485" s="1">
        <v>48</v>
      </c>
      <c r="H485" s="1">
        <v>37.5</v>
      </c>
    </row>
    <row r="486" s="1" customFormat="1" spans="1:8">
      <c r="A486" s="1" t="s">
        <v>14</v>
      </c>
      <c r="B486" s="1" t="s">
        <v>9</v>
      </c>
      <c r="C486" s="1" t="str">
        <f t="shared" si="10"/>
        <v>020083</v>
      </c>
      <c r="D486" s="1" t="str">
        <f>"112101705"</f>
        <v>112101705</v>
      </c>
      <c r="E486" s="1">
        <v>49</v>
      </c>
      <c r="F486" s="1">
        <v>74.5</v>
      </c>
      <c r="H486" s="1">
        <v>59.2</v>
      </c>
    </row>
    <row r="487" s="1" customFormat="1" spans="1:8">
      <c r="A487" s="1" t="s">
        <v>14</v>
      </c>
      <c r="B487" s="1" t="s">
        <v>9</v>
      </c>
      <c r="C487" s="1" t="str">
        <f t="shared" si="10"/>
        <v>020083</v>
      </c>
      <c r="D487" s="1" t="str">
        <f>"112101706"</f>
        <v>112101706</v>
      </c>
      <c r="E487" s="1">
        <v>54.5</v>
      </c>
      <c r="F487" s="1">
        <v>51</v>
      </c>
      <c r="H487" s="1">
        <v>53.1</v>
      </c>
    </row>
    <row r="488" s="1" customFormat="1" spans="1:8">
      <c r="A488" s="1" t="s">
        <v>14</v>
      </c>
      <c r="B488" s="1" t="s">
        <v>9</v>
      </c>
      <c r="C488" s="1" t="str">
        <f t="shared" si="10"/>
        <v>020083</v>
      </c>
      <c r="D488" s="1" t="str">
        <f>"112101707"</f>
        <v>112101707</v>
      </c>
      <c r="E488" s="1">
        <v>46.5</v>
      </c>
      <c r="F488" s="1">
        <v>74.5</v>
      </c>
      <c r="H488" s="1">
        <v>57.7</v>
      </c>
    </row>
    <row r="489" s="1" customFormat="1" spans="1:8">
      <c r="A489" s="1" t="s">
        <v>14</v>
      </c>
      <c r="B489" s="1" t="s">
        <v>9</v>
      </c>
      <c r="C489" s="1" t="str">
        <f t="shared" si="10"/>
        <v>020083</v>
      </c>
      <c r="D489" s="1" t="str">
        <f>"112101708"</f>
        <v>112101708</v>
      </c>
      <c r="E489" s="1">
        <v>97.5</v>
      </c>
      <c r="F489" s="1">
        <v>98.5</v>
      </c>
      <c r="H489" s="1">
        <v>97.9</v>
      </c>
    </row>
    <row r="490" s="1" customFormat="1" spans="1:8">
      <c r="A490" s="1" t="s">
        <v>14</v>
      </c>
      <c r="B490" s="1" t="s">
        <v>9</v>
      </c>
      <c r="C490" s="1" t="str">
        <f t="shared" si="10"/>
        <v>020083</v>
      </c>
      <c r="D490" s="1" t="str">
        <f>"112101709"</f>
        <v>112101709</v>
      </c>
      <c r="E490" s="1">
        <v>11.5</v>
      </c>
      <c r="F490" s="1">
        <v>51</v>
      </c>
      <c r="H490" s="1">
        <v>27.3</v>
      </c>
    </row>
    <row r="491" s="1" customFormat="1" spans="1:8">
      <c r="A491" s="1" t="s">
        <v>14</v>
      </c>
      <c r="B491" s="1" t="s">
        <v>9</v>
      </c>
      <c r="C491" s="1" t="str">
        <f t="shared" si="10"/>
        <v>020083</v>
      </c>
      <c r="D491" s="1" t="str">
        <f>"112101710"</f>
        <v>112101710</v>
      </c>
      <c r="E491" s="1">
        <v>65</v>
      </c>
      <c r="F491" s="1">
        <v>80.5</v>
      </c>
      <c r="H491" s="1">
        <v>71.2</v>
      </c>
    </row>
    <row r="492" s="1" customFormat="1" spans="1:8">
      <c r="A492" s="1" t="s">
        <v>14</v>
      </c>
      <c r="B492" s="1" t="s">
        <v>9</v>
      </c>
      <c r="C492" s="1" t="str">
        <f t="shared" si="10"/>
        <v>020083</v>
      </c>
      <c r="D492" s="1" t="str">
        <f>"112101711"</f>
        <v>112101711</v>
      </c>
      <c r="E492" s="1">
        <v>31.5</v>
      </c>
      <c r="F492" s="1">
        <v>0</v>
      </c>
      <c r="H492" s="1">
        <v>18.9</v>
      </c>
    </row>
    <row r="493" s="1" customFormat="1" spans="1:8">
      <c r="A493" s="1" t="s">
        <v>14</v>
      </c>
      <c r="B493" s="1" t="s">
        <v>9</v>
      </c>
      <c r="C493" s="1" t="str">
        <f t="shared" si="10"/>
        <v>020083</v>
      </c>
      <c r="D493" s="1" t="str">
        <f>"112101712"</f>
        <v>112101712</v>
      </c>
      <c r="E493" s="1">
        <v>74</v>
      </c>
      <c r="F493" s="1">
        <v>67</v>
      </c>
      <c r="H493" s="1">
        <v>71.2</v>
      </c>
    </row>
    <row r="494" s="1" customFormat="1" spans="1:8">
      <c r="A494" s="1" t="s">
        <v>14</v>
      </c>
      <c r="B494" s="1" t="s">
        <v>9</v>
      </c>
      <c r="C494" s="1" t="str">
        <f t="shared" si="10"/>
        <v>020083</v>
      </c>
      <c r="D494" s="1" t="str">
        <f>"112101713"</f>
        <v>112101713</v>
      </c>
      <c r="E494" s="1">
        <v>60</v>
      </c>
      <c r="F494" s="1">
        <v>67</v>
      </c>
      <c r="H494" s="1">
        <v>62.8</v>
      </c>
    </row>
    <row r="495" s="1" customFormat="1" spans="1:8">
      <c r="A495" s="1" t="s">
        <v>14</v>
      </c>
      <c r="B495" s="1" t="s">
        <v>9</v>
      </c>
      <c r="C495" s="1" t="str">
        <f t="shared" si="10"/>
        <v>020083</v>
      </c>
      <c r="D495" s="1" t="str">
        <f>"112101714"</f>
        <v>112101714</v>
      </c>
      <c r="E495" s="1">
        <v>49</v>
      </c>
      <c r="F495" s="1">
        <v>67.5</v>
      </c>
      <c r="H495" s="1">
        <v>56.4</v>
      </c>
    </row>
    <row r="496" s="1" customFormat="1" spans="1:8">
      <c r="A496" s="1" t="s">
        <v>14</v>
      </c>
      <c r="B496" s="1" t="s">
        <v>9</v>
      </c>
      <c r="C496" s="1" t="str">
        <f t="shared" si="10"/>
        <v>020083</v>
      </c>
      <c r="D496" s="1" t="str">
        <f>"112101715"</f>
        <v>112101715</v>
      </c>
      <c r="E496" s="1">
        <v>43.5</v>
      </c>
      <c r="F496" s="1">
        <v>0</v>
      </c>
      <c r="H496" s="1">
        <v>26.1</v>
      </c>
    </row>
    <row r="497" s="1" customFormat="1" spans="1:8">
      <c r="A497" s="1" t="s">
        <v>14</v>
      </c>
      <c r="B497" s="1" t="s">
        <v>9</v>
      </c>
      <c r="C497" s="1" t="str">
        <f t="shared" si="10"/>
        <v>020083</v>
      </c>
      <c r="D497" s="1" t="str">
        <f>"112101716"</f>
        <v>112101716</v>
      </c>
      <c r="E497" s="1">
        <v>38</v>
      </c>
      <c r="F497" s="1">
        <v>63.5</v>
      </c>
      <c r="H497" s="1">
        <v>48.2</v>
      </c>
    </row>
    <row r="498" s="1" customFormat="1" spans="1:8">
      <c r="A498" s="1" t="s">
        <v>14</v>
      </c>
      <c r="B498" s="1" t="s">
        <v>9</v>
      </c>
      <c r="C498" s="1" t="str">
        <f t="shared" si="10"/>
        <v>020083</v>
      </c>
      <c r="D498" s="1" t="str">
        <f>"112101717"</f>
        <v>112101717</v>
      </c>
      <c r="E498" s="1">
        <v>58.5</v>
      </c>
      <c r="F498" s="1">
        <v>62</v>
      </c>
      <c r="H498" s="1">
        <v>59.9</v>
      </c>
    </row>
    <row r="499" s="1" customFormat="1" spans="1:8">
      <c r="A499" s="1" t="s">
        <v>14</v>
      </c>
      <c r="B499" s="1" t="s">
        <v>9</v>
      </c>
      <c r="C499" s="1" t="str">
        <f t="shared" si="10"/>
        <v>020083</v>
      </c>
      <c r="D499" s="1" t="str">
        <f>"112101718"</f>
        <v>112101718</v>
      </c>
      <c r="E499" s="1">
        <v>84.5</v>
      </c>
      <c r="F499" s="1">
        <v>84</v>
      </c>
      <c r="H499" s="1">
        <v>84.3</v>
      </c>
    </row>
    <row r="500" s="1" customFormat="1" spans="1:8">
      <c r="A500" s="1" t="s">
        <v>14</v>
      </c>
      <c r="B500" s="1" t="s">
        <v>9</v>
      </c>
      <c r="C500" s="1" t="str">
        <f t="shared" si="10"/>
        <v>020083</v>
      </c>
      <c r="D500" s="1" t="str">
        <f>"112101719"</f>
        <v>112101719</v>
      </c>
      <c r="E500" s="1">
        <v>41.5</v>
      </c>
      <c r="F500" s="1">
        <v>78</v>
      </c>
      <c r="H500" s="1">
        <v>56.1</v>
      </c>
    </row>
    <row r="501" s="1" customFormat="1" spans="1:8">
      <c r="A501" s="1" t="s">
        <v>14</v>
      </c>
      <c r="B501" s="1" t="s">
        <v>9</v>
      </c>
      <c r="C501" s="1" t="str">
        <f t="shared" si="10"/>
        <v>020083</v>
      </c>
      <c r="D501" s="1" t="str">
        <f>"112101720"</f>
        <v>112101720</v>
      </c>
      <c r="E501" s="1">
        <v>55.5</v>
      </c>
      <c r="F501" s="1">
        <v>64.5</v>
      </c>
      <c r="H501" s="1">
        <v>59.1</v>
      </c>
    </row>
    <row r="502" s="1" customFormat="1" spans="1:8">
      <c r="A502" s="1" t="s">
        <v>14</v>
      </c>
      <c r="B502" s="1" t="s">
        <v>9</v>
      </c>
      <c r="C502" s="1" t="str">
        <f t="shared" si="10"/>
        <v>020083</v>
      </c>
      <c r="D502" s="1" t="str">
        <f>"112101721"</f>
        <v>112101721</v>
      </c>
      <c r="E502" s="1">
        <v>74</v>
      </c>
      <c r="F502" s="1">
        <v>96.5</v>
      </c>
      <c r="H502" s="1">
        <v>83</v>
      </c>
    </row>
    <row r="503" s="1" customFormat="1" spans="1:8">
      <c r="A503" s="1" t="s">
        <v>14</v>
      </c>
      <c r="B503" s="1" t="s">
        <v>9</v>
      </c>
      <c r="C503" s="1" t="str">
        <f t="shared" si="10"/>
        <v>020083</v>
      </c>
      <c r="D503" s="1" t="str">
        <f>"112101722"</f>
        <v>112101722</v>
      </c>
      <c r="E503" s="1">
        <v>39</v>
      </c>
      <c r="F503" s="1">
        <v>60.5</v>
      </c>
      <c r="H503" s="1">
        <v>47.6</v>
      </c>
    </row>
    <row r="504" s="1" customFormat="1" spans="1:8">
      <c r="A504" s="1" t="s">
        <v>14</v>
      </c>
      <c r="B504" s="1" t="s">
        <v>9</v>
      </c>
      <c r="C504" s="1" t="str">
        <f t="shared" si="10"/>
        <v>020083</v>
      </c>
      <c r="D504" s="1" t="str">
        <f>"112101723"</f>
        <v>112101723</v>
      </c>
      <c r="E504" s="1">
        <v>0</v>
      </c>
      <c r="F504" s="1">
        <v>0</v>
      </c>
      <c r="H504" s="1">
        <v>0</v>
      </c>
    </row>
    <row r="505" s="1" customFormat="1" spans="1:8">
      <c r="A505" s="1" t="s">
        <v>14</v>
      </c>
      <c r="B505" s="1" t="s">
        <v>9</v>
      </c>
      <c r="C505" s="1" t="str">
        <f t="shared" si="10"/>
        <v>020083</v>
      </c>
      <c r="D505" s="1" t="str">
        <f>"112101724"</f>
        <v>112101724</v>
      </c>
      <c r="E505" s="1">
        <v>75.5</v>
      </c>
      <c r="F505" s="1">
        <v>81.5</v>
      </c>
      <c r="H505" s="1">
        <v>77.9</v>
      </c>
    </row>
    <row r="506" s="1" customFormat="1" spans="1:8">
      <c r="A506" s="1" t="s">
        <v>14</v>
      </c>
      <c r="B506" s="1" t="s">
        <v>9</v>
      </c>
      <c r="C506" s="1" t="str">
        <f t="shared" si="10"/>
        <v>020083</v>
      </c>
      <c r="D506" s="1" t="str">
        <f>"112101725"</f>
        <v>112101725</v>
      </c>
      <c r="E506" s="1">
        <v>34</v>
      </c>
      <c r="F506" s="1">
        <v>70.5</v>
      </c>
      <c r="H506" s="1">
        <v>48.6</v>
      </c>
    </row>
    <row r="507" s="1" customFormat="1" spans="1:8">
      <c r="A507" s="1" t="s">
        <v>14</v>
      </c>
      <c r="B507" s="1" t="s">
        <v>9</v>
      </c>
      <c r="C507" s="1" t="str">
        <f t="shared" si="10"/>
        <v>020083</v>
      </c>
      <c r="D507" s="1" t="str">
        <f>"112101726"</f>
        <v>112101726</v>
      </c>
      <c r="E507" s="1">
        <v>46.5</v>
      </c>
      <c r="F507" s="1">
        <v>0</v>
      </c>
      <c r="H507" s="1">
        <v>27.9</v>
      </c>
    </row>
    <row r="508" s="1" customFormat="1" spans="1:8">
      <c r="A508" s="1" t="s">
        <v>14</v>
      </c>
      <c r="B508" s="1" t="s">
        <v>9</v>
      </c>
      <c r="C508" s="1" t="str">
        <f t="shared" si="10"/>
        <v>020083</v>
      </c>
      <c r="D508" s="1" t="str">
        <f>"112101727"</f>
        <v>112101727</v>
      </c>
      <c r="E508" s="1">
        <v>47.5</v>
      </c>
      <c r="F508" s="1">
        <v>72.5</v>
      </c>
      <c r="H508" s="1">
        <v>57.5</v>
      </c>
    </row>
    <row r="509" s="1" customFormat="1" spans="1:8">
      <c r="A509" s="1" t="s">
        <v>14</v>
      </c>
      <c r="B509" s="1" t="s">
        <v>9</v>
      </c>
      <c r="C509" s="1" t="str">
        <f t="shared" si="10"/>
        <v>020083</v>
      </c>
      <c r="D509" s="1" t="str">
        <f>"112101728"</f>
        <v>112101728</v>
      </c>
      <c r="E509" s="1">
        <v>50</v>
      </c>
      <c r="F509" s="1">
        <v>71.5</v>
      </c>
      <c r="H509" s="1">
        <v>58.6</v>
      </c>
    </row>
    <row r="510" s="1" customFormat="1" spans="1:8">
      <c r="A510" s="1" t="s">
        <v>14</v>
      </c>
      <c r="B510" s="1" t="s">
        <v>9</v>
      </c>
      <c r="C510" s="1" t="str">
        <f t="shared" si="10"/>
        <v>020083</v>
      </c>
      <c r="D510" s="1" t="str">
        <f>"112101729"</f>
        <v>112101729</v>
      </c>
      <c r="E510" s="1">
        <v>26.5</v>
      </c>
      <c r="F510" s="1">
        <v>36.5</v>
      </c>
      <c r="H510" s="1">
        <v>30.5</v>
      </c>
    </row>
    <row r="511" s="1" customFormat="1" spans="1:8">
      <c r="A511" s="1" t="s">
        <v>14</v>
      </c>
      <c r="B511" s="1" t="s">
        <v>9</v>
      </c>
      <c r="C511" s="1" t="str">
        <f t="shared" si="10"/>
        <v>020083</v>
      </c>
      <c r="D511" s="1" t="str">
        <f>"112101730"</f>
        <v>112101730</v>
      </c>
      <c r="E511" s="1">
        <v>61.5</v>
      </c>
      <c r="F511" s="1">
        <v>66</v>
      </c>
      <c r="H511" s="1">
        <v>63.3</v>
      </c>
    </row>
    <row r="512" s="1" customFormat="1" spans="1:8">
      <c r="A512" s="1" t="s">
        <v>14</v>
      </c>
      <c r="B512" s="1" t="s">
        <v>9</v>
      </c>
      <c r="C512" s="1" t="str">
        <f t="shared" si="10"/>
        <v>020083</v>
      </c>
      <c r="D512" s="1" t="str">
        <f>"112101801"</f>
        <v>112101801</v>
      </c>
      <c r="E512" s="1">
        <v>0</v>
      </c>
      <c r="F512" s="1">
        <v>0</v>
      </c>
      <c r="H512" s="1">
        <v>0</v>
      </c>
    </row>
    <row r="513" s="1" customFormat="1" spans="1:8">
      <c r="A513" s="1" t="s">
        <v>14</v>
      </c>
      <c r="B513" s="1" t="s">
        <v>9</v>
      </c>
      <c r="C513" s="1" t="str">
        <f t="shared" si="10"/>
        <v>020083</v>
      </c>
      <c r="D513" s="1" t="str">
        <f>"112101802"</f>
        <v>112101802</v>
      </c>
      <c r="E513" s="1">
        <v>60</v>
      </c>
      <c r="F513" s="1">
        <v>74.5</v>
      </c>
      <c r="H513" s="1">
        <v>65.8</v>
      </c>
    </row>
    <row r="514" s="1" customFormat="1" spans="1:8">
      <c r="A514" s="1" t="s">
        <v>14</v>
      </c>
      <c r="B514" s="1" t="s">
        <v>9</v>
      </c>
      <c r="C514" s="1" t="str">
        <f t="shared" si="10"/>
        <v>020083</v>
      </c>
      <c r="D514" s="1" t="str">
        <f>"112101803"</f>
        <v>112101803</v>
      </c>
      <c r="E514" s="1">
        <v>39</v>
      </c>
      <c r="F514" s="1">
        <v>58</v>
      </c>
      <c r="H514" s="1">
        <v>46.6</v>
      </c>
    </row>
    <row r="515" s="1" customFormat="1" spans="1:8">
      <c r="A515" s="1" t="s">
        <v>14</v>
      </c>
      <c r="B515" s="1" t="s">
        <v>9</v>
      </c>
      <c r="C515" s="1" t="str">
        <f t="shared" si="10"/>
        <v>020083</v>
      </c>
      <c r="D515" s="1" t="str">
        <f>"112101804"</f>
        <v>112101804</v>
      </c>
      <c r="E515" s="1">
        <v>30.5</v>
      </c>
      <c r="F515" s="1">
        <v>49</v>
      </c>
      <c r="H515" s="1">
        <v>37.9</v>
      </c>
    </row>
    <row r="516" s="1" customFormat="1" spans="1:8">
      <c r="A516" s="1" t="s">
        <v>14</v>
      </c>
      <c r="B516" s="1" t="s">
        <v>9</v>
      </c>
      <c r="C516" s="1" t="str">
        <f t="shared" si="10"/>
        <v>020083</v>
      </c>
      <c r="D516" s="1" t="str">
        <f>"112101805"</f>
        <v>112101805</v>
      </c>
      <c r="E516" s="1">
        <v>90</v>
      </c>
      <c r="F516" s="1">
        <v>79</v>
      </c>
      <c r="H516" s="1">
        <v>85.6</v>
      </c>
    </row>
    <row r="517" s="1" customFormat="1" spans="1:8">
      <c r="A517" s="1" t="s">
        <v>14</v>
      </c>
      <c r="B517" s="1" t="s">
        <v>9</v>
      </c>
      <c r="C517" s="1" t="str">
        <f t="shared" si="10"/>
        <v>020083</v>
      </c>
      <c r="D517" s="1" t="str">
        <f>"112101806"</f>
        <v>112101806</v>
      </c>
      <c r="E517" s="1">
        <v>57</v>
      </c>
      <c r="F517" s="1">
        <v>73.5</v>
      </c>
      <c r="H517" s="1">
        <v>63.6</v>
      </c>
    </row>
    <row r="518" s="1" customFormat="1" spans="1:8">
      <c r="A518" s="1" t="s">
        <v>14</v>
      </c>
      <c r="B518" s="1" t="s">
        <v>9</v>
      </c>
      <c r="C518" s="1" t="str">
        <f t="shared" si="10"/>
        <v>020083</v>
      </c>
      <c r="D518" s="1" t="str">
        <f>"112101807"</f>
        <v>112101807</v>
      </c>
      <c r="E518" s="1">
        <v>70.5</v>
      </c>
      <c r="F518" s="1">
        <v>65</v>
      </c>
      <c r="H518" s="1">
        <v>68.3</v>
      </c>
    </row>
    <row r="519" s="1" customFormat="1" spans="1:8">
      <c r="A519" s="1" t="s">
        <v>14</v>
      </c>
      <c r="B519" s="1" t="s">
        <v>9</v>
      </c>
      <c r="C519" s="1" t="str">
        <f t="shared" si="10"/>
        <v>020083</v>
      </c>
      <c r="D519" s="1" t="str">
        <f>"112101808"</f>
        <v>112101808</v>
      </c>
      <c r="E519" s="1">
        <v>95.5</v>
      </c>
      <c r="F519" s="1">
        <v>83.5</v>
      </c>
      <c r="H519" s="1">
        <v>90.7</v>
      </c>
    </row>
    <row r="520" s="1" customFormat="1" spans="1:8">
      <c r="A520" s="1" t="s">
        <v>14</v>
      </c>
      <c r="B520" s="1" t="s">
        <v>9</v>
      </c>
      <c r="C520" s="1" t="str">
        <f t="shared" si="10"/>
        <v>020083</v>
      </c>
      <c r="D520" s="1" t="str">
        <f>"112101809"</f>
        <v>112101809</v>
      </c>
      <c r="E520" s="1">
        <v>66</v>
      </c>
      <c r="F520" s="1">
        <v>68.5</v>
      </c>
      <c r="H520" s="1">
        <v>67</v>
      </c>
    </row>
    <row r="521" s="1" customFormat="1" spans="1:8">
      <c r="A521" s="1" t="s">
        <v>14</v>
      </c>
      <c r="B521" s="1" t="s">
        <v>9</v>
      </c>
      <c r="C521" s="1" t="str">
        <f t="shared" si="10"/>
        <v>020083</v>
      </c>
      <c r="D521" s="1" t="str">
        <f>"112101810"</f>
        <v>112101810</v>
      </c>
      <c r="E521" s="1">
        <v>0</v>
      </c>
      <c r="F521" s="1">
        <v>0</v>
      </c>
      <c r="H521" s="1">
        <v>0</v>
      </c>
    </row>
    <row r="522" s="1" customFormat="1" spans="1:8">
      <c r="A522" s="1" t="s">
        <v>14</v>
      </c>
      <c r="B522" s="1" t="s">
        <v>9</v>
      </c>
      <c r="C522" s="1" t="str">
        <f t="shared" si="10"/>
        <v>020083</v>
      </c>
      <c r="D522" s="1" t="str">
        <f>"112101811"</f>
        <v>112101811</v>
      </c>
      <c r="E522" s="1">
        <v>48.5</v>
      </c>
      <c r="F522" s="1">
        <v>73.5</v>
      </c>
      <c r="H522" s="1">
        <v>58.5</v>
      </c>
    </row>
    <row r="523" s="1" customFormat="1" spans="1:8">
      <c r="A523" s="1" t="s">
        <v>14</v>
      </c>
      <c r="B523" s="1" t="s">
        <v>9</v>
      </c>
      <c r="C523" s="1" t="str">
        <f t="shared" si="10"/>
        <v>020083</v>
      </c>
      <c r="D523" s="1" t="str">
        <f>"112101812"</f>
        <v>112101812</v>
      </c>
      <c r="E523" s="1">
        <v>0</v>
      </c>
      <c r="F523" s="1">
        <v>0</v>
      </c>
      <c r="H523" s="1">
        <v>0</v>
      </c>
    </row>
    <row r="524" s="1" customFormat="1" spans="1:8">
      <c r="A524" s="1" t="s">
        <v>14</v>
      </c>
      <c r="B524" s="1" t="s">
        <v>9</v>
      </c>
      <c r="C524" s="1" t="str">
        <f t="shared" si="10"/>
        <v>020083</v>
      </c>
      <c r="D524" s="1" t="str">
        <f>"112101813"</f>
        <v>112101813</v>
      </c>
      <c r="E524" s="1">
        <v>73</v>
      </c>
      <c r="F524" s="1">
        <v>70</v>
      </c>
      <c r="H524" s="1">
        <v>71.8</v>
      </c>
    </row>
    <row r="525" s="1" customFormat="1" spans="1:8">
      <c r="A525" s="1" t="s">
        <v>14</v>
      </c>
      <c r="B525" s="1" t="s">
        <v>9</v>
      </c>
      <c r="C525" s="1" t="str">
        <f t="shared" si="10"/>
        <v>020083</v>
      </c>
      <c r="D525" s="1" t="str">
        <f>"112101814"</f>
        <v>112101814</v>
      </c>
      <c r="E525" s="1">
        <v>0</v>
      </c>
      <c r="F525" s="1">
        <v>0</v>
      </c>
      <c r="H525" s="1">
        <v>0</v>
      </c>
    </row>
    <row r="526" s="1" customFormat="1" spans="1:8">
      <c r="A526" s="1" t="s">
        <v>14</v>
      </c>
      <c r="B526" s="1" t="s">
        <v>9</v>
      </c>
      <c r="C526" s="1" t="str">
        <f t="shared" si="10"/>
        <v>020083</v>
      </c>
      <c r="D526" s="1" t="str">
        <f>"112101815"</f>
        <v>112101815</v>
      </c>
      <c r="E526" s="1">
        <v>0</v>
      </c>
      <c r="F526" s="1">
        <v>0</v>
      </c>
      <c r="H526" s="1">
        <v>0</v>
      </c>
    </row>
    <row r="527" s="1" customFormat="1" spans="1:8">
      <c r="A527" s="1" t="s">
        <v>14</v>
      </c>
      <c r="B527" s="1" t="s">
        <v>9</v>
      </c>
      <c r="C527" s="1" t="str">
        <f t="shared" si="10"/>
        <v>020083</v>
      </c>
      <c r="D527" s="1" t="str">
        <f>"112101816"</f>
        <v>112101816</v>
      </c>
      <c r="E527" s="1">
        <v>0</v>
      </c>
      <c r="F527" s="1">
        <v>0</v>
      </c>
      <c r="H527" s="1">
        <v>0</v>
      </c>
    </row>
    <row r="528" s="1" customFormat="1" spans="1:8">
      <c r="A528" s="1" t="s">
        <v>14</v>
      </c>
      <c r="B528" s="1" t="s">
        <v>9</v>
      </c>
      <c r="C528" s="1" t="str">
        <f t="shared" si="10"/>
        <v>020083</v>
      </c>
      <c r="D528" s="1" t="str">
        <f>"112101817"</f>
        <v>112101817</v>
      </c>
      <c r="E528" s="1">
        <v>74</v>
      </c>
      <c r="F528" s="1">
        <v>73.5</v>
      </c>
      <c r="H528" s="1">
        <v>73.8</v>
      </c>
    </row>
    <row r="529" s="1" customFormat="1" spans="1:8">
      <c r="A529" s="1" t="s">
        <v>14</v>
      </c>
      <c r="B529" s="1" t="s">
        <v>9</v>
      </c>
      <c r="C529" s="1" t="str">
        <f t="shared" si="10"/>
        <v>020083</v>
      </c>
      <c r="D529" s="1" t="str">
        <f>"112101818"</f>
        <v>112101818</v>
      </c>
      <c r="E529" s="1">
        <v>84</v>
      </c>
      <c r="F529" s="1">
        <v>91.5</v>
      </c>
      <c r="H529" s="1">
        <v>87</v>
      </c>
    </row>
    <row r="530" s="1" customFormat="1" spans="1:8">
      <c r="A530" s="1" t="s">
        <v>14</v>
      </c>
      <c r="B530" s="1" t="s">
        <v>9</v>
      </c>
      <c r="C530" s="1" t="str">
        <f t="shared" si="10"/>
        <v>020083</v>
      </c>
      <c r="D530" s="1" t="str">
        <f>"112101819"</f>
        <v>112101819</v>
      </c>
      <c r="E530" s="1">
        <v>101.5</v>
      </c>
      <c r="F530" s="1">
        <v>94.5</v>
      </c>
      <c r="H530" s="1">
        <v>98.7</v>
      </c>
    </row>
    <row r="531" s="1" customFormat="1" spans="1:8">
      <c r="A531" s="1" t="s">
        <v>14</v>
      </c>
      <c r="B531" s="1" t="s">
        <v>9</v>
      </c>
      <c r="C531" s="1" t="str">
        <f t="shared" si="10"/>
        <v>020083</v>
      </c>
      <c r="D531" s="1" t="str">
        <f>"112101820"</f>
        <v>112101820</v>
      </c>
      <c r="E531" s="1">
        <v>41</v>
      </c>
      <c r="F531" s="1">
        <v>64.5</v>
      </c>
      <c r="H531" s="1">
        <v>50.4</v>
      </c>
    </row>
    <row r="532" s="1" customFormat="1" spans="1:8">
      <c r="A532" s="1" t="s">
        <v>14</v>
      </c>
      <c r="B532" s="1" t="s">
        <v>9</v>
      </c>
      <c r="C532" s="1" t="str">
        <f t="shared" si="10"/>
        <v>020083</v>
      </c>
      <c r="D532" s="1" t="str">
        <f>"112101821"</f>
        <v>112101821</v>
      </c>
      <c r="E532" s="1">
        <v>0</v>
      </c>
      <c r="F532" s="1">
        <v>0</v>
      </c>
      <c r="H532" s="1">
        <v>0</v>
      </c>
    </row>
    <row r="533" s="1" customFormat="1" spans="1:8">
      <c r="A533" s="1" t="s">
        <v>14</v>
      </c>
      <c r="B533" s="1" t="s">
        <v>9</v>
      </c>
      <c r="C533" s="1" t="str">
        <f t="shared" si="10"/>
        <v>020083</v>
      </c>
      <c r="D533" s="1" t="str">
        <f>"112101822"</f>
        <v>112101822</v>
      </c>
      <c r="E533" s="1">
        <v>47</v>
      </c>
      <c r="F533" s="1">
        <v>64</v>
      </c>
      <c r="H533" s="1">
        <v>53.8</v>
      </c>
    </row>
    <row r="534" s="1" customFormat="1" spans="1:8">
      <c r="A534" s="1" t="s">
        <v>14</v>
      </c>
      <c r="B534" s="1" t="s">
        <v>9</v>
      </c>
      <c r="C534" s="1" t="str">
        <f t="shared" si="10"/>
        <v>020083</v>
      </c>
      <c r="D534" s="1" t="str">
        <f>"112101823"</f>
        <v>112101823</v>
      </c>
      <c r="E534" s="1">
        <v>66</v>
      </c>
      <c r="F534" s="1">
        <v>85.5</v>
      </c>
      <c r="H534" s="1">
        <v>73.8</v>
      </c>
    </row>
    <row r="535" s="1" customFormat="1" spans="1:8">
      <c r="A535" s="1" t="s">
        <v>14</v>
      </c>
      <c r="B535" s="1" t="s">
        <v>9</v>
      </c>
      <c r="C535" s="1" t="str">
        <f t="shared" si="10"/>
        <v>020083</v>
      </c>
      <c r="D535" s="1" t="str">
        <f>"112101824"</f>
        <v>112101824</v>
      </c>
      <c r="E535" s="1">
        <v>58</v>
      </c>
      <c r="F535" s="1">
        <v>78</v>
      </c>
      <c r="H535" s="1">
        <v>66</v>
      </c>
    </row>
    <row r="536" s="1" customFormat="1" spans="1:8">
      <c r="A536" s="1" t="s">
        <v>14</v>
      </c>
      <c r="B536" s="1" t="s">
        <v>9</v>
      </c>
      <c r="C536" s="1" t="str">
        <f t="shared" si="10"/>
        <v>020083</v>
      </c>
      <c r="D536" s="1" t="str">
        <f>"112101825"</f>
        <v>112101825</v>
      </c>
      <c r="E536" s="1">
        <v>43</v>
      </c>
      <c r="F536" s="1">
        <v>64</v>
      </c>
      <c r="H536" s="1">
        <v>51.4</v>
      </c>
    </row>
    <row r="537" s="1" customFormat="1" spans="1:8">
      <c r="A537" s="1" t="s">
        <v>14</v>
      </c>
      <c r="B537" s="1" t="s">
        <v>9</v>
      </c>
      <c r="C537" s="1" t="str">
        <f t="shared" si="10"/>
        <v>020083</v>
      </c>
      <c r="D537" s="1" t="str">
        <f>"112101826"</f>
        <v>112101826</v>
      </c>
      <c r="E537" s="1">
        <v>50.5</v>
      </c>
      <c r="F537" s="1">
        <v>52</v>
      </c>
      <c r="H537" s="1">
        <v>51.1</v>
      </c>
    </row>
    <row r="538" s="1" customFormat="1" spans="1:8">
      <c r="A538" s="1" t="s">
        <v>14</v>
      </c>
      <c r="B538" s="1" t="s">
        <v>9</v>
      </c>
      <c r="C538" s="1" t="str">
        <f t="shared" si="10"/>
        <v>020083</v>
      </c>
      <c r="D538" s="1" t="str">
        <f>"112101827"</f>
        <v>112101827</v>
      </c>
      <c r="E538" s="1">
        <v>49.5</v>
      </c>
      <c r="F538" s="1">
        <v>63</v>
      </c>
      <c r="H538" s="1">
        <v>54.9</v>
      </c>
    </row>
    <row r="539" s="1" customFormat="1" spans="1:8">
      <c r="A539" s="1" t="s">
        <v>14</v>
      </c>
      <c r="B539" s="1" t="s">
        <v>9</v>
      </c>
      <c r="C539" s="1" t="str">
        <f t="shared" ref="C539:C602" si="11">"020083"</f>
        <v>020083</v>
      </c>
      <c r="D539" s="1" t="str">
        <f>"112101828"</f>
        <v>112101828</v>
      </c>
      <c r="E539" s="1">
        <v>46.5</v>
      </c>
      <c r="F539" s="1">
        <v>54</v>
      </c>
      <c r="H539" s="1">
        <v>49.5</v>
      </c>
    </row>
    <row r="540" s="1" customFormat="1" spans="1:8">
      <c r="A540" s="1" t="s">
        <v>14</v>
      </c>
      <c r="B540" s="1" t="s">
        <v>9</v>
      </c>
      <c r="C540" s="1" t="str">
        <f t="shared" si="11"/>
        <v>020083</v>
      </c>
      <c r="D540" s="1" t="str">
        <f>"112101829"</f>
        <v>112101829</v>
      </c>
      <c r="E540" s="1">
        <v>48.5</v>
      </c>
      <c r="F540" s="1">
        <v>70.5</v>
      </c>
      <c r="H540" s="1">
        <v>57.3</v>
      </c>
    </row>
    <row r="541" s="1" customFormat="1" spans="1:8">
      <c r="A541" s="1" t="s">
        <v>14</v>
      </c>
      <c r="B541" s="1" t="s">
        <v>9</v>
      </c>
      <c r="C541" s="1" t="str">
        <f t="shared" si="11"/>
        <v>020083</v>
      </c>
      <c r="D541" s="1" t="str">
        <f>"112101830"</f>
        <v>112101830</v>
      </c>
      <c r="E541" s="1">
        <v>0</v>
      </c>
      <c r="F541" s="1">
        <v>0</v>
      </c>
      <c r="H541" s="1">
        <v>0</v>
      </c>
    </row>
    <row r="542" s="1" customFormat="1" spans="1:8">
      <c r="A542" s="1" t="s">
        <v>14</v>
      </c>
      <c r="B542" s="1" t="s">
        <v>9</v>
      </c>
      <c r="C542" s="1" t="str">
        <f t="shared" si="11"/>
        <v>020083</v>
      </c>
      <c r="D542" s="1" t="str">
        <f>"112101901"</f>
        <v>112101901</v>
      </c>
      <c r="E542" s="1">
        <v>77</v>
      </c>
      <c r="F542" s="1">
        <v>90.5</v>
      </c>
      <c r="H542" s="1">
        <v>82.4</v>
      </c>
    </row>
    <row r="543" s="1" customFormat="1" spans="1:8">
      <c r="A543" s="1" t="s">
        <v>14</v>
      </c>
      <c r="B543" s="1" t="s">
        <v>9</v>
      </c>
      <c r="C543" s="1" t="str">
        <f t="shared" si="11"/>
        <v>020083</v>
      </c>
      <c r="D543" s="1" t="str">
        <f>"112101902"</f>
        <v>112101902</v>
      </c>
      <c r="E543" s="1">
        <v>61.5</v>
      </c>
      <c r="F543" s="1">
        <v>57</v>
      </c>
      <c r="H543" s="1">
        <v>59.7</v>
      </c>
    </row>
    <row r="544" s="1" customFormat="1" spans="1:8">
      <c r="A544" s="1" t="s">
        <v>14</v>
      </c>
      <c r="B544" s="1" t="s">
        <v>9</v>
      </c>
      <c r="C544" s="1" t="str">
        <f t="shared" si="11"/>
        <v>020083</v>
      </c>
      <c r="D544" s="1" t="str">
        <f>"112101903"</f>
        <v>112101903</v>
      </c>
      <c r="E544" s="1">
        <v>41.5</v>
      </c>
      <c r="F544" s="1">
        <v>65</v>
      </c>
      <c r="H544" s="1">
        <v>50.9</v>
      </c>
    </row>
    <row r="545" s="1" customFormat="1" spans="1:8">
      <c r="A545" s="1" t="s">
        <v>14</v>
      </c>
      <c r="B545" s="1" t="s">
        <v>9</v>
      </c>
      <c r="C545" s="1" t="str">
        <f t="shared" si="11"/>
        <v>020083</v>
      </c>
      <c r="D545" s="1" t="str">
        <f>"112101904"</f>
        <v>112101904</v>
      </c>
      <c r="E545" s="1">
        <v>0</v>
      </c>
      <c r="F545" s="1">
        <v>0</v>
      </c>
      <c r="H545" s="1">
        <v>0</v>
      </c>
    </row>
    <row r="546" s="1" customFormat="1" spans="1:8">
      <c r="A546" s="1" t="s">
        <v>14</v>
      </c>
      <c r="B546" s="1" t="s">
        <v>9</v>
      </c>
      <c r="C546" s="1" t="str">
        <f t="shared" si="11"/>
        <v>020083</v>
      </c>
      <c r="D546" s="1" t="str">
        <f>"112101905"</f>
        <v>112101905</v>
      </c>
      <c r="E546" s="1">
        <v>47</v>
      </c>
      <c r="F546" s="1">
        <v>68</v>
      </c>
      <c r="H546" s="1">
        <v>55.4</v>
      </c>
    </row>
    <row r="547" s="1" customFormat="1" spans="1:8">
      <c r="A547" s="1" t="s">
        <v>14</v>
      </c>
      <c r="B547" s="1" t="s">
        <v>9</v>
      </c>
      <c r="C547" s="1" t="str">
        <f t="shared" si="11"/>
        <v>020083</v>
      </c>
      <c r="D547" s="1" t="str">
        <f>"112101906"</f>
        <v>112101906</v>
      </c>
      <c r="E547" s="1">
        <v>48</v>
      </c>
      <c r="F547" s="1">
        <v>67.5</v>
      </c>
      <c r="H547" s="1">
        <v>55.8</v>
      </c>
    </row>
    <row r="548" s="1" customFormat="1" spans="1:8">
      <c r="A548" s="1" t="s">
        <v>14</v>
      </c>
      <c r="B548" s="1" t="s">
        <v>9</v>
      </c>
      <c r="C548" s="1" t="str">
        <f t="shared" si="11"/>
        <v>020083</v>
      </c>
      <c r="D548" s="1" t="str">
        <f>"112101907"</f>
        <v>112101907</v>
      </c>
      <c r="E548" s="1">
        <v>59.5</v>
      </c>
      <c r="F548" s="1">
        <v>75.5</v>
      </c>
      <c r="H548" s="1">
        <v>65.9</v>
      </c>
    </row>
    <row r="549" s="1" customFormat="1" spans="1:8">
      <c r="A549" s="1" t="s">
        <v>14</v>
      </c>
      <c r="B549" s="1" t="s">
        <v>9</v>
      </c>
      <c r="C549" s="1" t="str">
        <f t="shared" si="11"/>
        <v>020083</v>
      </c>
      <c r="D549" s="1" t="str">
        <f>"112101908"</f>
        <v>112101908</v>
      </c>
      <c r="E549" s="1">
        <v>67.5</v>
      </c>
      <c r="F549" s="1">
        <v>92</v>
      </c>
      <c r="H549" s="1">
        <v>77.3</v>
      </c>
    </row>
    <row r="550" s="1" customFormat="1" spans="1:8">
      <c r="A550" s="1" t="s">
        <v>14</v>
      </c>
      <c r="B550" s="1" t="s">
        <v>9</v>
      </c>
      <c r="C550" s="1" t="str">
        <f t="shared" si="11"/>
        <v>020083</v>
      </c>
      <c r="D550" s="1" t="str">
        <f>"112101909"</f>
        <v>112101909</v>
      </c>
      <c r="E550" s="1">
        <v>0</v>
      </c>
      <c r="F550" s="1">
        <v>0</v>
      </c>
      <c r="H550" s="1">
        <v>0</v>
      </c>
    </row>
    <row r="551" s="1" customFormat="1" spans="1:8">
      <c r="A551" s="1" t="s">
        <v>14</v>
      </c>
      <c r="B551" s="1" t="s">
        <v>9</v>
      </c>
      <c r="C551" s="1" t="str">
        <f t="shared" si="11"/>
        <v>020083</v>
      </c>
      <c r="D551" s="1" t="str">
        <f>"112101910"</f>
        <v>112101910</v>
      </c>
      <c r="E551" s="1">
        <v>78</v>
      </c>
      <c r="F551" s="1">
        <v>69.5</v>
      </c>
      <c r="H551" s="1">
        <v>74.6</v>
      </c>
    </row>
    <row r="552" s="1" customFormat="1" spans="1:8">
      <c r="A552" s="1" t="s">
        <v>14</v>
      </c>
      <c r="B552" s="1" t="s">
        <v>9</v>
      </c>
      <c r="C552" s="1" t="str">
        <f t="shared" si="11"/>
        <v>020083</v>
      </c>
      <c r="D552" s="1" t="str">
        <f>"112101911"</f>
        <v>112101911</v>
      </c>
      <c r="E552" s="1">
        <v>72</v>
      </c>
      <c r="F552" s="1">
        <v>78.5</v>
      </c>
      <c r="H552" s="1">
        <v>74.6</v>
      </c>
    </row>
    <row r="553" s="1" customFormat="1" spans="1:8">
      <c r="A553" s="1" t="s">
        <v>14</v>
      </c>
      <c r="B553" s="1" t="s">
        <v>9</v>
      </c>
      <c r="C553" s="1" t="str">
        <f t="shared" si="11"/>
        <v>020083</v>
      </c>
      <c r="D553" s="1" t="str">
        <f>"112101912"</f>
        <v>112101912</v>
      </c>
      <c r="E553" s="1">
        <v>55.5</v>
      </c>
      <c r="F553" s="1">
        <v>79.5</v>
      </c>
      <c r="H553" s="1">
        <v>65.1</v>
      </c>
    </row>
    <row r="554" s="1" customFormat="1" spans="1:8">
      <c r="A554" s="1" t="s">
        <v>14</v>
      </c>
      <c r="B554" s="1" t="s">
        <v>9</v>
      </c>
      <c r="C554" s="1" t="str">
        <f t="shared" si="11"/>
        <v>020083</v>
      </c>
      <c r="D554" s="1" t="str">
        <f>"112101913"</f>
        <v>112101913</v>
      </c>
      <c r="E554" s="1">
        <v>0</v>
      </c>
      <c r="F554" s="1">
        <v>0</v>
      </c>
      <c r="H554" s="1">
        <v>0</v>
      </c>
    </row>
    <row r="555" s="1" customFormat="1" spans="1:8">
      <c r="A555" s="1" t="s">
        <v>14</v>
      </c>
      <c r="B555" s="1" t="s">
        <v>9</v>
      </c>
      <c r="C555" s="1" t="str">
        <f t="shared" si="11"/>
        <v>020083</v>
      </c>
      <c r="D555" s="1" t="str">
        <f>"112101914"</f>
        <v>112101914</v>
      </c>
      <c r="E555" s="1">
        <v>67.5</v>
      </c>
      <c r="F555" s="1">
        <v>91.5</v>
      </c>
      <c r="H555" s="1">
        <v>77.1</v>
      </c>
    </row>
    <row r="556" s="1" customFormat="1" spans="1:8">
      <c r="A556" s="1" t="s">
        <v>14</v>
      </c>
      <c r="B556" s="1" t="s">
        <v>9</v>
      </c>
      <c r="C556" s="1" t="str">
        <f t="shared" si="11"/>
        <v>020083</v>
      </c>
      <c r="D556" s="1" t="str">
        <f>"112101915"</f>
        <v>112101915</v>
      </c>
      <c r="E556" s="1">
        <v>36</v>
      </c>
      <c r="F556" s="1">
        <v>66.5</v>
      </c>
      <c r="H556" s="1">
        <v>48.2</v>
      </c>
    </row>
    <row r="557" s="1" customFormat="1" spans="1:8">
      <c r="A557" s="1" t="s">
        <v>14</v>
      </c>
      <c r="B557" s="1" t="s">
        <v>9</v>
      </c>
      <c r="C557" s="1" t="str">
        <f t="shared" si="11"/>
        <v>020083</v>
      </c>
      <c r="D557" s="1" t="str">
        <f>"112101916"</f>
        <v>112101916</v>
      </c>
      <c r="E557" s="1">
        <v>65.5</v>
      </c>
      <c r="F557" s="1">
        <v>75</v>
      </c>
      <c r="H557" s="1">
        <v>69.3</v>
      </c>
    </row>
    <row r="558" s="1" customFormat="1" spans="1:8">
      <c r="A558" s="1" t="s">
        <v>14</v>
      </c>
      <c r="B558" s="1" t="s">
        <v>9</v>
      </c>
      <c r="C558" s="1" t="str">
        <f t="shared" si="11"/>
        <v>020083</v>
      </c>
      <c r="D558" s="1" t="str">
        <f>"112101917"</f>
        <v>112101917</v>
      </c>
      <c r="E558" s="1">
        <v>52</v>
      </c>
      <c r="F558" s="1">
        <v>63.5</v>
      </c>
      <c r="H558" s="1">
        <v>56.6</v>
      </c>
    </row>
    <row r="559" s="1" customFormat="1" spans="1:8">
      <c r="A559" s="1" t="s">
        <v>14</v>
      </c>
      <c r="B559" s="1" t="s">
        <v>9</v>
      </c>
      <c r="C559" s="1" t="str">
        <f t="shared" si="11"/>
        <v>020083</v>
      </c>
      <c r="D559" s="1" t="str">
        <f>"112101918"</f>
        <v>112101918</v>
      </c>
      <c r="E559" s="1">
        <v>49.5</v>
      </c>
      <c r="F559" s="1">
        <v>76.5</v>
      </c>
      <c r="H559" s="1">
        <v>60.3</v>
      </c>
    </row>
    <row r="560" s="1" customFormat="1" spans="1:8">
      <c r="A560" s="1" t="s">
        <v>14</v>
      </c>
      <c r="B560" s="1" t="s">
        <v>9</v>
      </c>
      <c r="C560" s="1" t="str">
        <f t="shared" si="11"/>
        <v>020083</v>
      </c>
      <c r="D560" s="1" t="str">
        <f>"112101919"</f>
        <v>112101919</v>
      </c>
      <c r="E560" s="1">
        <v>80.5</v>
      </c>
      <c r="F560" s="1">
        <v>62</v>
      </c>
      <c r="H560" s="1">
        <v>73.1</v>
      </c>
    </row>
    <row r="561" s="1" customFormat="1" spans="1:8">
      <c r="A561" s="1" t="s">
        <v>14</v>
      </c>
      <c r="B561" s="1" t="s">
        <v>9</v>
      </c>
      <c r="C561" s="1" t="str">
        <f t="shared" si="11"/>
        <v>020083</v>
      </c>
      <c r="D561" s="1" t="str">
        <f>"112101920"</f>
        <v>112101920</v>
      </c>
      <c r="E561" s="1">
        <v>0</v>
      </c>
      <c r="F561" s="1">
        <v>0</v>
      </c>
      <c r="H561" s="1">
        <v>0</v>
      </c>
    </row>
    <row r="562" s="1" customFormat="1" spans="1:8">
      <c r="A562" s="1" t="s">
        <v>14</v>
      </c>
      <c r="B562" s="1" t="s">
        <v>9</v>
      </c>
      <c r="C562" s="1" t="str">
        <f t="shared" si="11"/>
        <v>020083</v>
      </c>
      <c r="D562" s="1" t="str">
        <f>"112101921"</f>
        <v>112101921</v>
      </c>
      <c r="E562" s="1">
        <v>57</v>
      </c>
      <c r="F562" s="1">
        <v>71.5</v>
      </c>
      <c r="H562" s="1">
        <v>62.8</v>
      </c>
    </row>
    <row r="563" s="1" customFormat="1" spans="1:8">
      <c r="A563" s="1" t="s">
        <v>14</v>
      </c>
      <c r="B563" s="1" t="s">
        <v>9</v>
      </c>
      <c r="C563" s="1" t="str">
        <f t="shared" si="11"/>
        <v>020083</v>
      </c>
      <c r="D563" s="1" t="str">
        <f>"112101922"</f>
        <v>112101922</v>
      </c>
      <c r="E563" s="1">
        <v>0</v>
      </c>
      <c r="F563" s="1">
        <v>0</v>
      </c>
      <c r="H563" s="1">
        <v>0</v>
      </c>
    </row>
    <row r="564" s="1" customFormat="1" spans="1:8">
      <c r="A564" s="1" t="s">
        <v>14</v>
      </c>
      <c r="B564" s="1" t="s">
        <v>9</v>
      </c>
      <c r="C564" s="1" t="str">
        <f t="shared" si="11"/>
        <v>020083</v>
      </c>
      <c r="D564" s="1" t="str">
        <f>"112101923"</f>
        <v>112101923</v>
      </c>
      <c r="E564" s="1">
        <v>80.5</v>
      </c>
      <c r="F564" s="1">
        <v>93</v>
      </c>
      <c r="H564" s="1">
        <v>85.5</v>
      </c>
    </row>
    <row r="565" s="1" customFormat="1" spans="1:8">
      <c r="A565" s="1" t="s">
        <v>14</v>
      </c>
      <c r="B565" s="1" t="s">
        <v>9</v>
      </c>
      <c r="C565" s="1" t="str">
        <f t="shared" si="11"/>
        <v>020083</v>
      </c>
      <c r="D565" s="1" t="str">
        <f>"112101924"</f>
        <v>112101924</v>
      </c>
      <c r="E565" s="1">
        <v>66</v>
      </c>
      <c r="F565" s="1">
        <v>82.5</v>
      </c>
      <c r="H565" s="1">
        <v>72.6</v>
      </c>
    </row>
    <row r="566" s="1" customFormat="1" spans="1:8">
      <c r="A566" s="1" t="s">
        <v>14</v>
      </c>
      <c r="B566" s="1" t="s">
        <v>9</v>
      </c>
      <c r="C566" s="1" t="str">
        <f t="shared" si="11"/>
        <v>020083</v>
      </c>
      <c r="D566" s="1" t="str">
        <f>"112101925"</f>
        <v>112101925</v>
      </c>
      <c r="E566" s="1">
        <v>0</v>
      </c>
      <c r="F566" s="1">
        <v>0</v>
      </c>
      <c r="H566" s="1">
        <v>0</v>
      </c>
    </row>
    <row r="567" s="1" customFormat="1" spans="1:8">
      <c r="A567" s="1" t="s">
        <v>14</v>
      </c>
      <c r="B567" s="1" t="s">
        <v>9</v>
      </c>
      <c r="C567" s="1" t="str">
        <f t="shared" si="11"/>
        <v>020083</v>
      </c>
      <c r="D567" s="1" t="str">
        <f>"112101926"</f>
        <v>112101926</v>
      </c>
      <c r="E567" s="1">
        <v>58</v>
      </c>
      <c r="F567" s="1">
        <v>64</v>
      </c>
      <c r="H567" s="1">
        <v>60.4</v>
      </c>
    </row>
    <row r="568" s="1" customFormat="1" spans="1:8">
      <c r="A568" s="1" t="s">
        <v>14</v>
      </c>
      <c r="B568" s="1" t="s">
        <v>9</v>
      </c>
      <c r="C568" s="1" t="str">
        <f t="shared" si="11"/>
        <v>020083</v>
      </c>
      <c r="D568" s="1" t="str">
        <f>"112101927"</f>
        <v>112101927</v>
      </c>
      <c r="E568" s="1">
        <v>70.5</v>
      </c>
      <c r="F568" s="1">
        <v>98</v>
      </c>
      <c r="H568" s="1">
        <v>81.5</v>
      </c>
    </row>
    <row r="569" s="1" customFormat="1" spans="1:8">
      <c r="A569" s="1" t="s">
        <v>14</v>
      </c>
      <c r="B569" s="1" t="s">
        <v>9</v>
      </c>
      <c r="C569" s="1" t="str">
        <f t="shared" si="11"/>
        <v>020083</v>
      </c>
      <c r="D569" s="1" t="str">
        <f>"112101928"</f>
        <v>112101928</v>
      </c>
      <c r="E569" s="1">
        <v>27.5</v>
      </c>
      <c r="F569" s="1">
        <v>0</v>
      </c>
      <c r="H569" s="1">
        <v>16.5</v>
      </c>
    </row>
    <row r="570" s="1" customFormat="1" spans="1:8">
      <c r="A570" s="1" t="s">
        <v>14</v>
      </c>
      <c r="B570" s="1" t="s">
        <v>9</v>
      </c>
      <c r="C570" s="1" t="str">
        <f t="shared" si="11"/>
        <v>020083</v>
      </c>
      <c r="D570" s="1" t="str">
        <f>"112101929"</f>
        <v>112101929</v>
      </c>
      <c r="E570" s="1">
        <v>0</v>
      </c>
      <c r="F570" s="1">
        <v>0</v>
      </c>
      <c r="H570" s="1">
        <v>0</v>
      </c>
    </row>
    <row r="571" s="1" customFormat="1" spans="1:8">
      <c r="A571" s="1" t="s">
        <v>14</v>
      </c>
      <c r="B571" s="1" t="s">
        <v>9</v>
      </c>
      <c r="C571" s="1" t="str">
        <f t="shared" si="11"/>
        <v>020083</v>
      </c>
      <c r="D571" s="1" t="str">
        <f>"112101930"</f>
        <v>112101930</v>
      </c>
      <c r="E571" s="1">
        <v>35.5</v>
      </c>
      <c r="F571" s="1">
        <v>38</v>
      </c>
      <c r="H571" s="1">
        <v>36.5</v>
      </c>
    </row>
    <row r="572" s="1" customFormat="1" spans="1:8">
      <c r="A572" s="1" t="s">
        <v>14</v>
      </c>
      <c r="B572" s="1" t="s">
        <v>9</v>
      </c>
      <c r="C572" s="1" t="str">
        <f t="shared" si="11"/>
        <v>020083</v>
      </c>
      <c r="D572" s="1" t="str">
        <f>"112102001"</f>
        <v>112102001</v>
      </c>
      <c r="E572" s="1">
        <v>48</v>
      </c>
      <c r="F572" s="1">
        <v>84</v>
      </c>
      <c r="H572" s="1">
        <v>62.4</v>
      </c>
    </row>
    <row r="573" s="1" customFormat="1" spans="1:8">
      <c r="A573" s="1" t="s">
        <v>14</v>
      </c>
      <c r="B573" s="1" t="s">
        <v>9</v>
      </c>
      <c r="C573" s="1" t="str">
        <f t="shared" si="11"/>
        <v>020083</v>
      </c>
      <c r="D573" s="1" t="str">
        <f>"112102002"</f>
        <v>112102002</v>
      </c>
      <c r="E573" s="1">
        <v>56.5</v>
      </c>
      <c r="F573" s="1">
        <v>79</v>
      </c>
      <c r="H573" s="1">
        <v>65.5</v>
      </c>
    </row>
    <row r="574" s="1" customFormat="1" spans="1:8">
      <c r="A574" s="1" t="s">
        <v>14</v>
      </c>
      <c r="B574" s="1" t="s">
        <v>9</v>
      </c>
      <c r="C574" s="1" t="str">
        <f t="shared" si="11"/>
        <v>020083</v>
      </c>
      <c r="D574" s="1" t="str">
        <f>"112102003"</f>
        <v>112102003</v>
      </c>
      <c r="E574" s="1">
        <v>68.5</v>
      </c>
      <c r="F574" s="1">
        <v>69</v>
      </c>
      <c r="H574" s="1">
        <v>68.7</v>
      </c>
    </row>
    <row r="575" s="1" customFormat="1" spans="1:8">
      <c r="A575" s="1" t="s">
        <v>14</v>
      </c>
      <c r="B575" s="1" t="s">
        <v>9</v>
      </c>
      <c r="C575" s="1" t="str">
        <f t="shared" si="11"/>
        <v>020083</v>
      </c>
      <c r="D575" s="1" t="str">
        <f>"112102004"</f>
        <v>112102004</v>
      </c>
      <c r="E575" s="1">
        <v>79</v>
      </c>
      <c r="F575" s="1">
        <v>84</v>
      </c>
      <c r="H575" s="1">
        <v>81</v>
      </c>
    </row>
    <row r="576" s="1" customFormat="1" spans="1:8">
      <c r="A576" s="1" t="s">
        <v>14</v>
      </c>
      <c r="B576" s="1" t="s">
        <v>9</v>
      </c>
      <c r="C576" s="1" t="str">
        <f t="shared" si="11"/>
        <v>020083</v>
      </c>
      <c r="D576" s="1" t="str">
        <f>"112102005"</f>
        <v>112102005</v>
      </c>
      <c r="E576" s="1">
        <v>65.5</v>
      </c>
      <c r="F576" s="1">
        <v>60.5</v>
      </c>
      <c r="H576" s="1">
        <v>63.5</v>
      </c>
    </row>
    <row r="577" s="1" customFormat="1" spans="1:8">
      <c r="A577" s="1" t="s">
        <v>14</v>
      </c>
      <c r="B577" s="1" t="s">
        <v>9</v>
      </c>
      <c r="C577" s="1" t="str">
        <f t="shared" si="11"/>
        <v>020083</v>
      </c>
      <c r="D577" s="1" t="str">
        <f>"112102006"</f>
        <v>112102006</v>
      </c>
      <c r="E577" s="1">
        <v>69.5</v>
      </c>
      <c r="F577" s="1">
        <v>67.5</v>
      </c>
      <c r="H577" s="1">
        <v>68.7</v>
      </c>
    </row>
    <row r="578" s="1" customFormat="1" spans="1:8">
      <c r="A578" s="1" t="s">
        <v>14</v>
      </c>
      <c r="B578" s="1" t="s">
        <v>9</v>
      </c>
      <c r="C578" s="1" t="str">
        <f t="shared" si="11"/>
        <v>020083</v>
      </c>
      <c r="D578" s="1" t="str">
        <f>"112102007"</f>
        <v>112102007</v>
      </c>
      <c r="E578" s="1">
        <v>49</v>
      </c>
      <c r="F578" s="1">
        <v>60</v>
      </c>
      <c r="H578" s="1">
        <v>53.4</v>
      </c>
    </row>
    <row r="579" s="1" customFormat="1" spans="1:8">
      <c r="A579" s="1" t="s">
        <v>14</v>
      </c>
      <c r="B579" s="1" t="s">
        <v>9</v>
      </c>
      <c r="C579" s="1" t="str">
        <f t="shared" si="11"/>
        <v>020083</v>
      </c>
      <c r="D579" s="1" t="str">
        <f>"112102008"</f>
        <v>112102008</v>
      </c>
      <c r="E579" s="1">
        <v>0</v>
      </c>
      <c r="F579" s="1">
        <v>0</v>
      </c>
      <c r="H579" s="1">
        <v>0</v>
      </c>
    </row>
    <row r="580" s="1" customFormat="1" spans="1:8">
      <c r="A580" s="1" t="s">
        <v>14</v>
      </c>
      <c r="B580" s="1" t="s">
        <v>9</v>
      </c>
      <c r="C580" s="1" t="str">
        <f t="shared" si="11"/>
        <v>020083</v>
      </c>
      <c r="D580" s="1" t="str">
        <f>"112102009"</f>
        <v>112102009</v>
      </c>
      <c r="E580" s="1">
        <v>81</v>
      </c>
      <c r="F580" s="1">
        <v>87.5</v>
      </c>
      <c r="H580" s="1">
        <v>83.6</v>
      </c>
    </row>
    <row r="581" s="1" customFormat="1" spans="1:8">
      <c r="A581" s="1" t="s">
        <v>14</v>
      </c>
      <c r="B581" s="1" t="s">
        <v>9</v>
      </c>
      <c r="C581" s="1" t="str">
        <f t="shared" si="11"/>
        <v>020083</v>
      </c>
      <c r="D581" s="1" t="str">
        <f>"112102010"</f>
        <v>112102010</v>
      </c>
      <c r="E581" s="1">
        <v>52</v>
      </c>
      <c r="F581" s="1">
        <v>76.5</v>
      </c>
      <c r="H581" s="1">
        <v>61.8</v>
      </c>
    </row>
    <row r="582" s="1" customFormat="1" spans="1:8">
      <c r="A582" s="1" t="s">
        <v>14</v>
      </c>
      <c r="B582" s="1" t="s">
        <v>9</v>
      </c>
      <c r="C582" s="1" t="str">
        <f t="shared" si="11"/>
        <v>020083</v>
      </c>
      <c r="D582" s="1" t="str">
        <f>"112102011"</f>
        <v>112102011</v>
      </c>
      <c r="E582" s="1">
        <v>48</v>
      </c>
      <c r="F582" s="1">
        <v>62.5</v>
      </c>
      <c r="H582" s="1">
        <v>53.8</v>
      </c>
    </row>
    <row r="583" s="1" customFormat="1" spans="1:8">
      <c r="A583" s="1" t="s">
        <v>14</v>
      </c>
      <c r="B583" s="1" t="s">
        <v>9</v>
      </c>
      <c r="C583" s="1" t="str">
        <f t="shared" si="11"/>
        <v>020083</v>
      </c>
      <c r="D583" s="1" t="str">
        <f>"112102012"</f>
        <v>112102012</v>
      </c>
      <c r="E583" s="1">
        <v>37.5</v>
      </c>
      <c r="F583" s="1">
        <v>0</v>
      </c>
      <c r="H583" s="1">
        <v>22.5</v>
      </c>
    </row>
    <row r="584" s="1" customFormat="1" spans="1:8">
      <c r="A584" s="1" t="s">
        <v>14</v>
      </c>
      <c r="B584" s="1" t="s">
        <v>9</v>
      </c>
      <c r="C584" s="1" t="str">
        <f t="shared" si="11"/>
        <v>020083</v>
      </c>
      <c r="D584" s="1" t="str">
        <f>"112102013"</f>
        <v>112102013</v>
      </c>
      <c r="E584" s="1">
        <v>91</v>
      </c>
      <c r="F584" s="1">
        <v>85.5</v>
      </c>
      <c r="H584" s="1">
        <v>88.8</v>
      </c>
    </row>
    <row r="585" s="1" customFormat="1" spans="1:8">
      <c r="A585" s="1" t="s">
        <v>14</v>
      </c>
      <c r="B585" s="1" t="s">
        <v>9</v>
      </c>
      <c r="C585" s="1" t="str">
        <f t="shared" si="11"/>
        <v>020083</v>
      </c>
      <c r="D585" s="1" t="str">
        <f>"112102014"</f>
        <v>112102014</v>
      </c>
      <c r="E585" s="1">
        <v>0</v>
      </c>
      <c r="F585" s="1">
        <v>0</v>
      </c>
      <c r="H585" s="1">
        <v>0</v>
      </c>
    </row>
    <row r="586" s="1" customFormat="1" spans="1:8">
      <c r="A586" s="1" t="s">
        <v>14</v>
      </c>
      <c r="B586" s="1" t="s">
        <v>9</v>
      </c>
      <c r="C586" s="1" t="str">
        <f t="shared" si="11"/>
        <v>020083</v>
      </c>
      <c r="D586" s="1" t="str">
        <f>"112102015"</f>
        <v>112102015</v>
      </c>
      <c r="E586" s="1">
        <v>32.5</v>
      </c>
      <c r="F586" s="1">
        <v>62</v>
      </c>
      <c r="H586" s="1">
        <v>44.3</v>
      </c>
    </row>
    <row r="587" s="1" customFormat="1" spans="1:8">
      <c r="A587" s="1" t="s">
        <v>14</v>
      </c>
      <c r="B587" s="1" t="s">
        <v>9</v>
      </c>
      <c r="C587" s="1" t="str">
        <f t="shared" si="11"/>
        <v>020083</v>
      </c>
      <c r="D587" s="1" t="str">
        <f>"112102016"</f>
        <v>112102016</v>
      </c>
      <c r="E587" s="1">
        <v>0</v>
      </c>
      <c r="F587" s="1">
        <v>0</v>
      </c>
      <c r="H587" s="1">
        <v>0</v>
      </c>
    </row>
    <row r="588" s="1" customFormat="1" spans="1:8">
      <c r="A588" s="1" t="s">
        <v>14</v>
      </c>
      <c r="B588" s="1" t="s">
        <v>9</v>
      </c>
      <c r="C588" s="1" t="str">
        <f t="shared" si="11"/>
        <v>020083</v>
      </c>
      <c r="D588" s="1" t="str">
        <f>"112102017"</f>
        <v>112102017</v>
      </c>
      <c r="E588" s="1">
        <v>0</v>
      </c>
      <c r="F588" s="1">
        <v>0</v>
      </c>
      <c r="H588" s="1">
        <v>0</v>
      </c>
    </row>
    <row r="589" s="1" customFormat="1" spans="1:8">
      <c r="A589" s="1" t="s">
        <v>14</v>
      </c>
      <c r="B589" s="1" t="s">
        <v>9</v>
      </c>
      <c r="C589" s="1" t="str">
        <f t="shared" si="11"/>
        <v>020083</v>
      </c>
      <c r="D589" s="1" t="str">
        <f>"112102018"</f>
        <v>112102018</v>
      </c>
      <c r="E589" s="1">
        <v>58</v>
      </c>
      <c r="F589" s="1">
        <v>76.5</v>
      </c>
      <c r="H589" s="1">
        <v>65.4</v>
      </c>
    </row>
    <row r="590" s="1" customFormat="1" spans="1:8">
      <c r="A590" s="1" t="s">
        <v>14</v>
      </c>
      <c r="B590" s="1" t="s">
        <v>9</v>
      </c>
      <c r="C590" s="1" t="str">
        <f t="shared" si="11"/>
        <v>020083</v>
      </c>
      <c r="D590" s="1" t="str">
        <f>"112102019"</f>
        <v>112102019</v>
      </c>
      <c r="E590" s="1">
        <v>44.5</v>
      </c>
      <c r="F590" s="1">
        <v>54</v>
      </c>
      <c r="H590" s="1">
        <v>48.3</v>
      </c>
    </row>
    <row r="591" s="1" customFormat="1" spans="1:8">
      <c r="A591" s="1" t="s">
        <v>14</v>
      </c>
      <c r="B591" s="1" t="s">
        <v>9</v>
      </c>
      <c r="C591" s="1" t="str">
        <f t="shared" si="11"/>
        <v>020083</v>
      </c>
      <c r="D591" s="1" t="str">
        <f>"112102020"</f>
        <v>112102020</v>
      </c>
      <c r="E591" s="1">
        <v>0</v>
      </c>
      <c r="F591" s="1">
        <v>0</v>
      </c>
      <c r="H591" s="1">
        <v>0</v>
      </c>
    </row>
    <row r="592" s="1" customFormat="1" spans="1:8">
      <c r="A592" s="1" t="s">
        <v>14</v>
      </c>
      <c r="B592" s="1" t="s">
        <v>9</v>
      </c>
      <c r="C592" s="1" t="str">
        <f t="shared" si="11"/>
        <v>020083</v>
      </c>
      <c r="D592" s="1" t="str">
        <f>"112102021"</f>
        <v>112102021</v>
      </c>
      <c r="E592" s="1">
        <v>59.5</v>
      </c>
      <c r="F592" s="1">
        <v>85.5</v>
      </c>
      <c r="H592" s="1">
        <v>69.9</v>
      </c>
    </row>
    <row r="593" s="1" customFormat="1" spans="1:8">
      <c r="A593" s="1" t="s">
        <v>14</v>
      </c>
      <c r="B593" s="1" t="s">
        <v>9</v>
      </c>
      <c r="C593" s="1" t="str">
        <f t="shared" si="11"/>
        <v>020083</v>
      </c>
      <c r="D593" s="1" t="str">
        <f>"112102022"</f>
        <v>112102022</v>
      </c>
      <c r="E593" s="1">
        <v>53.5</v>
      </c>
      <c r="F593" s="1">
        <v>57.5</v>
      </c>
      <c r="H593" s="1">
        <v>55.1</v>
      </c>
    </row>
    <row r="594" s="1" customFormat="1" spans="1:8">
      <c r="A594" s="1" t="s">
        <v>14</v>
      </c>
      <c r="B594" s="1" t="s">
        <v>9</v>
      </c>
      <c r="C594" s="1" t="str">
        <f t="shared" si="11"/>
        <v>020083</v>
      </c>
      <c r="D594" s="1" t="str">
        <f>"112102023"</f>
        <v>112102023</v>
      </c>
      <c r="E594" s="1">
        <v>0</v>
      </c>
      <c r="F594" s="1">
        <v>0</v>
      </c>
      <c r="H594" s="1">
        <v>0</v>
      </c>
    </row>
    <row r="595" s="1" customFormat="1" spans="1:8">
      <c r="A595" s="1" t="s">
        <v>14</v>
      </c>
      <c r="B595" s="1" t="s">
        <v>9</v>
      </c>
      <c r="C595" s="1" t="str">
        <f t="shared" si="11"/>
        <v>020083</v>
      </c>
      <c r="D595" s="1" t="str">
        <f>"112102024"</f>
        <v>112102024</v>
      </c>
      <c r="E595" s="1">
        <v>82.5</v>
      </c>
      <c r="F595" s="1">
        <v>86.5</v>
      </c>
      <c r="H595" s="1">
        <v>84.1</v>
      </c>
    </row>
    <row r="596" s="1" customFormat="1" spans="1:8">
      <c r="A596" s="1" t="s">
        <v>14</v>
      </c>
      <c r="B596" s="1" t="s">
        <v>9</v>
      </c>
      <c r="C596" s="1" t="str">
        <f t="shared" si="11"/>
        <v>020083</v>
      </c>
      <c r="D596" s="1" t="str">
        <f>"112102025"</f>
        <v>112102025</v>
      </c>
      <c r="E596" s="1">
        <v>0</v>
      </c>
      <c r="F596" s="1">
        <v>0</v>
      </c>
      <c r="H596" s="1">
        <v>0</v>
      </c>
    </row>
    <row r="597" s="1" customFormat="1" spans="1:8">
      <c r="A597" s="1" t="s">
        <v>14</v>
      </c>
      <c r="B597" s="1" t="s">
        <v>9</v>
      </c>
      <c r="C597" s="1" t="str">
        <f t="shared" si="11"/>
        <v>020083</v>
      </c>
      <c r="D597" s="1" t="str">
        <f>"112102026"</f>
        <v>112102026</v>
      </c>
      <c r="E597" s="1">
        <v>0</v>
      </c>
      <c r="F597" s="1">
        <v>0</v>
      </c>
      <c r="H597" s="1">
        <v>0</v>
      </c>
    </row>
    <row r="598" s="1" customFormat="1" spans="1:8">
      <c r="A598" s="1" t="s">
        <v>14</v>
      </c>
      <c r="B598" s="1" t="s">
        <v>9</v>
      </c>
      <c r="C598" s="1" t="str">
        <f t="shared" si="11"/>
        <v>020083</v>
      </c>
      <c r="D598" s="1" t="str">
        <f>"112102027"</f>
        <v>112102027</v>
      </c>
      <c r="E598" s="1">
        <v>85.5</v>
      </c>
      <c r="F598" s="1">
        <v>75.5</v>
      </c>
      <c r="H598" s="1">
        <v>81.5</v>
      </c>
    </row>
    <row r="599" s="1" customFormat="1" spans="1:8">
      <c r="A599" s="1" t="s">
        <v>14</v>
      </c>
      <c r="B599" s="1" t="s">
        <v>9</v>
      </c>
      <c r="C599" s="1" t="str">
        <f t="shared" si="11"/>
        <v>020083</v>
      </c>
      <c r="D599" s="1" t="str">
        <f>"112102028"</f>
        <v>112102028</v>
      </c>
      <c r="E599" s="1">
        <v>86</v>
      </c>
      <c r="F599" s="1">
        <v>85.5</v>
      </c>
      <c r="H599" s="1">
        <v>85.8</v>
      </c>
    </row>
    <row r="600" s="1" customFormat="1" spans="1:8">
      <c r="A600" s="1" t="s">
        <v>14</v>
      </c>
      <c r="B600" s="1" t="s">
        <v>9</v>
      </c>
      <c r="C600" s="1" t="str">
        <f t="shared" si="11"/>
        <v>020083</v>
      </c>
      <c r="D600" s="1" t="str">
        <f>"112102029"</f>
        <v>112102029</v>
      </c>
      <c r="E600" s="1">
        <v>41</v>
      </c>
      <c r="F600" s="1">
        <v>66.5</v>
      </c>
      <c r="H600" s="1">
        <v>51.2</v>
      </c>
    </row>
    <row r="601" s="1" customFormat="1" spans="1:8">
      <c r="A601" s="1" t="s">
        <v>14</v>
      </c>
      <c r="B601" s="1" t="s">
        <v>9</v>
      </c>
      <c r="C601" s="1" t="str">
        <f t="shared" si="11"/>
        <v>020083</v>
      </c>
      <c r="D601" s="1" t="str">
        <f>"112102030"</f>
        <v>112102030</v>
      </c>
      <c r="E601" s="1">
        <v>48.5</v>
      </c>
      <c r="F601" s="1">
        <v>68</v>
      </c>
      <c r="H601" s="1">
        <v>56.3</v>
      </c>
    </row>
    <row r="602" s="1" customFormat="1" spans="1:8">
      <c r="A602" s="1" t="s">
        <v>14</v>
      </c>
      <c r="B602" s="1" t="s">
        <v>9</v>
      </c>
      <c r="C602" s="1" t="str">
        <f t="shared" si="11"/>
        <v>020083</v>
      </c>
      <c r="D602" s="1" t="str">
        <f>"112102101"</f>
        <v>112102101</v>
      </c>
      <c r="E602" s="1">
        <v>95.5</v>
      </c>
      <c r="F602" s="1">
        <v>78.5</v>
      </c>
      <c r="H602" s="1">
        <v>88.7</v>
      </c>
    </row>
    <row r="603" s="1" customFormat="1" spans="1:8">
      <c r="A603" s="1" t="s">
        <v>14</v>
      </c>
      <c r="B603" s="1" t="s">
        <v>9</v>
      </c>
      <c r="C603" s="1" t="str">
        <f t="shared" ref="C603:C666" si="12">"020083"</f>
        <v>020083</v>
      </c>
      <c r="D603" s="1" t="str">
        <f>"112102102"</f>
        <v>112102102</v>
      </c>
      <c r="E603" s="1">
        <v>71</v>
      </c>
      <c r="F603" s="1">
        <v>49.5</v>
      </c>
      <c r="H603" s="1">
        <v>62.4</v>
      </c>
    </row>
    <row r="604" s="1" customFormat="1" spans="1:8">
      <c r="A604" s="1" t="s">
        <v>14</v>
      </c>
      <c r="B604" s="1" t="s">
        <v>9</v>
      </c>
      <c r="C604" s="1" t="str">
        <f t="shared" si="12"/>
        <v>020083</v>
      </c>
      <c r="D604" s="1" t="str">
        <f>"112102103"</f>
        <v>112102103</v>
      </c>
      <c r="E604" s="1">
        <v>71.5</v>
      </c>
      <c r="F604" s="1">
        <v>84.5</v>
      </c>
      <c r="H604" s="1">
        <v>76.7</v>
      </c>
    </row>
    <row r="605" s="1" customFormat="1" spans="1:8">
      <c r="A605" s="1" t="s">
        <v>14</v>
      </c>
      <c r="B605" s="1" t="s">
        <v>9</v>
      </c>
      <c r="C605" s="1" t="str">
        <f t="shared" si="12"/>
        <v>020083</v>
      </c>
      <c r="D605" s="1" t="str">
        <f>"112102104"</f>
        <v>112102104</v>
      </c>
      <c r="E605" s="1">
        <v>0</v>
      </c>
      <c r="F605" s="1">
        <v>0</v>
      </c>
      <c r="H605" s="1">
        <v>0</v>
      </c>
    </row>
    <row r="606" s="1" customFormat="1" spans="1:8">
      <c r="A606" s="1" t="s">
        <v>14</v>
      </c>
      <c r="B606" s="1" t="s">
        <v>9</v>
      </c>
      <c r="C606" s="1" t="str">
        <f t="shared" si="12"/>
        <v>020083</v>
      </c>
      <c r="D606" s="1" t="str">
        <f>"112102105"</f>
        <v>112102105</v>
      </c>
      <c r="E606" s="1">
        <v>51</v>
      </c>
      <c r="F606" s="1">
        <v>55.5</v>
      </c>
      <c r="H606" s="1">
        <v>52.8</v>
      </c>
    </row>
    <row r="607" s="1" customFormat="1" spans="1:8">
      <c r="A607" s="1" t="s">
        <v>14</v>
      </c>
      <c r="B607" s="1" t="s">
        <v>9</v>
      </c>
      <c r="C607" s="1" t="str">
        <f t="shared" si="12"/>
        <v>020083</v>
      </c>
      <c r="D607" s="1" t="str">
        <f>"112102106"</f>
        <v>112102106</v>
      </c>
      <c r="E607" s="1">
        <v>0</v>
      </c>
      <c r="F607" s="1">
        <v>0</v>
      </c>
      <c r="H607" s="1">
        <v>0</v>
      </c>
    </row>
    <row r="608" s="1" customFormat="1" spans="1:8">
      <c r="A608" s="1" t="s">
        <v>14</v>
      </c>
      <c r="B608" s="1" t="s">
        <v>9</v>
      </c>
      <c r="C608" s="1" t="str">
        <f t="shared" si="12"/>
        <v>020083</v>
      </c>
      <c r="D608" s="1" t="str">
        <f>"112102107"</f>
        <v>112102107</v>
      </c>
      <c r="E608" s="1">
        <v>0</v>
      </c>
      <c r="F608" s="1">
        <v>0</v>
      </c>
      <c r="H608" s="1">
        <v>0</v>
      </c>
    </row>
    <row r="609" s="1" customFormat="1" spans="1:8">
      <c r="A609" s="1" t="s">
        <v>14</v>
      </c>
      <c r="B609" s="1" t="s">
        <v>9</v>
      </c>
      <c r="C609" s="1" t="str">
        <f t="shared" si="12"/>
        <v>020083</v>
      </c>
      <c r="D609" s="1" t="str">
        <f>"112102108"</f>
        <v>112102108</v>
      </c>
      <c r="E609" s="1">
        <v>0</v>
      </c>
      <c r="F609" s="1">
        <v>0</v>
      </c>
      <c r="H609" s="1">
        <v>0</v>
      </c>
    </row>
    <row r="610" s="1" customFormat="1" spans="1:8">
      <c r="A610" s="1" t="s">
        <v>14</v>
      </c>
      <c r="B610" s="1" t="s">
        <v>9</v>
      </c>
      <c r="C610" s="1" t="str">
        <f t="shared" si="12"/>
        <v>020083</v>
      </c>
      <c r="D610" s="1" t="str">
        <f>"112102109"</f>
        <v>112102109</v>
      </c>
      <c r="E610" s="1">
        <v>39.5</v>
      </c>
      <c r="F610" s="1">
        <v>85.5</v>
      </c>
      <c r="H610" s="1">
        <v>57.9</v>
      </c>
    </row>
    <row r="611" s="1" customFormat="1" spans="1:8">
      <c r="A611" s="1" t="s">
        <v>14</v>
      </c>
      <c r="B611" s="1" t="s">
        <v>9</v>
      </c>
      <c r="C611" s="1" t="str">
        <f t="shared" si="12"/>
        <v>020083</v>
      </c>
      <c r="D611" s="1" t="str">
        <f>"112102110"</f>
        <v>112102110</v>
      </c>
      <c r="E611" s="1">
        <v>35</v>
      </c>
      <c r="F611" s="1">
        <v>66</v>
      </c>
      <c r="H611" s="1">
        <v>47.4</v>
      </c>
    </row>
    <row r="612" s="1" customFormat="1" spans="1:8">
      <c r="A612" s="1" t="s">
        <v>14</v>
      </c>
      <c r="B612" s="1" t="s">
        <v>9</v>
      </c>
      <c r="C612" s="1" t="str">
        <f t="shared" si="12"/>
        <v>020083</v>
      </c>
      <c r="D612" s="1" t="str">
        <f>"112102111"</f>
        <v>112102111</v>
      </c>
      <c r="E612" s="1">
        <v>35.5</v>
      </c>
      <c r="F612" s="1">
        <v>54</v>
      </c>
      <c r="H612" s="1">
        <v>42.9</v>
      </c>
    </row>
    <row r="613" s="1" customFormat="1" spans="1:8">
      <c r="A613" s="1" t="s">
        <v>14</v>
      </c>
      <c r="B613" s="1" t="s">
        <v>9</v>
      </c>
      <c r="C613" s="1" t="str">
        <f t="shared" si="12"/>
        <v>020083</v>
      </c>
      <c r="D613" s="1" t="str">
        <f>"112102112"</f>
        <v>112102112</v>
      </c>
      <c r="E613" s="1">
        <v>72</v>
      </c>
      <c r="F613" s="1">
        <v>65</v>
      </c>
      <c r="H613" s="1">
        <v>69.2</v>
      </c>
    </row>
    <row r="614" s="1" customFormat="1" spans="1:8">
      <c r="A614" s="1" t="s">
        <v>14</v>
      </c>
      <c r="B614" s="1" t="s">
        <v>9</v>
      </c>
      <c r="C614" s="1" t="str">
        <f t="shared" si="12"/>
        <v>020083</v>
      </c>
      <c r="D614" s="1" t="str">
        <f>"112102113"</f>
        <v>112102113</v>
      </c>
      <c r="E614" s="1">
        <v>49</v>
      </c>
      <c r="F614" s="1">
        <v>89</v>
      </c>
      <c r="H614" s="1">
        <v>65</v>
      </c>
    </row>
    <row r="615" s="1" customFormat="1" spans="1:8">
      <c r="A615" s="1" t="s">
        <v>14</v>
      </c>
      <c r="B615" s="1" t="s">
        <v>9</v>
      </c>
      <c r="C615" s="1" t="str">
        <f t="shared" si="12"/>
        <v>020083</v>
      </c>
      <c r="D615" s="1" t="str">
        <f>"112102114"</f>
        <v>112102114</v>
      </c>
      <c r="E615" s="1">
        <v>50</v>
      </c>
      <c r="F615" s="1">
        <v>71</v>
      </c>
      <c r="H615" s="1">
        <v>58.4</v>
      </c>
    </row>
    <row r="616" s="1" customFormat="1" spans="1:8">
      <c r="A616" s="1" t="s">
        <v>14</v>
      </c>
      <c r="B616" s="1" t="s">
        <v>9</v>
      </c>
      <c r="C616" s="1" t="str">
        <f t="shared" si="12"/>
        <v>020083</v>
      </c>
      <c r="D616" s="1" t="str">
        <f>"112102115"</f>
        <v>112102115</v>
      </c>
      <c r="E616" s="1">
        <v>87</v>
      </c>
      <c r="F616" s="1">
        <v>100.5</v>
      </c>
      <c r="H616" s="1">
        <v>92.4</v>
      </c>
    </row>
    <row r="617" s="1" customFormat="1" spans="1:8">
      <c r="A617" s="1" t="s">
        <v>14</v>
      </c>
      <c r="B617" s="1" t="s">
        <v>9</v>
      </c>
      <c r="C617" s="1" t="str">
        <f t="shared" si="12"/>
        <v>020083</v>
      </c>
      <c r="D617" s="1" t="str">
        <f>"112102116"</f>
        <v>112102116</v>
      </c>
      <c r="E617" s="1">
        <v>0</v>
      </c>
      <c r="F617" s="1">
        <v>0</v>
      </c>
      <c r="H617" s="1">
        <v>0</v>
      </c>
    </row>
    <row r="618" s="1" customFormat="1" spans="1:8">
      <c r="A618" s="1" t="s">
        <v>14</v>
      </c>
      <c r="B618" s="1" t="s">
        <v>9</v>
      </c>
      <c r="C618" s="1" t="str">
        <f t="shared" si="12"/>
        <v>020083</v>
      </c>
      <c r="D618" s="1" t="str">
        <f>"112102117"</f>
        <v>112102117</v>
      </c>
      <c r="E618" s="1">
        <v>43</v>
      </c>
      <c r="F618" s="1">
        <v>66</v>
      </c>
      <c r="H618" s="1">
        <v>52.2</v>
      </c>
    </row>
    <row r="619" s="1" customFormat="1" spans="1:8">
      <c r="A619" s="1" t="s">
        <v>14</v>
      </c>
      <c r="B619" s="1" t="s">
        <v>9</v>
      </c>
      <c r="C619" s="1" t="str">
        <f t="shared" si="12"/>
        <v>020083</v>
      </c>
      <c r="D619" s="1" t="str">
        <f>"112102118"</f>
        <v>112102118</v>
      </c>
      <c r="E619" s="1">
        <v>52</v>
      </c>
      <c r="F619" s="1">
        <v>85.5</v>
      </c>
      <c r="H619" s="1">
        <v>65.4</v>
      </c>
    </row>
    <row r="620" s="1" customFormat="1" spans="1:8">
      <c r="A620" s="1" t="s">
        <v>14</v>
      </c>
      <c r="B620" s="1" t="s">
        <v>9</v>
      </c>
      <c r="C620" s="1" t="str">
        <f t="shared" si="12"/>
        <v>020083</v>
      </c>
      <c r="D620" s="1" t="str">
        <f>"112102119"</f>
        <v>112102119</v>
      </c>
      <c r="E620" s="1">
        <v>43</v>
      </c>
      <c r="F620" s="1">
        <v>69.5</v>
      </c>
      <c r="H620" s="1">
        <v>53.6</v>
      </c>
    </row>
    <row r="621" s="1" customFormat="1" spans="1:8">
      <c r="A621" s="1" t="s">
        <v>14</v>
      </c>
      <c r="B621" s="1" t="s">
        <v>9</v>
      </c>
      <c r="C621" s="1" t="str">
        <f t="shared" si="12"/>
        <v>020083</v>
      </c>
      <c r="D621" s="1" t="str">
        <f>"112102120"</f>
        <v>112102120</v>
      </c>
      <c r="E621" s="1">
        <v>0</v>
      </c>
      <c r="F621" s="1">
        <v>0</v>
      </c>
      <c r="H621" s="1">
        <v>0</v>
      </c>
    </row>
    <row r="622" s="1" customFormat="1" spans="1:8">
      <c r="A622" s="1" t="s">
        <v>14</v>
      </c>
      <c r="B622" s="1" t="s">
        <v>9</v>
      </c>
      <c r="C622" s="1" t="str">
        <f t="shared" si="12"/>
        <v>020083</v>
      </c>
      <c r="D622" s="1" t="str">
        <f>"112102121"</f>
        <v>112102121</v>
      </c>
      <c r="E622" s="1">
        <v>72</v>
      </c>
      <c r="F622" s="1">
        <v>95</v>
      </c>
      <c r="H622" s="1">
        <v>81.2</v>
      </c>
    </row>
    <row r="623" s="1" customFormat="1" spans="1:8">
      <c r="A623" s="1" t="s">
        <v>14</v>
      </c>
      <c r="B623" s="1" t="s">
        <v>9</v>
      </c>
      <c r="C623" s="1" t="str">
        <f t="shared" si="12"/>
        <v>020083</v>
      </c>
      <c r="D623" s="1" t="str">
        <f>"112102122"</f>
        <v>112102122</v>
      </c>
      <c r="E623" s="1">
        <v>79.5</v>
      </c>
      <c r="F623" s="1">
        <v>84.5</v>
      </c>
      <c r="H623" s="1">
        <v>81.5</v>
      </c>
    </row>
    <row r="624" s="1" customFormat="1" spans="1:8">
      <c r="A624" s="1" t="s">
        <v>14</v>
      </c>
      <c r="B624" s="1" t="s">
        <v>9</v>
      </c>
      <c r="C624" s="1" t="str">
        <f t="shared" si="12"/>
        <v>020083</v>
      </c>
      <c r="D624" s="1" t="str">
        <f>"112102123"</f>
        <v>112102123</v>
      </c>
      <c r="E624" s="1">
        <v>46.5</v>
      </c>
      <c r="F624" s="1">
        <v>59.5</v>
      </c>
      <c r="H624" s="1">
        <v>51.7</v>
      </c>
    </row>
    <row r="625" s="1" customFormat="1" spans="1:8">
      <c r="A625" s="1" t="s">
        <v>14</v>
      </c>
      <c r="B625" s="1" t="s">
        <v>9</v>
      </c>
      <c r="C625" s="1" t="str">
        <f t="shared" si="12"/>
        <v>020083</v>
      </c>
      <c r="D625" s="1" t="str">
        <f>"112102124"</f>
        <v>112102124</v>
      </c>
      <c r="E625" s="1">
        <v>68.5</v>
      </c>
      <c r="F625" s="1">
        <v>81.5</v>
      </c>
      <c r="H625" s="1">
        <v>73.7</v>
      </c>
    </row>
    <row r="626" s="1" customFormat="1" spans="1:8">
      <c r="A626" s="1" t="s">
        <v>14</v>
      </c>
      <c r="B626" s="1" t="s">
        <v>9</v>
      </c>
      <c r="C626" s="1" t="str">
        <f t="shared" si="12"/>
        <v>020083</v>
      </c>
      <c r="D626" s="1" t="str">
        <f>"112102125"</f>
        <v>112102125</v>
      </c>
      <c r="E626" s="1">
        <v>0</v>
      </c>
      <c r="F626" s="1">
        <v>0</v>
      </c>
      <c r="H626" s="1">
        <v>0</v>
      </c>
    </row>
    <row r="627" s="1" customFormat="1" spans="1:8">
      <c r="A627" s="1" t="s">
        <v>14</v>
      </c>
      <c r="B627" s="1" t="s">
        <v>9</v>
      </c>
      <c r="C627" s="1" t="str">
        <f t="shared" si="12"/>
        <v>020083</v>
      </c>
      <c r="D627" s="1" t="str">
        <f>"112102126"</f>
        <v>112102126</v>
      </c>
      <c r="E627" s="1">
        <v>0</v>
      </c>
      <c r="F627" s="1">
        <v>0</v>
      </c>
      <c r="H627" s="1">
        <v>0</v>
      </c>
    </row>
    <row r="628" s="1" customFormat="1" spans="1:8">
      <c r="A628" s="1" t="s">
        <v>14</v>
      </c>
      <c r="B628" s="1" t="s">
        <v>9</v>
      </c>
      <c r="C628" s="1" t="str">
        <f t="shared" si="12"/>
        <v>020083</v>
      </c>
      <c r="D628" s="1" t="str">
        <f>"112102127"</f>
        <v>112102127</v>
      </c>
      <c r="E628" s="1">
        <v>49.5</v>
      </c>
      <c r="F628" s="1">
        <v>91.5</v>
      </c>
      <c r="H628" s="1">
        <v>66.3</v>
      </c>
    </row>
    <row r="629" s="1" customFormat="1" spans="1:8">
      <c r="A629" s="1" t="s">
        <v>14</v>
      </c>
      <c r="B629" s="1" t="s">
        <v>9</v>
      </c>
      <c r="C629" s="1" t="str">
        <f t="shared" si="12"/>
        <v>020083</v>
      </c>
      <c r="D629" s="1" t="str">
        <f>"112102128"</f>
        <v>112102128</v>
      </c>
      <c r="E629" s="1">
        <v>51</v>
      </c>
      <c r="F629" s="1">
        <v>86</v>
      </c>
      <c r="H629" s="1">
        <v>65</v>
      </c>
    </row>
    <row r="630" s="1" customFormat="1" spans="1:8">
      <c r="A630" s="1" t="s">
        <v>14</v>
      </c>
      <c r="B630" s="1" t="s">
        <v>9</v>
      </c>
      <c r="C630" s="1" t="str">
        <f t="shared" si="12"/>
        <v>020083</v>
      </c>
      <c r="D630" s="1" t="str">
        <f>"112102129"</f>
        <v>112102129</v>
      </c>
      <c r="E630" s="1">
        <v>0</v>
      </c>
      <c r="F630" s="1">
        <v>0</v>
      </c>
      <c r="H630" s="1">
        <v>0</v>
      </c>
    </row>
    <row r="631" s="1" customFormat="1" spans="1:8">
      <c r="A631" s="1" t="s">
        <v>14</v>
      </c>
      <c r="B631" s="1" t="s">
        <v>9</v>
      </c>
      <c r="C631" s="1" t="str">
        <f t="shared" si="12"/>
        <v>020083</v>
      </c>
      <c r="D631" s="1" t="str">
        <f>"112102130"</f>
        <v>112102130</v>
      </c>
      <c r="E631" s="1">
        <v>56.5</v>
      </c>
      <c r="F631" s="1">
        <v>80.5</v>
      </c>
      <c r="H631" s="1">
        <v>66.1</v>
      </c>
    </row>
    <row r="632" s="1" customFormat="1" spans="1:8">
      <c r="A632" s="1" t="s">
        <v>14</v>
      </c>
      <c r="B632" s="1" t="s">
        <v>9</v>
      </c>
      <c r="C632" s="1" t="str">
        <f t="shared" si="12"/>
        <v>020083</v>
      </c>
      <c r="D632" s="1" t="str">
        <f>"112102201"</f>
        <v>112102201</v>
      </c>
      <c r="E632" s="1">
        <v>0</v>
      </c>
      <c r="F632" s="1">
        <v>0</v>
      </c>
      <c r="H632" s="1">
        <v>0</v>
      </c>
    </row>
    <row r="633" s="1" customFormat="1" spans="1:8">
      <c r="A633" s="1" t="s">
        <v>14</v>
      </c>
      <c r="B633" s="1" t="s">
        <v>9</v>
      </c>
      <c r="C633" s="1" t="str">
        <f t="shared" si="12"/>
        <v>020083</v>
      </c>
      <c r="D633" s="1" t="str">
        <f>"112102202"</f>
        <v>112102202</v>
      </c>
      <c r="E633" s="1">
        <v>84.5</v>
      </c>
      <c r="F633" s="1">
        <v>64.5</v>
      </c>
      <c r="H633" s="1">
        <v>76.5</v>
      </c>
    </row>
    <row r="634" s="1" customFormat="1" spans="1:8">
      <c r="A634" s="1" t="s">
        <v>14</v>
      </c>
      <c r="B634" s="1" t="s">
        <v>9</v>
      </c>
      <c r="C634" s="1" t="str">
        <f t="shared" si="12"/>
        <v>020083</v>
      </c>
      <c r="D634" s="1" t="str">
        <f>"112102203"</f>
        <v>112102203</v>
      </c>
      <c r="E634" s="1">
        <v>0</v>
      </c>
      <c r="F634" s="1">
        <v>0</v>
      </c>
      <c r="H634" s="1">
        <v>0</v>
      </c>
    </row>
    <row r="635" s="1" customFormat="1" spans="1:8">
      <c r="A635" s="1" t="s">
        <v>14</v>
      </c>
      <c r="B635" s="1" t="s">
        <v>9</v>
      </c>
      <c r="C635" s="1" t="str">
        <f t="shared" si="12"/>
        <v>020083</v>
      </c>
      <c r="D635" s="1" t="str">
        <f>"112102204"</f>
        <v>112102204</v>
      </c>
      <c r="E635" s="1">
        <v>0</v>
      </c>
      <c r="F635" s="1">
        <v>0</v>
      </c>
      <c r="H635" s="1">
        <v>0</v>
      </c>
    </row>
    <row r="636" s="1" customFormat="1" spans="1:8">
      <c r="A636" s="1" t="s">
        <v>14</v>
      </c>
      <c r="B636" s="1" t="s">
        <v>9</v>
      </c>
      <c r="C636" s="1" t="str">
        <f t="shared" si="12"/>
        <v>020083</v>
      </c>
      <c r="D636" s="1" t="str">
        <f>"112102205"</f>
        <v>112102205</v>
      </c>
      <c r="E636" s="1">
        <v>49</v>
      </c>
      <c r="F636" s="1">
        <v>48.5</v>
      </c>
      <c r="H636" s="1">
        <v>48.8</v>
      </c>
    </row>
    <row r="637" s="1" customFormat="1" spans="1:8">
      <c r="A637" s="1" t="s">
        <v>14</v>
      </c>
      <c r="B637" s="1" t="s">
        <v>9</v>
      </c>
      <c r="C637" s="1" t="str">
        <f t="shared" si="12"/>
        <v>020083</v>
      </c>
      <c r="D637" s="1" t="str">
        <f>"112102206"</f>
        <v>112102206</v>
      </c>
      <c r="E637" s="1">
        <v>64.5</v>
      </c>
      <c r="F637" s="1">
        <v>80</v>
      </c>
      <c r="H637" s="1">
        <v>70.7</v>
      </c>
    </row>
    <row r="638" s="1" customFormat="1" spans="1:8">
      <c r="A638" s="1" t="s">
        <v>14</v>
      </c>
      <c r="B638" s="1" t="s">
        <v>9</v>
      </c>
      <c r="C638" s="1" t="str">
        <f t="shared" si="12"/>
        <v>020083</v>
      </c>
      <c r="D638" s="1" t="str">
        <f>"112102207"</f>
        <v>112102207</v>
      </c>
      <c r="E638" s="1">
        <v>57</v>
      </c>
      <c r="F638" s="1">
        <v>85.5</v>
      </c>
      <c r="H638" s="1">
        <v>68.4</v>
      </c>
    </row>
    <row r="639" s="1" customFormat="1" spans="1:8">
      <c r="A639" s="1" t="s">
        <v>14</v>
      </c>
      <c r="B639" s="1" t="s">
        <v>9</v>
      </c>
      <c r="C639" s="1" t="str">
        <f t="shared" si="12"/>
        <v>020083</v>
      </c>
      <c r="D639" s="1" t="str">
        <f>"112102208"</f>
        <v>112102208</v>
      </c>
      <c r="E639" s="1">
        <v>39.5</v>
      </c>
      <c r="F639" s="1">
        <v>75.5</v>
      </c>
      <c r="H639" s="1">
        <v>53.9</v>
      </c>
    </row>
    <row r="640" s="1" customFormat="1" spans="1:8">
      <c r="A640" s="1" t="s">
        <v>14</v>
      </c>
      <c r="B640" s="1" t="s">
        <v>9</v>
      </c>
      <c r="C640" s="1" t="str">
        <f t="shared" si="12"/>
        <v>020083</v>
      </c>
      <c r="D640" s="1" t="str">
        <f>"112102209"</f>
        <v>112102209</v>
      </c>
      <c r="E640" s="1">
        <v>45</v>
      </c>
      <c r="F640" s="1">
        <v>54</v>
      </c>
      <c r="H640" s="1">
        <v>48.6</v>
      </c>
    </row>
    <row r="641" s="1" customFormat="1" spans="1:8">
      <c r="A641" s="1" t="s">
        <v>14</v>
      </c>
      <c r="B641" s="1" t="s">
        <v>9</v>
      </c>
      <c r="C641" s="1" t="str">
        <f t="shared" si="12"/>
        <v>020083</v>
      </c>
      <c r="D641" s="1" t="str">
        <f>"112102210"</f>
        <v>112102210</v>
      </c>
      <c r="E641" s="1">
        <v>0</v>
      </c>
      <c r="F641" s="1">
        <v>0</v>
      </c>
      <c r="H641" s="1">
        <v>0</v>
      </c>
    </row>
    <row r="642" s="1" customFormat="1" spans="1:8">
      <c r="A642" s="1" t="s">
        <v>14</v>
      </c>
      <c r="B642" s="1" t="s">
        <v>9</v>
      </c>
      <c r="C642" s="1" t="str">
        <f t="shared" si="12"/>
        <v>020083</v>
      </c>
      <c r="D642" s="1" t="str">
        <f>"112102211"</f>
        <v>112102211</v>
      </c>
      <c r="E642" s="1">
        <v>29</v>
      </c>
      <c r="F642" s="1">
        <v>67.5</v>
      </c>
      <c r="H642" s="1">
        <v>44.4</v>
      </c>
    </row>
    <row r="643" s="1" customFormat="1" spans="1:8">
      <c r="A643" s="1" t="s">
        <v>14</v>
      </c>
      <c r="B643" s="1" t="s">
        <v>9</v>
      </c>
      <c r="C643" s="1" t="str">
        <f t="shared" si="12"/>
        <v>020083</v>
      </c>
      <c r="D643" s="1" t="str">
        <f>"112102212"</f>
        <v>112102212</v>
      </c>
      <c r="E643" s="1">
        <v>0</v>
      </c>
      <c r="F643" s="1">
        <v>0</v>
      </c>
      <c r="H643" s="1">
        <v>0</v>
      </c>
    </row>
    <row r="644" s="1" customFormat="1" spans="1:8">
      <c r="A644" s="1" t="s">
        <v>14</v>
      </c>
      <c r="B644" s="1" t="s">
        <v>9</v>
      </c>
      <c r="C644" s="1" t="str">
        <f t="shared" si="12"/>
        <v>020083</v>
      </c>
      <c r="D644" s="1" t="str">
        <f>"112102213"</f>
        <v>112102213</v>
      </c>
      <c r="E644" s="1">
        <v>0</v>
      </c>
      <c r="F644" s="1">
        <v>0</v>
      </c>
      <c r="H644" s="1">
        <v>0</v>
      </c>
    </row>
    <row r="645" s="1" customFormat="1" spans="1:8">
      <c r="A645" s="1" t="s">
        <v>14</v>
      </c>
      <c r="B645" s="1" t="s">
        <v>9</v>
      </c>
      <c r="C645" s="1" t="str">
        <f t="shared" si="12"/>
        <v>020083</v>
      </c>
      <c r="D645" s="1" t="str">
        <f>"112102214"</f>
        <v>112102214</v>
      </c>
      <c r="E645" s="1">
        <v>0</v>
      </c>
      <c r="F645" s="1">
        <v>0</v>
      </c>
      <c r="H645" s="1">
        <v>0</v>
      </c>
    </row>
    <row r="646" s="1" customFormat="1" spans="1:8">
      <c r="A646" s="1" t="s">
        <v>14</v>
      </c>
      <c r="B646" s="1" t="s">
        <v>9</v>
      </c>
      <c r="C646" s="1" t="str">
        <f t="shared" si="12"/>
        <v>020083</v>
      </c>
      <c r="D646" s="1" t="str">
        <f>"112102215"</f>
        <v>112102215</v>
      </c>
      <c r="E646" s="1">
        <v>75.5</v>
      </c>
      <c r="F646" s="1">
        <v>75.5</v>
      </c>
      <c r="H646" s="1">
        <v>75.5</v>
      </c>
    </row>
    <row r="647" s="1" customFormat="1" spans="1:8">
      <c r="A647" s="1" t="s">
        <v>14</v>
      </c>
      <c r="B647" s="1" t="s">
        <v>9</v>
      </c>
      <c r="C647" s="1" t="str">
        <f t="shared" si="12"/>
        <v>020083</v>
      </c>
      <c r="D647" s="1" t="str">
        <f>"112102216"</f>
        <v>112102216</v>
      </c>
      <c r="E647" s="1">
        <v>91.5</v>
      </c>
      <c r="F647" s="1">
        <v>84</v>
      </c>
      <c r="H647" s="1">
        <v>88.5</v>
      </c>
    </row>
    <row r="648" s="1" customFormat="1" spans="1:8">
      <c r="A648" s="1" t="s">
        <v>14</v>
      </c>
      <c r="B648" s="1" t="s">
        <v>9</v>
      </c>
      <c r="C648" s="1" t="str">
        <f t="shared" si="12"/>
        <v>020083</v>
      </c>
      <c r="D648" s="1" t="str">
        <f>"112102217"</f>
        <v>112102217</v>
      </c>
      <c r="E648" s="1">
        <v>83</v>
      </c>
      <c r="F648" s="1">
        <v>90</v>
      </c>
      <c r="H648" s="1">
        <v>85.8</v>
      </c>
    </row>
    <row r="649" s="1" customFormat="1" spans="1:8">
      <c r="A649" s="1" t="s">
        <v>14</v>
      </c>
      <c r="B649" s="1" t="s">
        <v>9</v>
      </c>
      <c r="C649" s="1" t="str">
        <f t="shared" si="12"/>
        <v>020083</v>
      </c>
      <c r="D649" s="1" t="str">
        <f>"112102218"</f>
        <v>112102218</v>
      </c>
      <c r="E649" s="1">
        <v>74.5</v>
      </c>
      <c r="F649" s="1">
        <v>64.5</v>
      </c>
      <c r="G649" s="1">
        <v>2</v>
      </c>
      <c r="H649" s="1">
        <v>72.5</v>
      </c>
    </row>
    <row r="650" s="1" customFormat="1" spans="1:8">
      <c r="A650" s="1" t="s">
        <v>14</v>
      </c>
      <c r="B650" s="1" t="s">
        <v>9</v>
      </c>
      <c r="C650" s="1" t="str">
        <f t="shared" si="12"/>
        <v>020083</v>
      </c>
      <c r="D650" s="1" t="str">
        <f>"112102219"</f>
        <v>112102219</v>
      </c>
      <c r="E650" s="1">
        <v>35.5</v>
      </c>
      <c r="F650" s="1">
        <v>60.5</v>
      </c>
      <c r="H650" s="1">
        <v>45.5</v>
      </c>
    </row>
    <row r="651" s="1" customFormat="1" spans="1:8">
      <c r="A651" s="1" t="s">
        <v>14</v>
      </c>
      <c r="B651" s="1" t="s">
        <v>9</v>
      </c>
      <c r="C651" s="1" t="str">
        <f t="shared" si="12"/>
        <v>020083</v>
      </c>
      <c r="D651" s="1" t="str">
        <f>"112102220"</f>
        <v>112102220</v>
      </c>
      <c r="E651" s="1">
        <v>31.5</v>
      </c>
      <c r="F651" s="1">
        <v>0</v>
      </c>
      <c r="H651" s="1">
        <v>18.9</v>
      </c>
    </row>
    <row r="652" s="1" customFormat="1" spans="1:8">
      <c r="A652" s="1" t="s">
        <v>14</v>
      </c>
      <c r="B652" s="1" t="s">
        <v>9</v>
      </c>
      <c r="C652" s="1" t="str">
        <f t="shared" si="12"/>
        <v>020083</v>
      </c>
      <c r="D652" s="1" t="str">
        <f>"112102221"</f>
        <v>112102221</v>
      </c>
      <c r="E652" s="1">
        <v>35</v>
      </c>
      <c r="F652" s="1">
        <v>60.5</v>
      </c>
      <c r="H652" s="1">
        <v>45.2</v>
      </c>
    </row>
    <row r="653" s="1" customFormat="1" spans="1:8">
      <c r="A653" s="1" t="s">
        <v>14</v>
      </c>
      <c r="B653" s="1" t="s">
        <v>9</v>
      </c>
      <c r="C653" s="1" t="str">
        <f t="shared" si="12"/>
        <v>020083</v>
      </c>
      <c r="D653" s="1" t="str">
        <f>"112102222"</f>
        <v>112102222</v>
      </c>
      <c r="E653" s="1">
        <v>60.5</v>
      </c>
      <c r="F653" s="1">
        <v>65.5</v>
      </c>
      <c r="H653" s="1">
        <v>62.5</v>
      </c>
    </row>
    <row r="654" s="1" customFormat="1" spans="1:8">
      <c r="A654" s="1" t="s">
        <v>14</v>
      </c>
      <c r="B654" s="1" t="s">
        <v>9</v>
      </c>
      <c r="C654" s="1" t="str">
        <f t="shared" si="12"/>
        <v>020083</v>
      </c>
      <c r="D654" s="1" t="str">
        <f>"112102223"</f>
        <v>112102223</v>
      </c>
      <c r="E654" s="1">
        <v>75.5</v>
      </c>
      <c r="F654" s="1">
        <v>92</v>
      </c>
      <c r="H654" s="1">
        <v>82.1</v>
      </c>
    </row>
    <row r="655" s="1" customFormat="1" spans="1:8">
      <c r="A655" s="1" t="s">
        <v>14</v>
      </c>
      <c r="B655" s="1" t="s">
        <v>9</v>
      </c>
      <c r="C655" s="1" t="str">
        <f t="shared" si="12"/>
        <v>020083</v>
      </c>
      <c r="D655" s="1" t="str">
        <f>"112102224"</f>
        <v>112102224</v>
      </c>
      <c r="E655" s="1">
        <v>55</v>
      </c>
      <c r="F655" s="1">
        <v>58</v>
      </c>
      <c r="H655" s="1">
        <v>56.2</v>
      </c>
    </row>
    <row r="656" s="1" customFormat="1" spans="1:8">
      <c r="A656" s="1" t="s">
        <v>14</v>
      </c>
      <c r="B656" s="1" t="s">
        <v>9</v>
      </c>
      <c r="C656" s="1" t="str">
        <f t="shared" si="12"/>
        <v>020083</v>
      </c>
      <c r="D656" s="1" t="str">
        <f>"112102225"</f>
        <v>112102225</v>
      </c>
      <c r="E656" s="1">
        <v>47.5</v>
      </c>
      <c r="F656" s="1">
        <v>53</v>
      </c>
      <c r="H656" s="1">
        <v>49.7</v>
      </c>
    </row>
    <row r="657" s="1" customFormat="1" spans="1:8">
      <c r="A657" s="1" t="s">
        <v>14</v>
      </c>
      <c r="B657" s="1" t="s">
        <v>9</v>
      </c>
      <c r="C657" s="1" t="str">
        <f t="shared" si="12"/>
        <v>020083</v>
      </c>
      <c r="D657" s="1" t="str">
        <f>"112102226"</f>
        <v>112102226</v>
      </c>
      <c r="E657" s="1">
        <v>32.5</v>
      </c>
      <c r="F657" s="1">
        <v>70.5</v>
      </c>
      <c r="H657" s="1">
        <v>47.7</v>
      </c>
    </row>
    <row r="658" s="1" customFormat="1" spans="1:8">
      <c r="A658" s="1" t="s">
        <v>14</v>
      </c>
      <c r="B658" s="1" t="s">
        <v>9</v>
      </c>
      <c r="C658" s="1" t="str">
        <f t="shared" si="12"/>
        <v>020083</v>
      </c>
      <c r="D658" s="1" t="str">
        <f>"112102227"</f>
        <v>112102227</v>
      </c>
      <c r="E658" s="1">
        <v>87</v>
      </c>
      <c r="F658" s="1">
        <v>83</v>
      </c>
      <c r="H658" s="1">
        <v>85.4</v>
      </c>
    </row>
    <row r="659" s="1" customFormat="1" spans="1:8">
      <c r="A659" s="1" t="s">
        <v>14</v>
      </c>
      <c r="B659" s="1" t="s">
        <v>9</v>
      </c>
      <c r="C659" s="1" t="str">
        <f t="shared" si="12"/>
        <v>020083</v>
      </c>
      <c r="D659" s="1" t="str">
        <f>"112102228"</f>
        <v>112102228</v>
      </c>
      <c r="E659" s="1">
        <v>60.5</v>
      </c>
      <c r="F659" s="1">
        <v>66.5</v>
      </c>
      <c r="H659" s="1">
        <v>62.9</v>
      </c>
    </row>
    <row r="660" s="1" customFormat="1" spans="1:8">
      <c r="A660" s="1" t="s">
        <v>14</v>
      </c>
      <c r="B660" s="1" t="s">
        <v>9</v>
      </c>
      <c r="C660" s="1" t="str">
        <f t="shared" si="12"/>
        <v>020083</v>
      </c>
      <c r="D660" s="1" t="str">
        <f>"112102229"</f>
        <v>112102229</v>
      </c>
      <c r="E660" s="1">
        <v>80</v>
      </c>
      <c r="F660" s="1">
        <v>87.5</v>
      </c>
      <c r="H660" s="1">
        <v>83</v>
      </c>
    </row>
    <row r="661" s="1" customFormat="1" spans="1:8">
      <c r="A661" s="1" t="s">
        <v>14</v>
      </c>
      <c r="B661" s="1" t="s">
        <v>9</v>
      </c>
      <c r="C661" s="1" t="str">
        <f t="shared" si="12"/>
        <v>020083</v>
      </c>
      <c r="D661" s="1" t="str">
        <f>"112102230"</f>
        <v>112102230</v>
      </c>
      <c r="E661" s="1">
        <v>71</v>
      </c>
      <c r="F661" s="1">
        <v>80.5</v>
      </c>
      <c r="H661" s="1">
        <v>74.8</v>
      </c>
    </row>
    <row r="662" s="1" customFormat="1" spans="1:8">
      <c r="A662" s="1" t="s">
        <v>14</v>
      </c>
      <c r="B662" s="1" t="s">
        <v>9</v>
      </c>
      <c r="C662" s="1" t="str">
        <f t="shared" si="12"/>
        <v>020083</v>
      </c>
      <c r="D662" s="1" t="str">
        <f>"112102301"</f>
        <v>112102301</v>
      </c>
      <c r="E662" s="1">
        <v>0</v>
      </c>
      <c r="F662" s="1">
        <v>0</v>
      </c>
      <c r="H662" s="1">
        <v>0</v>
      </c>
    </row>
    <row r="663" s="1" customFormat="1" spans="1:8">
      <c r="A663" s="1" t="s">
        <v>14</v>
      </c>
      <c r="B663" s="1" t="s">
        <v>9</v>
      </c>
      <c r="C663" s="1" t="str">
        <f t="shared" si="12"/>
        <v>020083</v>
      </c>
      <c r="D663" s="1" t="str">
        <f>"112102302"</f>
        <v>112102302</v>
      </c>
      <c r="E663" s="1">
        <v>54</v>
      </c>
      <c r="F663" s="1">
        <v>69</v>
      </c>
      <c r="H663" s="1">
        <v>60</v>
      </c>
    </row>
    <row r="664" s="1" customFormat="1" spans="1:8">
      <c r="A664" s="1" t="s">
        <v>14</v>
      </c>
      <c r="B664" s="1" t="s">
        <v>9</v>
      </c>
      <c r="C664" s="1" t="str">
        <f t="shared" si="12"/>
        <v>020083</v>
      </c>
      <c r="D664" s="1" t="str">
        <f>"112102303"</f>
        <v>112102303</v>
      </c>
      <c r="E664" s="1">
        <v>41.5</v>
      </c>
      <c r="F664" s="1">
        <v>0</v>
      </c>
      <c r="H664" s="1">
        <v>24.9</v>
      </c>
    </row>
    <row r="665" s="1" customFormat="1" spans="1:8">
      <c r="A665" s="1" t="s">
        <v>14</v>
      </c>
      <c r="B665" s="1" t="s">
        <v>9</v>
      </c>
      <c r="C665" s="1" t="str">
        <f t="shared" si="12"/>
        <v>020083</v>
      </c>
      <c r="D665" s="1" t="str">
        <f>"112102304"</f>
        <v>112102304</v>
      </c>
      <c r="E665" s="1">
        <v>0</v>
      </c>
      <c r="F665" s="1">
        <v>0</v>
      </c>
      <c r="H665" s="1">
        <v>0</v>
      </c>
    </row>
    <row r="666" s="1" customFormat="1" spans="1:8">
      <c r="A666" s="1" t="s">
        <v>14</v>
      </c>
      <c r="B666" s="1" t="s">
        <v>9</v>
      </c>
      <c r="C666" s="1" t="str">
        <f t="shared" si="12"/>
        <v>020083</v>
      </c>
      <c r="D666" s="1" t="str">
        <f>"112102305"</f>
        <v>112102305</v>
      </c>
      <c r="E666" s="1">
        <v>0</v>
      </c>
      <c r="F666" s="1">
        <v>0</v>
      </c>
      <c r="H666" s="1">
        <v>0</v>
      </c>
    </row>
    <row r="667" s="1" customFormat="1" spans="1:8">
      <c r="A667" s="1" t="s">
        <v>14</v>
      </c>
      <c r="B667" s="1" t="s">
        <v>9</v>
      </c>
      <c r="C667" s="1" t="str">
        <f t="shared" ref="C667:C728" si="13">"020083"</f>
        <v>020083</v>
      </c>
      <c r="D667" s="1" t="str">
        <f>"112102306"</f>
        <v>112102306</v>
      </c>
      <c r="E667" s="1">
        <v>52.5</v>
      </c>
      <c r="F667" s="1">
        <v>50.5</v>
      </c>
      <c r="H667" s="1">
        <v>51.7</v>
      </c>
    </row>
    <row r="668" s="1" customFormat="1" spans="1:8">
      <c r="A668" s="1" t="s">
        <v>14</v>
      </c>
      <c r="B668" s="1" t="s">
        <v>9</v>
      </c>
      <c r="C668" s="1" t="str">
        <f t="shared" si="13"/>
        <v>020083</v>
      </c>
      <c r="D668" s="1" t="str">
        <f>"112102307"</f>
        <v>112102307</v>
      </c>
      <c r="E668" s="1">
        <v>77.5</v>
      </c>
      <c r="F668" s="1">
        <v>100.5</v>
      </c>
      <c r="H668" s="1">
        <v>86.7</v>
      </c>
    </row>
    <row r="669" s="1" customFormat="1" spans="1:8">
      <c r="A669" s="1" t="s">
        <v>14</v>
      </c>
      <c r="B669" s="1" t="s">
        <v>9</v>
      </c>
      <c r="C669" s="1" t="str">
        <f t="shared" si="13"/>
        <v>020083</v>
      </c>
      <c r="D669" s="1" t="str">
        <f>"112102308"</f>
        <v>112102308</v>
      </c>
      <c r="E669" s="1">
        <v>40.5</v>
      </c>
      <c r="F669" s="1">
        <v>81</v>
      </c>
      <c r="H669" s="1">
        <v>56.7</v>
      </c>
    </row>
    <row r="670" s="1" customFormat="1" spans="1:8">
      <c r="A670" s="1" t="s">
        <v>14</v>
      </c>
      <c r="B670" s="1" t="s">
        <v>9</v>
      </c>
      <c r="C670" s="1" t="str">
        <f t="shared" si="13"/>
        <v>020083</v>
      </c>
      <c r="D670" s="1" t="str">
        <f>"112102309"</f>
        <v>112102309</v>
      </c>
      <c r="E670" s="1">
        <v>63.5</v>
      </c>
      <c r="F670" s="1">
        <v>85</v>
      </c>
      <c r="H670" s="1">
        <v>72.1</v>
      </c>
    </row>
    <row r="671" s="1" customFormat="1" spans="1:8">
      <c r="A671" s="1" t="s">
        <v>14</v>
      </c>
      <c r="B671" s="1" t="s">
        <v>9</v>
      </c>
      <c r="C671" s="1" t="str">
        <f t="shared" si="13"/>
        <v>020083</v>
      </c>
      <c r="D671" s="1" t="str">
        <f>"112102310"</f>
        <v>112102310</v>
      </c>
      <c r="E671" s="1">
        <v>70</v>
      </c>
      <c r="F671" s="1">
        <v>62</v>
      </c>
      <c r="H671" s="1">
        <v>66.8</v>
      </c>
    </row>
    <row r="672" s="1" customFormat="1" spans="1:8">
      <c r="A672" s="1" t="s">
        <v>14</v>
      </c>
      <c r="B672" s="1" t="s">
        <v>9</v>
      </c>
      <c r="C672" s="1" t="str">
        <f t="shared" si="13"/>
        <v>020083</v>
      </c>
      <c r="D672" s="1" t="str">
        <f>"112102311"</f>
        <v>112102311</v>
      </c>
      <c r="E672" s="1">
        <v>55</v>
      </c>
      <c r="F672" s="1">
        <v>65.5</v>
      </c>
      <c r="H672" s="1">
        <v>59.2</v>
      </c>
    </row>
    <row r="673" s="1" customFormat="1" spans="1:8">
      <c r="A673" s="1" t="s">
        <v>14</v>
      </c>
      <c r="B673" s="1" t="s">
        <v>9</v>
      </c>
      <c r="C673" s="1" t="str">
        <f t="shared" si="13"/>
        <v>020083</v>
      </c>
      <c r="D673" s="1" t="str">
        <f>"112102312"</f>
        <v>112102312</v>
      </c>
      <c r="E673" s="1">
        <v>54.5</v>
      </c>
      <c r="F673" s="1">
        <v>74</v>
      </c>
      <c r="H673" s="1">
        <v>62.3</v>
      </c>
    </row>
    <row r="674" s="1" customFormat="1" spans="1:8">
      <c r="A674" s="1" t="s">
        <v>14</v>
      </c>
      <c r="B674" s="1" t="s">
        <v>9</v>
      </c>
      <c r="C674" s="1" t="str">
        <f t="shared" si="13"/>
        <v>020083</v>
      </c>
      <c r="D674" s="1" t="str">
        <f>"112102313"</f>
        <v>112102313</v>
      </c>
      <c r="E674" s="1">
        <v>90.5</v>
      </c>
      <c r="F674" s="1">
        <v>83.5</v>
      </c>
      <c r="H674" s="1">
        <v>87.7</v>
      </c>
    </row>
    <row r="675" s="1" customFormat="1" spans="1:8">
      <c r="A675" s="1" t="s">
        <v>14</v>
      </c>
      <c r="B675" s="1" t="s">
        <v>9</v>
      </c>
      <c r="C675" s="1" t="str">
        <f t="shared" si="13"/>
        <v>020083</v>
      </c>
      <c r="D675" s="1" t="str">
        <f>"112102314"</f>
        <v>112102314</v>
      </c>
      <c r="E675" s="1">
        <v>31</v>
      </c>
      <c r="F675" s="1">
        <v>51</v>
      </c>
      <c r="H675" s="1">
        <v>39</v>
      </c>
    </row>
    <row r="676" s="1" customFormat="1" spans="1:8">
      <c r="A676" s="1" t="s">
        <v>14</v>
      </c>
      <c r="B676" s="1" t="s">
        <v>9</v>
      </c>
      <c r="C676" s="1" t="str">
        <f t="shared" si="13"/>
        <v>020083</v>
      </c>
      <c r="D676" s="1" t="str">
        <f>"112102315"</f>
        <v>112102315</v>
      </c>
      <c r="E676" s="1">
        <v>43.5</v>
      </c>
      <c r="F676" s="1">
        <v>79.5</v>
      </c>
      <c r="H676" s="1">
        <v>57.9</v>
      </c>
    </row>
    <row r="677" s="1" customFormat="1" spans="1:8">
      <c r="A677" s="1" t="s">
        <v>14</v>
      </c>
      <c r="B677" s="1" t="s">
        <v>9</v>
      </c>
      <c r="C677" s="1" t="str">
        <f t="shared" si="13"/>
        <v>020083</v>
      </c>
      <c r="D677" s="1" t="str">
        <f>"112102316"</f>
        <v>112102316</v>
      </c>
      <c r="E677" s="1">
        <v>0</v>
      </c>
      <c r="F677" s="1">
        <v>0</v>
      </c>
      <c r="H677" s="1">
        <v>0</v>
      </c>
    </row>
    <row r="678" s="1" customFormat="1" spans="1:8">
      <c r="A678" s="1" t="s">
        <v>14</v>
      </c>
      <c r="B678" s="1" t="s">
        <v>9</v>
      </c>
      <c r="C678" s="1" t="str">
        <f t="shared" si="13"/>
        <v>020083</v>
      </c>
      <c r="D678" s="1" t="str">
        <f>"112102317"</f>
        <v>112102317</v>
      </c>
      <c r="E678" s="1">
        <v>0</v>
      </c>
      <c r="F678" s="1">
        <v>0</v>
      </c>
      <c r="H678" s="1">
        <v>0</v>
      </c>
    </row>
    <row r="679" s="1" customFormat="1" spans="1:8">
      <c r="A679" s="1" t="s">
        <v>14</v>
      </c>
      <c r="B679" s="1" t="s">
        <v>9</v>
      </c>
      <c r="C679" s="1" t="str">
        <f t="shared" si="13"/>
        <v>020083</v>
      </c>
      <c r="D679" s="1" t="str">
        <f>"112102318"</f>
        <v>112102318</v>
      </c>
      <c r="E679" s="1">
        <v>0</v>
      </c>
      <c r="F679" s="1">
        <v>0</v>
      </c>
      <c r="H679" s="1">
        <v>0</v>
      </c>
    </row>
    <row r="680" s="1" customFormat="1" spans="1:8">
      <c r="A680" s="1" t="s">
        <v>14</v>
      </c>
      <c r="B680" s="1" t="s">
        <v>9</v>
      </c>
      <c r="C680" s="1" t="str">
        <f t="shared" si="13"/>
        <v>020083</v>
      </c>
      <c r="D680" s="1" t="str">
        <f>"112102319"</f>
        <v>112102319</v>
      </c>
      <c r="E680" s="1">
        <v>0</v>
      </c>
      <c r="F680" s="1">
        <v>0</v>
      </c>
      <c r="H680" s="1">
        <v>0</v>
      </c>
    </row>
    <row r="681" s="1" customFormat="1" spans="1:8">
      <c r="A681" s="1" t="s">
        <v>14</v>
      </c>
      <c r="B681" s="1" t="s">
        <v>9</v>
      </c>
      <c r="C681" s="1" t="str">
        <f t="shared" si="13"/>
        <v>020083</v>
      </c>
      <c r="D681" s="1" t="str">
        <f>"112102320"</f>
        <v>112102320</v>
      </c>
      <c r="E681" s="1">
        <v>69</v>
      </c>
      <c r="F681" s="1">
        <v>65</v>
      </c>
      <c r="H681" s="1">
        <v>67.4</v>
      </c>
    </row>
    <row r="682" s="1" customFormat="1" spans="1:8">
      <c r="A682" s="1" t="s">
        <v>14</v>
      </c>
      <c r="B682" s="1" t="s">
        <v>9</v>
      </c>
      <c r="C682" s="1" t="str">
        <f t="shared" si="13"/>
        <v>020083</v>
      </c>
      <c r="D682" s="1" t="str">
        <f>"112102321"</f>
        <v>112102321</v>
      </c>
      <c r="E682" s="1">
        <v>75</v>
      </c>
      <c r="F682" s="1">
        <v>66</v>
      </c>
      <c r="H682" s="1">
        <v>71.4</v>
      </c>
    </row>
    <row r="683" s="1" customFormat="1" spans="1:8">
      <c r="A683" s="1" t="s">
        <v>14</v>
      </c>
      <c r="B683" s="1" t="s">
        <v>9</v>
      </c>
      <c r="C683" s="1" t="str">
        <f t="shared" si="13"/>
        <v>020083</v>
      </c>
      <c r="D683" s="1" t="str">
        <f>"112102322"</f>
        <v>112102322</v>
      </c>
      <c r="E683" s="1">
        <v>0</v>
      </c>
      <c r="F683" s="1">
        <v>0</v>
      </c>
      <c r="H683" s="1">
        <v>0</v>
      </c>
    </row>
    <row r="684" s="1" customFormat="1" spans="1:8">
      <c r="A684" s="1" t="s">
        <v>14</v>
      </c>
      <c r="B684" s="1" t="s">
        <v>9</v>
      </c>
      <c r="C684" s="1" t="str">
        <f t="shared" si="13"/>
        <v>020083</v>
      </c>
      <c r="D684" s="1" t="str">
        <f>"112102323"</f>
        <v>112102323</v>
      </c>
      <c r="E684" s="1">
        <v>56.5</v>
      </c>
      <c r="F684" s="1">
        <v>96</v>
      </c>
      <c r="H684" s="1">
        <v>72.3</v>
      </c>
    </row>
    <row r="685" s="1" customFormat="1" spans="1:8">
      <c r="A685" s="1" t="s">
        <v>14</v>
      </c>
      <c r="B685" s="1" t="s">
        <v>9</v>
      </c>
      <c r="C685" s="1" t="str">
        <f t="shared" si="13"/>
        <v>020083</v>
      </c>
      <c r="D685" s="1" t="str">
        <f>"112102324"</f>
        <v>112102324</v>
      </c>
      <c r="E685" s="1">
        <v>26.5</v>
      </c>
      <c r="F685" s="1">
        <v>49</v>
      </c>
      <c r="H685" s="1">
        <v>35.5</v>
      </c>
    </row>
    <row r="686" s="1" customFormat="1" spans="1:8">
      <c r="A686" s="1" t="s">
        <v>14</v>
      </c>
      <c r="B686" s="1" t="s">
        <v>9</v>
      </c>
      <c r="C686" s="1" t="str">
        <f t="shared" si="13"/>
        <v>020083</v>
      </c>
      <c r="D686" s="1" t="str">
        <f>"112102325"</f>
        <v>112102325</v>
      </c>
      <c r="E686" s="1">
        <v>76.5</v>
      </c>
      <c r="F686" s="1">
        <v>90</v>
      </c>
      <c r="H686" s="1">
        <v>81.9</v>
      </c>
    </row>
    <row r="687" s="1" customFormat="1" spans="1:8">
      <c r="A687" s="1" t="s">
        <v>14</v>
      </c>
      <c r="B687" s="1" t="s">
        <v>9</v>
      </c>
      <c r="C687" s="1" t="str">
        <f t="shared" si="13"/>
        <v>020083</v>
      </c>
      <c r="D687" s="1" t="str">
        <f>"112102326"</f>
        <v>112102326</v>
      </c>
      <c r="E687" s="1">
        <v>68</v>
      </c>
      <c r="F687" s="1">
        <v>80</v>
      </c>
      <c r="H687" s="1">
        <v>72.8</v>
      </c>
    </row>
    <row r="688" s="1" customFormat="1" spans="1:8">
      <c r="A688" s="1" t="s">
        <v>14</v>
      </c>
      <c r="B688" s="1" t="s">
        <v>9</v>
      </c>
      <c r="C688" s="1" t="str">
        <f t="shared" si="13"/>
        <v>020083</v>
      </c>
      <c r="D688" s="1" t="str">
        <f>"112102327"</f>
        <v>112102327</v>
      </c>
      <c r="E688" s="1">
        <v>71.5</v>
      </c>
      <c r="F688" s="1">
        <v>86.5</v>
      </c>
      <c r="H688" s="1">
        <v>77.5</v>
      </c>
    </row>
    <row r="689" s="1" customFormat="1" spans="1:8">
      <c r="A689" s="1" t="s">
        <v>14</v>
      </c>
      <c r="B689" s="1" t="s">
        <v>9</v>
      </c>
      <c r="C689" s="1" t="str">
        <f t="shared" si="13"/>
        <v>020083</v>
      </c>
      <c r="D689" s="1" t="str">
        <f>"112102328"</f>
        <v>112102328</v>
      </c>
      <c r="E689" s="1">
        <v>38.5</v>
      </c>
      <c r="F689" s="1">
        <v>75.5</v>
      </c>
      <c r="H689" s="1">
        <v>53.3</v>
      </c>
    </row>
    <row r="690" s="1" customFormat="1" spans="1:8">
      <c r="A690" s="1" t="s">
        <v>14</v>
      </c>
      <c r="B690" s="1" t="s">
        <v>9</v>
      </c>
      <c r="C690" s="1" t="str">
        <f t="shared" si="13"/>
        <v>020083</v>
      </c>
      <c r="D690" s="1" t="str">
        <f>"112102329"</f>
        <v>112102329</v>
      </c>
      <c r="E690" s="1">
        <v>36.5</v>
      </c>
      <c r="F690" s="1">
        <v>57.5</v>
      </c>
      <c r="H690" s="1">
        <v>44.9</v>
      </c>
    </row>
    <row r="691" s="1" customFormat="1" spans="1:8">
      <c r="A691" s="1" t="s">
        <v>14</v>
      </c>
      <c r="B691" s="1" t="s">
        <v>9</v>
      </c>
      <c r="C691" s="1" t="str">
        <f t="shared" si="13"/>
        <v>020083</v>
      </c>
      <c r="D691" s="1" t="str">
        <f>"112102330"</f>
        <v>112102330</v>
      </c>
      <c r="E691" s="1">
        <v>38</v>
      </c>
      <c r="F691" s="1">
        <v>64.5</v>
      </c>
      <c r="H691" s="1">
        <v>48.6</v>
      </c>
    </row>
    <row r="692" s="1" customFormat="1" spans="1:8">
      <c r="A692" s="1" t="s">
        <v>14</v>
      </c>
      <c r="B692" s="1" t="s">
        <v>9</v>
      </c>
      <c r="C692" s="1" t="str">
        <f t="shared" si="13"/>
        <v>020083</v>
      </c>
      <c r="D692" s="1" t="str">
        <f>"112102401"</f>
        <v>112102401</v>
      </c>
      <c r="E692" s="1">
        <v>62</v>
      </c>
      <c r="F692" s="1">
        <v>91</v>
      </c>
      <c r="H692" s="1">
        <v>73.6</v>
      </c>
    </row>
    <row r="693" s="1" customFormat="1" spans="1:8">
      <c r="A693" s="1" t="s">
        <v>14</v>
      </c>
      <c r="B693" s="1" t="s">
        <v>9</v>
      </c>
      <c r="C693" s="1" t="str">
        <f t="shared" si="13"/>
        <v>020083</v>
      </c>
      <c r="D693" s="1" t="str">
        <f>"112102402"</f>
        <v>112102402</v>
      </c>
      <c r="E693" s="1">
        <v>78.5</v>
      </c>
      <c r="F693" s="1">
        <v>89</v>
      </c>
      <c r="H693" s="1">
        <v>82.7</v>
      </c>
    </row>
    <row r="694" s="1" customFormat="1" spans="1:8">
      <c r="A694" s="1" t="s">
        <v>14</v>
      </c>
      <c r="B694" s="1" t="s">
        <v>9</v>
      </c>
      <c r="C694" s="1" t="str">
        <f t="shared" si="13"/>
        <v>020083</v>
      </c>
      <c r="D694" s="1" t="str">
        <f>"112102403"</f>
        <v>112102403</v>
      </c>
      <c r="E694" s="1">
        <v>49</v>
      </c>
      <c r="F694" s="1">
        <v>69.5</v>
      </c>
      <c r="H694" s="1">
        <v>57.2</v>
      </c>
    </row>
    <row r="695" s="1" customFormat="1" spans="1:8">
      <c r="A695" s="1" t="s">
        <v>14</v>
      </c>
      <c r="B695" s="1" t="s">
        <v>9</v>
      </c>
      <c r="C695" s="1" t="str">
        <f t="shared" si="13"/>
        <v>020083</v>
      </c>
      <c r="D695" s="1" t="str">
        <f>"112102404"</f>
        <v>112102404</v>
      </c>
      <c r="E695" s="1">
        <v>0</v>
      </c>
      <c r="F695" s="1">
        <v>0</v>
      </c>
      <c r="H695" s="1">
        <v>0</v>
      </c>
    </row>
    <row r="696" s="1" customFormat="1" spans="1:8">
      <c r="A696" s="1" t="s">
        <v>14</v>
      </c>
      <c r="B696" s="1" t="s">
        <v>9</v>
      </c>
      <c r="C696" s="1" t="str">
        <f t="shared" si="13"/>
        <v>020083</v>
      </c>
      <c r="D696" s="1" t="str">
        <f>"112102405"</f>
        <v>112102405</v>
      </c>
      <c r="E696" s="1">
        <v>64.5</v>
      </c>
      <c r="F696" s="1">
        <v>54.5</v>
      </c>
      <c r="H696" s="1">
        <v>60.5</v>
      </c>
    </row>
    <row r="697" s="1" customFormat="1" spans="1:8">
      <c r="A697" s="1" t="s">
        <v>14</v>
      </c>
      <c r="B697" s="1" t="s">
        <v>9</v>
      </c>
      <c r="C697" s="1" t="str">
        <f t="shared" si="13"/>
        <v>020083</v>
      </c>
      <c r="D697" s="1" t="str">
        <f>"112102406"</f>
        <v>112102406</v>
      </c>
      <c r="E697" s="1">
        <v>52</v>
      </c>
      <c r="F697" s="1">
        <v>92.5</v>
      </c>
      <c r="H697" s="1">
        <v>68.2</v>
      </c>
    </row>
    <row r="698" s="1" customFormat="1" spans="1:8">
      <c r="A698" s="1" t="s">
        <v>14</v>
      </c>
      <c r="B698" s="1" t="s">
        <v>9</v>
      </c>
      <c r="C698" s="1" t="str">
        <f t="shared" si="13"/>
        <v>020083</v>
      </c>
      <c r="D698" s="1" t="str">
        <f>"112102407"</f>
        <v>112102407</v>
      </c>
      <c r="E698" s="1">
        <v>79</v>
      </c>
      <c r="F698" s="1">
        <v>58.5</v>
      </c>
      <c r="H698" s="1">
        <v>70.8</v>
      </c>
    </row>
    <row r="699" s="1" customFormat="1" spans="1:8">
      <c r="A699" s="1" t="s">
        <v>14</v>
      </c>
      <c r="B699" s="1" t="s">
        <v>9</v>
      </c>
      <c r="C699" s="1" t="str">
        <f t="shared" si="13"/>
        <v>020083</v>
      </c>
      <c r="D699" s="1" t="str">
        <f>"112102408"</f>
        <v>112102408</v>
      </c>
      <c r="E699" s="1">
        <v>65</v>
      </c>
      <c r="F699" s="1">
        <v>57</v>
      </c>
      <c r="H699" s="1">
        <v>61.8</v>
      </c>
    </row>
    <row r="700" s="1" customFormat="1" spans="1:8">
      <c r="A700" s="1" t="s">
        <v>14</v>
      </c>
      <c r="B700" s="1" t="s">
        <v>9</v>
      </c>
      <c r="C700" s="1" t="str">
        <f t="shared" si="13"/>
        <v>020083</v>
      </c>
      <c r="D700" s="1" t="str">
        <f>"112102409"</f>
        <v>112102409</v>
      </c>
      <c r="E700" s="1">
        <v>86.5</v>
      </c>
      <c r="F700" s="1">
        <v>100.5</v>
      </c>
      <c r="H700" s="1">
        <v>92.1</v>
      </c>
    </row>
    <row r="701" s="1" customFormat="1" spans="1:8">
      <c r="A701" s="1" t="s">
        <v>14</v>
      </c>
      <c r="B701" s="1" t="s">
        <v>9</v>
      </c>
      <c r="C701" s="1" t="str">
        <f t="shared" si="13"/>
        <v>020083</v>
      </c>
      <c r="D701" s="1" t="str">
        <f>"112102410"</f>
        <v>112102410</v>
      </c>
      <c r="E701" s="1">
        <v>47</v>
      </c>
      <c r="F701" s="1">
        <v>75</v>
      </c>
      <c r="H701" s="1">
        <v>58.2</v>
      </c>
    </row>
    <row r="702" s="1" customFormat="1" spans="1:8">
      <c r="A702" s="1" t="s">
        <v>14</v>
      </c>
      <c r="B702" s="1" t="s">
        <v>9</v>
      </c>
      <c r="C702" s="1" t="str">
        <f t="shared" si="13"/>
        <v>020083</v>
      </c>
      <c r="D702" s="1" t="str">
        <f>"112102411"</f>
        <v>112102411</v>
      </c>
      <c r="E702" s="1">
        <v>45</v>
      </c>
      <c r="F702" s="1">
        <v>63</v>
      </c>
      <c r="H702" s="1">
        <v>52.2</v>
      </c>
    </row>
    <row r="703" s="1" customFormat="1" spans="1:8">
      <c r="A703" s="1" t="s">
        <v>14</v>
      </c>
      <c r="B703" s="1" t="s">
        <v>9</v>
      </c>
      <c r="C703" s="1" t="str">
        <f t="shared" si="13"/>
        <v>020083</v>
      </c>
      <c r="D703" s="1" t="str">
        <f>"112102412"</f>
        <v>112102412</v>
      </c>
      <c r="E703" s="1">
        <v>49</v>
      </c>
      <c r="F703" s="1">
        <v>61</v>
      </c>
      <c r="H703" s="1">
        <v>53.8</v>
      </c>
    </row>
    <row r="704" s="1" customFormat="1" spans="1:8">
      <c r="A704" s="1" t="s">
        <v>14</v>
      </c>
      <c r="B704" s="1" t="s">
        <v>9</v>
      </c>
      <c r="C704" s="1" t="str">
        <f t="shared" si="13"/>
        <v>020083</v>
      </c>
      <c r="D704" s="1" t="str">
        <f>"112102413"</f>
        <v>112102413</v>
      </c>
      <c r="E704" s="1">
        <v>81</v>
      </c>
      <c r="F704" s="1">
        <v>82</v>
      </c>
      <c r="H704" s="1">
        <v>81.4</v>
      </c>
    </row>
    <row r="705" s="1" customFormat="1" spans="1:8">
      <c r="A705" s="1" t="s">
        <v>14</v>
      </c>
      <c r="B705" s="1" t="s">
        <v>9</v>
      </c>
      <c r="C705" s="1" t="str">
        <f t="shared" si="13"/>
        <v>020083</v>
      </c>
      <c r="D705" s="1" t="str">
        <f>"112102414"</f>
        <v>112102414</v>
      </c>
      <c r="E705" s="1">
        <v>62</v>
      </c>
      <c r="F705" s="1">
        <v>68</v>
      </c>
      <c r="H705" s="1">
        <v>64.4</v>
      </c>
    </row>
    <row r="706" s="1" customFormat="1" spans="1:8">
      <c r="A706" s="1" t="s">
        <v>14</v>
      </c>
      <c r="B706" s="1" t="s">
        <v>9</v>
      </c>
      <c r="C706" s="1" t="str">
        <f t="shared" si="13"/>
        <v>020083</v>
      </c>
      <c r="D706" s="1" t="str">
        <f>"112102415"</f>
        <v>112102415</v>
      </c>
      <c r="E706" s="1">
        <v>32</v>
      </c>
      <c r="F706" s="1">
        <v>59.5</v>
      </c>
      <c r="H706" s="1">
        <v>43</v>
      </c>
    </row>
    <row r="707" s="1" customFormat="1" spans="1:8">
      <c r="A707" s="1" t="s">
        <v>14</v>
      </c>
      <c r="B707" s="1" t="s">
        <v>9</v>
      </c>
      <c r="C707" s="1" t="str">
        <f t="shared" si="13"/>
        <v>020083</v>
      </c>
      <c r="D707" s="1" t="str">
        <f>"112102416"</f>
        <v>112102416</v>
      </c>
      <c r="E707" s="1">
        <v>36</v>
      </c>
      <c r="F707" s="1">
        <v>57.5</v>
      </c>
      <c r="H707" s="1">
        <v>44.6</v>
      </c>
    </row>
    <row r="708" s="1" customFormat="1" spans="1:8">
      <c r="A708" s="1" t="s">
        <v>14</v>
      </c>
      <c r="B708" s="1" t="s">
        <v>9</v>
      </c>
      <c r="C708" s="1" t="str">
        <f t="shared" si="13"/>
        <v>020083</v>
      </c>
      <c r="D708" s="1" t="str">
        <f>"112102417"</f>
        <v>112102417</v>
      </c>
      <c r="E708" s="1">
        <v>87.5</v>
      </c>
      <c r="F708" s="1">
        <v>82</v>
      </c>
      <c r="H708" s="1">
        <v>85.3</v>
      </c>
    </row>
    <row r="709" s="1" customFormat="1" spans="1:8">
      <c r="A709" s="1" t="s">
        <v>14</v>
      </c>
      <c r="B709" s="1" t="s">
        <v>9</v>
      </c>
      <c r="C709" s="1" t="str">
        <f t="shared" si="13"/>
        <v>020083</v>
      </c>
      <c r="D709" s="1" t="str">
        <f>"112102418"</f>
        <v>112102418</v>
      </c>
      <c r="E709" s="1">
        <v>88</v>
      </c>
      <c r="F709" s="1">
        <v>93.5</v>
      </c>
      <c r="H709" s="1">
        <v>90.2</v>
      </c>
    </row>
    <row r="710" s="1" customFormat="1" spans="1:8">
      <c r="A710" s="1" t="s">
        <v>14</v>
      </c>
      <c r="B710" s="1" t="s">
        <v>9</v>
      </c>
      <c r="C710" s="1" t="str">
        <f t="shared" si="13"/>
        <v>020083</v>
      </c>
      <c r="D710" s="1" t="str">
        <f>"112102419"</f>
        <v>112102419</v>
      </c>
      <c r="E710" s="1">
        <v>63</v>
      </c>
      <c r="F710" s="1">
        <v>68.5</v>
      </c>
      <c r="H710" s="1">
        <v>65.2</v>
      </c>
    </row>
    <row r="711" s="1" customFormat="1" spans="1:8">
      <c r="A711" s="1" t="s">
        <v>14</v>
      </c>
      <c r="B711" s="1" t="s">
        <v>9</v>
      </c>
      <c r="C711" s="1" t="str">
        <f t="shared" si="13"/>
        <v>020083</v>
      </c>
      <c r="D711" s="1" t="str">
        <f>"112102420"</f>
        <v>112102420</v>
      </c>
      <c r="E711" s="1">
        <v>44.5</v>
      </c>
      <c r="F711" s="1">
        <v>60.5</v>
      </c>
      <c r="H711" s="1">
        <v>50.9</v>
      </c>
    </row>
    <row r="712" s="1" customFormat="1" spans="1:8">
      <c r="A712" s="1" t="s">
        <v>14</v>
      </c>
      <c r="B712" s="1" t="s">
        <v>9</v>
      </c>
      <c r="C712" s="1" t="str">
        <f t="shared" si="13"/>
        <v>020083</v>
      </c>
      <c r="D712" s="1" t="str">
        <f>"112102421"</f>
        <v>112102421</v>
      </c>
      <c r="E712" s="1">
        <v>29.5</v>
      </c>
      <c r="F712" s="1">
        <v>51</v>
      </c>
      <c r="H712" s="1">
        <v>38.1</v>
      </c>
    </row>
    <row r="713" s="1" customFormat="1" spans="1:8">
      <c r="A713" s="1" t="s">
        <v>14</v>
      </c>
      <c r="B713" s="1" t="s">
        <v>9</v>
      </c>
      <c r="C713" s="1" t="str">
        <f t="shared" si="13"/>
        <v>020083</v>
      </c>
      <c r="D713" s="1" t="str">
        <f>"112102422"</f>
        <v>112102422</v>
      </c>
      <c r="E713" s="1">
        <v>0</v>
      </c>
      <c r="F713" s="1">
        <v>0</v>
      </c>
      <c r="H713" s="1">
        <v>0</v>
      </c>
    </row>
    <row r="714" s="1" customFormat="1" spans="1:8">
      <c r="A714" s="1" t="s">
        <v>14</v>
      </c>
      <c r="B714" s="1" t="s">
        <v>9</v>
      </c>
      <c r="C714" s="1" t="str">
        <f t="shared" si="13"/>
        <v>020083</v>
      </c>
      <c r="D714" s="1" t="str">
        <f>"112102423"</f>
        <v>112102423</v>
      </c>
      <c r="E714" s="1">
        <v>57</v>
      </c>
      <c r="F714" s="1">
        <v>67</v>
      </c>
      <c r="H714" s="1">
        <v>61</v>
      </c>
    </row>
    <row r="715" s="1" customFormat="1" spans="1:8">
      <c r="A715" s="1" t="s">
        <v>14</v>
      </c>
      <c r="B715" s="1" t="s">
        <v>9</v>
      </c>
      <c r="C715" s="1" t="str">
        <f t="shared" si="13"/>
        <v>020083</v>
      </c>
      <c r="D715" s="1" t="str">
        <f>"112102424"</f>
        <v>112102424</v>
      </c>
      <c r="E715" s="1">
        <v>81.5</v>
      </c>
      <c r="F715" s="1">
        <v>80.5</v>
      </c>
      <c r="H715" s="1">
        <v>81.1</v>
      </c>
    </row>
    <row r="716" s="1" customFormat="1" spans="1:8">
      <c r="A716" s="1" t="s">
        <v>14</v>
      </c>
      <c r="B716" s="1" t="s">
        <v>9</v>
      </c>
      <c r="C716" s="1" t="str">
        <f t="shared" si="13"/>
        <v>020083</v>
      </c>
      <c r="D716" s="1" t="str">
        <f>"112102425"</f>
        <v>112102425</v>
      </c>
      <c r="E716" s="1">
        <v>62</v>
      </c>
      <c r="F716" s="1">
        <v>74</v>
      </c>
      <c r="H716" s="1">
        <v>66.8</v>
      </c>
    </row>
    <row r="717" s="1" customFormat="1" spans="1:8">
      <c r="A717" s="1" t="s">
        <v>14</v>
      </c>
      <c r="B717" s="1" t="s">
        <v>9</v>
      </c>
      <c r="C717" s="1" t="str">
        <f t="shared" si="13"/>
        <v>020083</v>
      </c>
      <c r="D717" s="1" t="str">
        <f>"112102426"</f>
        <v>112102426</v>
      </c>
      <c r="E717" s="1">
        <v>33</v>
      </c>
      <c r="F717" s="1">
        <v>50.5</v>
      </c>
      <c r="H717" s="1">
        <v>40</v>
      </c>
    </row>
    <row r="718" s="1" customFormat="1" spans="1:8">
      <c r="A718" s="1" t="s">
        <v>14</v>
      </c>
      <c r="B718" s="1" t="s">
        <v>9</v>
      </c>
      <c r="C718" s="1" t="str">
        <f t="shared" si="13"/>
        <v>020083</v>
      </c>
      <c r="D718" s="1" t="str">
        <f>"112102427"</f>
        <v>112102427</v>
      </c>
      <c r="E718" s="1">
        <v>54</v>
      </c>
      <c r="F718" s="1">
        <v>72</v>
      </c>
      <c r="H718" s="1">
        <v>61.2</v>
      </c>
    </row>
    <row r="719" s="1" customFormat="1" spans="1:8">
      <c r="A719" s="1" t="s">
        <v>14</v>
      </c>
      <c r="B719" s="1" t="s">
        <v>9</v>
      </c>
      <c r="C719" s="1" t="str">
        <f t="shared" si="13"/>
        <v>020083</v>
      </c>
      <c r="D719" s="1" t="str">
        <f>"112102428"</f>
        <v>112102428</v>
      </c>
      <c r="E719" s="1">
        <v>58.5</v>
      </c>
      <c r="F719" s="1">
        <v>74.5</v>
      </c>
      <c r="H719" s="1">
        <v>64.9</v>
      </c>
    </row>
    <row r="720" s="1" customFormat="1" spans="1:8">
      <c r="A720" s="1" t="s">
        <v>14</v>
      </c>
      <c r="B720" s="1" t="s">
        <v>9</v>
      </c>
      <c r="C720" s="1" t="str">
        <f t="shared" si="13"/>
        <v>020083</v>
      </c>
      <c r="D720" s="1" t="str">
        <f>"112102429"</f>
        <v>112102429</v>
      </c>
      <c r="E720" s="1">
        <v>76.5</v>
      </c>
      <c r="F720" s="1">
        <v>84.5</v>
      </c>
      <c r="H720" s="1">
        <v>79.7</v>
      </c>
    </row>
    <row r="721" s="1" customFormat="1" spans="1:8">
      <c r="A721" s="1" t="s">
        <v>14</v>
      </c>
      <c r="B721" s="1" t="s">
        <v>9</v>
      </c>
      <c r="C721" s="1" t="str">
        <f t="shared" si="13"/>
        <v>020083</v>
      </c>
      <c r="D721" s="1" t="str">
        <f>"112102430"</f>
        <v>112102430</v>
      </c>
      <c r="E721" s="1">
        <v>0</v>
      </c>
      <c r="F721" s="1">
        <v>0</v>
      </c>
      <c r="H721" s="1">
        <v>0</v>
      </c>
    </row>
    <row r="722" s="1" customFormat="1" spans="1:8">
      <c r="A722" s="1" t="s">
        <v>14</v>
      </c>
      <c r="B722" s="1" t="s">
        <v>9</v>
      </c>
      <c r="C722" s="1" t="str">
        <f t="shared" si="13"/>
        <v>020083</v>
      </c>
      <c r="D722" s="1" t="str">
        <f>"112102501"</f>
        <v>112102501</v>
      </c>
      <c r="E722" s="1">
        <v>0</v>
      </c>
      <c r="F722" s="1">
        <v>0</v>
      </c>
      <c r="H722" s="1">
        <v>0</v>
      </c>
    </row>
    <row r="723" s="1" customFormat="1" spans="1:8">
      <c r="A723" s="1" t="s">
        <v>14</v>
      </c>
      <c r="B723" s="1" t="s">
        <v>9</v>
      </c>
      <c r="C723" s="1" t="str">
        <f t="shared" si="13"/>
        <v>020083</v>
      </c>
      <c r="D723" s="1" t="str">
        <f>"112102502"</f>
        <v>112102502</v>
      </c>
      <c r="E723" s="1">
        <v>0</v>
      </c>
      <c r="F723" s="1">
        <v>0</v>
      </c>
      <c r="H723" s="1">
        <v>0</v>
      </c>
    </row>
    <row r="724" s="1" customFormat="1" spans="1:8">
      <c r="A724" s="1" t="s">
        <v>14</v>
      </c>
      <c r="B724" s="1" t="s">
        <v>9</v>
      </c>
      <c r="C724" s="1" t="str">
        <f t="shared" si="13"/>
        <v>020083</v>
      </c>
      <c r="D724" s="1" t="str">
        <f>"112102503"</f>
        <v>112102503</v>
      </c>
      <c r="E724" s="1">
        <v>0</v>
      </c>
      <c r="F724" s="1">
        <v>0</v>
      </c>
      <c r="H724" s="1">
        <v>0</v>
      </c>
    </row>
    <row r="725" s="1" customFormat="1" spans="1:8">
      <c r="A725" s="1" t="s">
        <v>14</v>
      </c>
      <c r="B725" s="1" t="s">
        <v>9</v>
      </c>
      <c r="C725" s="1" t="str">
        <f t="shared" si="13"/>
        <v>020083</v>
      </c>
      <c r="D725" s="1" t="str">
        <f>"112102504"</f>
        <v>112102504</v>
      </c>
      <c r="E725" s="1">
        <v>73.5</v>
      </c>
      <c r="F725" s="1">
        <v>82</v>
      </c>
      <c r="H725" s="1">
        <v>76.9</v>
      </c>
    </row>
    <row r="726" s="1" customFormat="1" spans="1:8">
      <c r="A726" s="1" t="s">
        <v>14</v>
      </c>
      <c r="B726" s="1" t="s">
        <v>9</v>
      </c>
      <c r="C726" s="1" t="str">
        <f t="shared" si="13"/>
        <v>020083</v>
      </c>
      <c r="D726" s="1" t="str">
        <f>"112102505"</f>
        <v>112102505</v>
      </c>
      <c r="E726" s="1">
        <v>35.5</v>
      </c>
      <c r="F726" s="1">
        <v>61.5</v>
      </c>
      <c r="H726" s="1">
        <v>45.9</v>
      </c>
    </row>
    <row r="727" s="1" customFormat="1" spans="1:8">
      <c r="A727" s="1" t="s">
        <v>14</v>
      </c>
      <c r="B727" s="1" t="s">
        <v>9</v>
      </c>
      <c r="C727" s="1" t="str">
        <f t="shared" si="13"/>
        <v>020083</v>
      </c>
      <c r="D727" s="1" t="str">
        <f>"112102506"</f>
        <v>112102506</v>
      </c>
      <c r="E727" s="1">
        <v>78.5</v>
      </c>
      <c r="F727" s="1">
        <v>91.5</v>
      </c>
      <c r="H727" s="1">
        <v>83.7</v>
      </c>
    </row>
    <row r="728" s="1" customFormat="1" spans="1:8">
      <c r="A728" s="1" t="s">
        <v>14</v>
      </c>
      <c r="B728" s="1" t="s">
        <v>9</v>
      </c>
      <c r="C728" s="1" t="str">
        <f t="shared" si="13"/>
        <v>020083</v>
      </c>
      <c r="D728" s="1" t="str">
        <f>"112102507"</f>
        <v>112102507</v>
      </c>
      <c r="E728" s="1">
        <v>19</v>
      </c>
      <c r="F728" s="1">
        <v>41</v>
      </c>
      <c r="H728" s="1">
        <v>27.8</v>
      </c>
    </row>
    <row r="729" s="1" customFormat="1" spans="1:8">
      <c r="A729" s="1" t="s">
        <v>15</v>
      </c>
      <c r="B729" s="1" t="s">
        <v>9</v>
      </c>
      <c r="C729" s="1" t="str">
        <f t="shared" ref="C729:C767" si="14">"020086"</f>
        <v>020086</v>
      </c>
      <c r="D729" s="1" t="str">
        <f>"112102508"</f>
        <v>112102508</v>
      </c>
      <c r="E729" s="1">
        <v>50.5</v>
      </c>
      <c r="F729" s="1">
        <v>78</v>
      </c>
      <c r="H729" s="1">
        <v>61.5</v>
      </c>
    </row>
    <row r="730" s="1" customFormat="1" spans="1:8">
      <c r="A730" s="1" t="s">
        <v>15</v>
      </c>
      <c r="B730" s="1" t="s">
        <v>9</v>
      </c>
      <c r="C730" s="1" t="str">
        <f t="shared" si="14"/>
        <v>020086</v>
      </c>
      <c r="D730" s="1" t="str">
        <f>"112102509"</f>
        <v>112102509</v>
      </c>
      <c r="E730" s="1">
        <v>53</v>
      </c>
      <c r="F730" s="1">
        <v>65</v>
      </c>
      <c r="H730" s="1">
        <v>57.8</v>
      </c>
    </row>
    <row r="731" s="1" customFormat="1" spans="1:8">
      <c r="A731" s="1" t="s">
        <v>15</v>
      </c>
      <c r="B731" s="1" t="s">
        <v>9</v>
      </c>
      <c r="C731" s="1" t="str">
        <f t="shared" si="14"/>
        <v>020086</v>
      </c>
      <c r="D731" s="1" t="str">
        <f>"112102510"</f>
        <v>112102510</v>
      </c>
      <c r="E731" s="1">
        <v>68.5</v>
      </c>
      <c r="F731" s="1">
        <v>84.5</v>
      </c>
      <c r="H731" s="1">
        <v>74.9</v>
      </c>
    </row>
    <row r="732" s="1" customFormat="1" spans="1:8">
      <c r="A732" s="1" t="s">
        <v>15</v>
      </c>
      <c r="B732" s="1" t="s">
        <v>9</v>
      </c>
      <c r="C732" s="1" t="str">
        <f t="shared" si="14"/>
        <v>020086</v>
      </c>
      <c r="D732" s="1" t="str">
        <f>"112102511"</f>
        <v>112102511</v>
      </c>
      <c r="E732" s="1">
        <v>73</v>
      </c>
      <c r="F732" s="1">
        <v>87</v>
      </c>
      <c r="H732" s="1">
        <v>78.6</v>
      </c>
    </row>
    <row r="733" s="1" customFormat="1" spans="1:8">
      <c r="A733" s="1" t="s">
        <v>15</v>
      </c>
      <c r="B733" s="1" t="s">
        <v>9</v>
      </c>
      <c r="C733" s="1" t="str">
        <f t="shared" si="14"/>
        <v>020086</v>
      </c>
      <c r="D733" s="1" t="str">
        <f>"112102512"</f>
        <v>112102512</v>
      </c>
      <c r="E733" s="1">
        <v>34.5</v>
      </c>
      <c r="F733" s="1">
        <v>52</v>
      </c>
      <c r="H733" s="1">
        <v>41.5</v>
      </c>
    </row>
    <row r="734" s="1" customFormat="1" spans="1:8">
      <c r="A734" s="1" t="s">
        <v>15</v>
      </c>
      <c r="B734" s="1" t="s">
        <v>9</v>
      </c>
      <c r="C734" s="1" t="str">
        <f t="shared" si="14"/>
        <v>020086</v>
      </c>
      <c r="D734" s="1" t="str">
        <f>"112102513"</f>
        <v>112102513</v>
      </c>
      <c r="E734" s="1">
        <v>58</v>
      </c>
      <c r="F734" s="1">
        <v>80</v>
      </c>
      <c r="H734" s="1">
        <v>66.8</v>
      </c>
    </row>
    <row r="735" s="1" customFormat="1" spans="1:8">
      <c r="A735" s="1" t="s">
        <v>15</v>
      </c>
      <c r="B735" s="1" t="s">
        <v>9</v>
      </c>
      <c r="C735" s="1" t="str">
        <f t="shared" si="14"/>
        <v>020086</v>
      </c>
      <c r="D735" s="1" t="str">
        <f>"112102514"</f>
        <v>112102514</v>
      </c>
      <c r="E735" s="1">
        <v>52.5</v>
      </c>
      <c r="F735" s="1">
        <v>77.5</v>
      </c>
      <c r="H735" s="1">
        <v>62.5</v>
      </c>
    </row>
    <row r="736" s="1" customFormat="1" spans="1:8">
      <c r="A736" s="1" t="s">
        <v>15</v>
      </c>
      <c r="B736" s="1" t="s">
        <v>9</v>
      </c>
      <c r="C736" s="1" t="str">
        <f t="shared" si="14"/>
        <v>020086</v>
      </c>
      <c r="D736" s="1" t="str">
        <f>"112102515"</f>
        <v>112102515</v>
      </c>
      <c r="E736" s="1">
        <v>0</v>
      </c>
      <c r="F736" s="1">
        <v>0</v>
      </c>
      <c r="H736" s="1">
        <v>0</v>
      </c>
    </row>
    <row r="737" s="1" customFormat="1" spans="1:8">
      <c r="A737" s="1" t="s">
        <v>15</v>
      </c>
      <c r="B737" s="1" t="s">
        <v>9</v>
      </c>
      <c r="C737" s="1" t="str">
        <f t="shared" si="14"/>
        <v>020086</v>
      </c>
      <c r="D737" s="1" t="str">
        <f>"112102516"</f>
        <v>112102516</v>
      </c>
      <c r="E737" s="1">
        <v>33</v>
      </c>
      <c r="F737" s="1">
        <v>46.5</v>
      </c>
      <c r="H737" s="1">
        <v>38.4</v>
      </c>
    </row>
    <row r="738" s="1" customFormat="1" spans="1:8">
      <c r="A738" s="1" t="s">
        <v>15</v>
      </c>
      <c r="B738" s="1" t="s">
        <v>9</v>
      </c>
      <c r="C738" s="1" t="str">
        <f t="shared" si="14"/>
        <v>020086</v>
      </c>
      <c r="D738" s="1" t="str">
        <f>"112102517"</f>
        <v>112102517</v>
      </c>
      <c r="E738" s="1">
        <v>22.5</v>
      </c>
      <c r="F738" s="1">
        <v>53</v>
      </c>
      <c r="H738" s="1">
        <v>34.7</v>
      </c>
    </row>
    <row r="739" s="1" customFormat="1" spans="1:8">
      <c r="A739" s="1" t="s">
        <v>15</v>
      </c>
      <c r="B739" s="1" t="s">
        <v>9</v>
      </c>
      <c r="C739" s="1" t="str">
        <f t="shared" si="14"/>
        <v>020086</v>
      </c>
      <c r="D739" s="1" t="str">
        <f>"112102518"</f>
        <v>112102518</v>
      </c>
      <c r="E739" s="1">
        <v>39</v>
      </c>
      <c r="F739" s="1">
        <v>53.5</v>
      </c>
      <c r="H739" s="1">
        <v>44.8</v>
      </c>
    </row>
    <row r="740" s="1" customFormat="1" spans="1:8">
      <c r="A740" s="1" t="s">
        <v>15</v>
      </c>
      <c r="B740" s="1" t="s">
        <v>9</v>
      </c>
      <c r="C740" s="1" t="str">
        <f t="shared" si="14"/>
        <v>020086</v>
      </c>
      <c r="D740" s="1" t="str">
        <f>"112102519"</f>
        <v>112102519</v>
      </c>
      <c r="E740" s="1">
        <v>97</v>
      </c>
      <c r="F740" s="1">
        <v>101</v>
      </c>
      <c r="H740" s="1">
        <v>98.6</v>
      </c>
    </row>
    <row r="741" s="1" customFormat="1" spans="1:8">
      <c r="A741" s="1" t="s">
        <v>15</v>
      </c>
      <c r="B741" s="1" t="s">
        <v>9</v>
      </c>
      <c r="C741" s="1" t="str">
        <f t="shared" si="14"/>
        <v>020086</v>
      </c>
      <c r="D741" s="1" t="str">
        <f>"112102520"</f>
        <v>112102520</v>
      </c>
      <c r="E741" s="1">
        <v>0</v>
      </c>
      <c r="F741" s="1">
        <v>0</v>
      </c>
      <c r="H741" s="1">
        <v>0</v>
      </c>
    </row>
    <row r="742" s="1" customFormat="1" spans="1:8">
      <c r="A742" s="1" t="s">
        <v>15</v>
      </c>
      <c r="B742" s="1" t="s">
        <v>9</v>
      </c>
      <c r="C742" s="1" t="str">
        <f t="shared" si="14"/>
        <v>020086</v>
      </c>
      <c r="D742" s="1" t="str">
        <f>"112102521"</f>
        <v>112102521</v>
      </c>
      <c r="E742" s="1">
        <v>37</v>
      </c>
      <c r="F742" s="1">
        <v>59.5</v>
      </c>
      <c r="H742" s="1">
        <v>46</v>
      </c>
    </row>
    <row r="743" s="1" customFormat="1" spans="1:8">
      <c r="A743" s="1" t="s">
        <v>15</v>
      </c>
      <c r="B743" s="1" t="s">
        <v>9</v>
      </c>
      <c r="C743" s="1" t="str">
        <f t="shared" si="14"/>
        <v>020086</v>
      </c>
      <c r="D743" s="1" t="str">
        <f>"112102522"</f>
        <v>112102522</v>
      </c>
      <c r="E743" s="1">
        <v>71</v>
      </c>
      <c r="F743" s="1">
        <v>87.5</v>
      </c>
      <c r="H743" s="1">
        <v>77.6</v>
      </c>
    </row>
    <row r="744" s="1" customFormat="1" spans="1:8">
      <c r="A744" s="1" t="s">
        <v>15</v>
      </c>
      <c r="B744" s="1" t="s">
        <v>9</v>
      </c>
      <c r="C744" s="1" t="str">
        <f t="shared" si="14"/>
        <v>020086</v>
      </c>
      <c r="D744" s="1" t="str">
        <f>"112102523"</f>
        <v>112102523</v>
      </c>
      <c r="E744" s="1">
        <v>0</v>
      </c>
      <c r="F744" s="1">
        <v>0</v>
      </c>
      <c r="H744" s="1">
        <v>0</v>
      </c>
    </row>
    <row r="745" s="1" customFormat="1" spans="1:8">
      <c r="A745" s="1" t="s">
        <v>15</v>
      </c>
      <c r="B745" s="1" t="s">
        <v>9</v>
      </c>
      <c r="C745" s="1" t="str">
        <f t="shared" si="14"/>
        <v>020086</v>
      </c>
      <c r="D745" s="1" t="str">
        <f>"112102524"</f>
        <v>112102524</v>
      </c>
      <c r="E745" s="1">
        <v>0</v>
      </c>
      <c r="F745" s="1">
        <v>0</v>
      </c>
      <c r="H745" s="1">
        <v>0</v>
      </c>
    </row>
    <row r="746" s="1" customFormat="1" spans="1:8">
      <c r="A746" s="1" t="s">
        <v>15</v>
      </c>
      <c r="B746" s="1" t="s">
        <v>9</v>
      </c>
      <c r="C746" s="1" t="str">
        <f t="shared" si="14"/>
        <v>020086</v>
      </c>
      <c r="D746" s="1" t="str">
        <f>"112102525"</f>
        <v>112102525</v>
      </c>
      <c r="E746" s="1">
        <v>56</v>
      </c>
      <c r="F746" s="1">
        <v>73.5</v>
      </c>
      <c r="H746" s="1">
        <v>63</v>
      </c>
    </row>
    <row r="747" s="1" customFormat="1" spans="1:8">
      <c r="A747" s="1" t="s">
        <v>15</v>
      </c>
      <c r="B747" s="1" t="s">
        <v>9</v>
      </c>
      <c r="C747" s="1" t="str">
        <f t="shared" si="14"/>
        <v>020086</v>
      </c>
      <c r="D747" s="1" t="str">
        <f>"112102526"</f>
        <v>112102526</v>
      </c>
      <c r="E747" s="1">
        <v>62.5</v>
      </c>
      <c r="F747" s="1">
        <v>57</v>
      </c>
      <c r="H747" s="1">
        <v>60.3</v>
      </c>
    </row>
    <row r="748" s="1" customFormat="1" spans="1:8">
      <c r="A748" s="1" t="s">
        <v>15</v>
      </c>
      <c r="B748" s="1" t="s">
        <v>9</v>
      </c>
      <c r="C748" s="1" t="str">
        <f t="shared" si="14"/>
        <v>020086</v>
      </c>
      <c r="D748" s="1" t="str">
        <f>"112102527"</f>
        <v>112102527</v>
      </c>
      <c r="E748" s="1">
        <v>78.5</v>
      </c>
      <c r="F748" s="1">
        <v>81.5</v>
      </c>
      <c r="H748" s="1">
        <v>79.7</v>
      </c>
    </row>
    <row r="749" s="1" customFormat="1" spans="1:8">
      <c r="A749" s="1" t="s">
        <v>15</v>
      </c>
      <c r="B749" s="1" t="s">
        <v>9</v>
      </c>
      <c r="C749" s="1" t="str">
        <f t="shared" si="14"/>
        <v>020086</v>
      </c>
      <c r="D749" s="1" t="str">
        <f>"112102528"</f>
        <v>112102528</v>
      </c>
      <c r="E749" s="1">
        <v>52</v>
      </c>
      <c r="F749" s="1">
        <v>63</v>
      </c>
      <c r="H749" s="1">
        <v>56.4</v>
      </c>
    </row>
    <row r="750" s="1" customFormat="1" spans="1:8">
      <c r="A750" s="1" t="s">
        <v>15</v>
      </c>
      <c r="B750" s="1" t="s">
        <v>9</v>
      </c>
      <c r="C750" s="1" t="str">
        <f t="shared" si="14"/>
        <v>020086</v>
      </c>
      <c r="D750" s="1" t="str">
        <f>"112102529"</f>
        <v>112102529</v>
      </c>
      <c r="E750" s="1">
        <v>41.5</v>
      </c>
      <c r="F750" s="1">
        <v>57.5</v>
      </c>
      <c r="H750" s="1">
        <v>47.9</v>
      </c>
    </row>
    <row r="751" s="1" customFormat="1" spans="1:8">
      <c r="A751" s="1" t="s">
        <v>15</v>
      </c>
      <c r="B751" s="1" t="s">
        <v>9</v>
      </c>
      <c r="C751" s="1" t="str">
        <f t="shared" si="14"/>
        <v>020086</v>
      </c>
      <c r="D751" s="1" t="str">
        <f>"112102530"</f>
        <v>112102530</v>
      </c>
      <c r="E751" s="1">
        <v>39</v>
      </c>
      <c r="F751" s="1">
        <v>53.5</v>
      </c>
      <c r="H751" s="1">
        <v>44.8</v>
      </c>
    </row>
    <row r="752" s="1" customFormat="1" spans="1:8">
      <c r="A752" s="1" t="s">
        <v>15</v>
      </c>
      <c r="B752" s="1" t="s">
        <v>9</v>
      </c>
      <c r="C752" s="1" t="str">
        <f t="shared" si="14"/>
        <v>020086</v>
      </c>
      <c r="D752" s="1" t="str">
        <f>"112102601"</f>
        <v>112102601</v>
      </c>
      <c r="E752" s="1">
        <v>64</v>
      </c>
      <c r="F752" s="1">
        <v>73.5</v>
      </c>
      <c r="H752" s="1">
        <v>67.8</v>
      </c>
    </row>
    <row r="753" s="1" customFormat="1" spans="1:8">
      <c r="A753" s="1" t="s">
        <v>15</v>
      </c>
      <c r="B753" s="1" t="s">
        <v>9</v>
      </c>
      <c r="C753" s="1" t="str">
        <f t="shared" si="14"/>
        <v>020086</v>
      </c>
      <c r="D753" s="1" t="str">
        <f>"112102602"</f>
        <v>112102602</v>
      </c>
      <c r="E753" s="1">
        <v>40</v>
      </c>
      <c r="F753" s="1">
        <v>79</v>
      </c>
      <c r="H753" s="1">
        <v>55.6</v>
      </c>
    </row>
    <row r="754" s="1" customFormat="1" spans="1:8">
      <c r="A754" s="1" t="s">
        <v>15</v>
      </c>
      <c r="B754" s="1" t="s">
        <v>9</v>
      </c>
      <c r="C754" s="1" t="str">
        <f t="shared" si="14"/>
        <v>020086</v>
      </c>
      <c r="D754" s="1" t="str">
        <f>"112102603"</f>
        <v>112102603</v>
      </c>
      <c r="E754" s="1">
        <v>34.5</v>
      </c>
      <c r="F754" s="1">
        <v>76</v>
      </c>
      <c r="H754" s="1">
        <v>51.1</v>
      </c>
    </row>
    <row r="755" s="1" customFormat="1" spans="1:8">
      <c r="A755" s="1" t="s">
        <v>15</v>
      </c>
      <c r="B755" s="1" t="s">
        <v>9</v>
      </c>
      <c r="C755" s="1" t="str">
        <f t="shared" si="14"/>
        <v>020086</v>
      </c>
      <c r="D755" s="1" t="str">
        <f>"112102604"</f>
        <v>112102604</v>
      </c>
      <c r="E755" s="1">
        <v>0</v>
      </c>
      <c r="F755" s="1">
        <v>0</v>
      </c>
      <c r="H755" s="1">
        <v>0</v>
      </c>
    </row>
    <row r="756" s="1" customFormat="1" spans="1:8">
      <c r="A756" s="1" t="s">
        <v>15</v>
      </c>
      <c r="B756" s="1" t="s">
        <v>9</v>
      </c>
      <c r="C756" s="1" t="str">
        <f t="shared" si="14"/>
        <v>020086</v>
      </c>
      <c r="D756" s="1" t="str">
        <f>"112102605"</f>
        <v>112102605</v>
      </c>
      <c r="E756" s="1">
        <v>0</v>
      </c>
      <c r="F756" s="1">
        <v>0</v>
      </c>
      <c r="H756" s="1">
        <v>0</v>
      </c>
    </row>
    <row r="757" s="1" customFormat="1" spans="1:8">
      <c r="A757" s="1" t="s">
        <v>15</v>
      </c>
      <c r="B757" s="1" t="s">
        <v>9</v>
      </c>
      <c r="C757" s="1" t="str">
        <f t="shared" si="14"/>
        <v>020086</v>
      </c>
      <c r="D757" s="1" t="str">
        <f>"112102606"</f>
        <v>112102606</v>
      </c>
      <c r="E757" s="1">
        <v>89.5</v>
      </c>
      <c r="F757" s="1">
        <v>88.5</v>
      </c>
      <c r="G757" s="1">
        <v>2</v>
      </c>
      <c r="H757" s="1">
        <v>91.1</v>
      </c>
    </row>
    <row r="758" s="1" customFormat="1" spans="1:8">
      <c r="A758" s="1" t="s">
        <v>15</v>
      </c>
      <c r="B758" s="1" t="s">
        <v>9</v>
      </c>
      <c r="C758" s="1" t="str">
        <f t="shared" si="14"/>
        <v>020086</v>
      </c>
      <c r="D758" s="1" t="str">
        <f>"112102607"</f>
        <v>112102607</v>
      </c>
      <c r="E758" s="1">
        <v>41</v>
      </c>
      <c r="F758" s="1">
        <v>0</v>
      </c>
      <c r="H758" s="1">
        <v>24.6</v>
      </c>
    </row>
    <row r="759" s="1" customFormat="1" spans="1:8">
      <c r="A759" s="1" t="s">
        <v>15</v>
      </c>
      <c r="B759" s="1" t="s">
        <v>9</v>
      </c>
      <c r="C759" s="1" t="str">
        <f t="shared" si="14"/>
        <v>020086</v>
      </c>
      <c r="D759" s="1" t="str">
        <f>"112102608"</f>
        <v>112102608</v>
      </c>
      <c r="E759" s="1">
        <v>0</v>
      </c>
      <c r="F759" s="1">
        <v>0</v>
      </c>
      <c r="H759" s="1">
        <v>0</v>
      </c>
    </row>
    <row r="760" s="1" customFormat="1" spans="1:8">
      <c r="A760" s="1" t="s">
        <v>15</v>
      </c>
      <c r="B760" s="1" t="s">
        <v>9</v>
      </c>
      <c r="C760" s="1" t="str">
        <f t="shared" si="14"/>
        <v>020086</v>
      </c>
      <c r="D760" s="1" t="str">
        <f>"112102609"</f>
        <v>112102609</v>
      </c>
      <c r="E760" s="1">
        <v>90.5</v>
      </c>
      <c r="F760" s="1">
        <v>81</v>
      </c>
      <c r="H760" s="1">
        <v>86.7</v>
      </c>
    </row>
    <row r="761" s="1" customFormat="1" spans="1:8">
      <c r="A761" s="1" t="s">
        <v>15</v>
      </c>
      <c r="B761" s="1" t="s">
        <v>9</v>
      </c>
      <c r="C761" s="1" t="str">
        <f t="shared" si="14"/>
        <v>020086</v>
      </c>
      <c r="D761" s="1" t="str">
        <f>"112102610"</f>
        <v>112102610</v>
      </c>
      <c r="E761" s="1">
        <v>30</v>
      </c>
      <c r="F761" s="1">
        <v>67</v>
      </c>
      <c r="H761" s="1">
        <v>44.8</v>
      </c>
    </row>
    <row r="762" s="1" customFormat="1" spans="1:8">
      <c r="A762" s="1" t="s">
        <v>15</v>
      </c>
      <c r="B762" s="1" t="s">
        <v>9</v>
      </c>
      <c r="C762" s="1" t="str">
        <f t="shared" si="14"/>
        <v>020086</v>
      </c>
      <c r="D762" s="1" t="str">
        <f>"112102611"</f>
        <v>112102611</v>
      </c>
      <c r="E762" s="1">
        <v>51</v>
      </c>
      <c r="F762" s="1">
        <v>61.5</v>
      </c>
      <c r="H762" s="1">
        <v>55.2</v>
      </c>
    </row>
    <row r="763" s="1" customFormat="1" spans="1:8">
      <c r="A763" s="1" t="s">
        <v>15</v>
      </c>
      <c r="B763" s="1" t="s">
        <v>9</v>
      </c>
      <c r="C763" s="1" t="str">
        <f t="shared" si="14"/>
        <v>020086</v>
      </c>
      <c r="D763" s="1" t="str">
        <f>"112102612"</f>
        <v>112102612</v>
      </c>
      <c r="E763" s="1">
        <v>49</v>
      </c>
      <c r="F763" s="1">
        <v>0</v>
      </c>
      <c r="H763" s="1">
        <v>29.4</v>
      </c>
    </row>
    <row r="764" s="1" customFormat="1" spans="1:8">
      <c r="A764" s="1" t="s">
        <v>15</v>
      </c>
      <c r="B764" s="1" t="s">
        <v>9</v>
      </c>
      <c r="C764" s="1" t="str">
        <f t="shared" si="14"/>
        <v>020086</v>
      </c>
      <c r="D764" s="1" t="str">
        <f>"112102613"</f>
        <v>112102613</v>
      </c>
      <c r="E764" s="1">
        <v>34.5</v>
      </c>
      <c r="F764" s="1">
        <v>33</v>
      </c>
      <c r="H764" s="1">
        <v>33.9</v>
      </c>
    </row>
    <row r="765" s="1" customFormat="1" spans="1:8">
      <c r="A765" s="1" t="s">
        <v>15</v>
      </c>
      <c r="B765" s="1" t="s">
        <v>9</v>
      </c>
      <c r="C765" s="1" t="str">
        <f t="shared" si="14"/>
        <v>020086</v>
      </c>
      <c r="D765" s="1" t="str">
        <f>"112102614"</f>
        <v>112102614</v>
      </c>
      <c r="E765" s="1">
        <v>81.5</v>
      </c>
      <c r="F765" s="1">
        <v>81</v>
      </c>
      <c r="H765" s="1">
        <v>81.3</v>
      </c>
    </row>
    <row r="766" s="1" customFormat="1" spans="1:8">
      <c r="A766" s="1" t="s">
        <v>15</v>
      </c>
      <c r="B766" s="1" t="s">
        <v>9</v>
      </c>
      <c r="C766" s="1" t="str">
        <f t="shared" si="14"/>
        <v>020086</v>
      </c>
      <c r="D766" s="1" t="str">
        <f>"112102615"</f>
        <v>112102615</v>
      </c>
      <c r="E766" s="1">
        <v>48.5</v>
      </c>
      <c r="F766" s="1">
        <v>65.5</v>
      </c>
      <c r="H766" s="1">
        <v>55.3</v>
      </c>
    </row>
    <row r="767" s="1" customFormat="1" spans="1:8">
      <c r="A767" s="1" t="s">
        <v>15</v>
      </c>
      <c r="B767" s="1" t="s">
        <v>9</v>
      </c>
      <c r="C767" s="1" t="str">
        <f t="shared" si="14"/>
        <v>020086</v>
      </c>
      <c r="D767" s="1" t="str">
        <f>"112102616"</f>
        <v>112102616</v>
      </c>
      <c r="E767" s="1">
        <v>0</v>
      </c>
      <c r="F767" s="1">
        <v>0</v>
      </c>
      <c r="H767" s="1">
        <v>0</v>
      </c>
    </row>
    <row r="768" s="1" customFormat="1" spans="1:8">
      <c r="A768" s="1" t="s">
        <v>16</v>
      </c>
      <c r="B768" s="1" t="s">
        <v>9</v>
      </c>
      <c r="C768" s="1" t="str">
        <f t="shared" ref="C768:C806" si="15">"020089"</f>
        <v>020089</v>
      </c>
      <c r="D768" s="1" t="str">
        <f>"112102617"</f>
        <v>112102617</v>
      </c>
      <c r="E768" s="1">
        <v>29.5</v>
      </c>
      <c r="F768" s="1">
        <v>67.5</v>
      </c>
      <c r="H768" s="1">
        <v>44.7</v>
      </c>
    </row>
    <row r="769" s="1" customFormat="1" spans="1:8">
      <c r="A769" s="1" t="s">
        <v>16</v>
      </c>
      <c r="B769" s="1" t="s">
        <v>9</v>
      </c>
      <c r="C769" s="1" t="str">
        <f t="shared" si="15"/>
        <v>020089</v>
      </c>
      <c r="D769" s="1" t="str">
        <f>"112102618"</f>
        <v>112102618</v>
      </c>
      <c r="E769" s="1">
        <v>73.5</v>
      </c>
      <c r="F769" s="1">
        <v>84</v>
      </c>
      <c r="H769" s="1">
        <v>77.7</v>
      </c>
    </row>
    <row r="770" s="1" customFormat="1" spans="1:8">
      <c r="A770" s="1" t="s">
        <v>16</v>
      </c>
      <c r="B770" s="1" t="s">
        <v>9</v>
      </c>
      <c r="C770" s="1" t="str">
        <f t="shared" si="15"/>
        <v>020089</v>
      </c>
      <c r="D770" s="1" t="str">
        <f>"112102619"</f>
        <v>112102619</v>
      </c>
      <c r="E770" s="1">
        <v>51</v>
      </c>
      <c r="F770" s="1">
        <v>82.5</v>
      </c>
      <c r="H770" s="1">
        <v>63.6</v>
      </c>
    </row>
    <row r="771" s="1" customFormat="1" spans="1:8">
      <c r="A771" s="1" t="s">
        <v>16</v>
      </c>
      <c r="B771" s="1" t="s">
        <v>9</v>
      </c>
      <c r="C771" s="1" t="str">
        <f t="shared" si="15"/>
        <v>020089</v>
      </c>
      <c r="D771" s="1" t="str">
        <f>"112102620"</f>
        <v>112102620</v>
      </c>
      <c r="E771" s="1">
        <v>39</v>
      </c>
      <c r="F771" s="1">
        <v>69</v>
      </c>
      <c r="H771" s="1">
        <v>51</v>
      </c>
    </row>
    <row r="772" s="1" customFormat="1" spans="1:8">
      <c r="A772" s="1" t="s">
        <v>16</v>
      </c>
      <c r="B772" s="1" t="s">
        <v>9</v>
      </c>
      <c r="C772" s="1" t="str">
        <f t="shared" si="15"/>
        <v>020089</v>
      </c>
      <c r="D772" s="1" t="str">
        <f>"112102621"</f>
        <v>112102621</v>
      </c>
      <c r="E772" s="1">
        <v>63.5</v>
      </c>
      <c r="F772" s="1">
        <v>61.5</v>
      </c>
      <c r="H772" s="1">
        <v>62.7</v>
      </c>
    </row>
    <row r="773" s="1" customFormat="1" spans="1:8">
      <c r="A773" s="1" t="s">
        <v>16</v>
      </c>
      <c r="B773" s="1" t="s">
        <v>9</v>
      </c>
      <c r="C773" s="1" t="str">
        <f t="shared" si="15"/>
        <v>020089</v>
      </c>
      <c r="D773" s="1" t="str">
        <f>"112102622"</f>
        <v>112102622</v>
      </c>
      <c r="E773" s="1">
        <v>86</v>
      </c>
      <c r="F773" s="1">
        <v>86</v>
      </c>
      <c r="H773" s="1">
        <v>86</v>
      </c>
    </row>
    <row r="774" s="1" customFormat="1" spans="1:8">
      <c r="A774" s="1" t="s">
        <v>16</v>
      </c>
      <c r="B774" s="1" t="s">
        <v>9</v>
      </c>
      <c r="C774" s="1" t="str">
        <f t="shared" si="15"/>
        <v>020089</v>
      </c>
      <c r="D774" s="1" t="str">
        <f>"112102623"</f>
        <v>112102623</v>
      </c>
      <c r="E774" s="1">
        <v>66.5</v>
      </c>
      <c r="F774" s="1">
        <v>51.5</v>
      </c>
      <c r="H774" s="1">
        <v>60.5</v>
      </c>
    </row>
    <row r="775" s="1" customFormat="1" spans="1:8">
      <c r="A775" s="1" t="s">
        <v>16</v>
      </c>
      <c r="B775" s="1" t="s">
        <v>9</v>
      </c>
      <c r="C775" s="1" t="str">
        <f t="shared" si="15"/>
        <v>020089</v>
      </c>
      <c r="D775" s="1" t="str">
        <f>"112102624"</f>
        <v>112102624</v>
      </c>
      <c r="E775" s="1">
        <v>31.5</v>
      </c>
      <c r="F775" s="1">
        <v>58.5</v>
      </c>
      <c r="H775" s="1">
        <v>42.3</v>
      </c>
    </row>
    <row r="776" s="1" customFormat="1" spans="1:8">
      <c r="A776" s="1" t="s">
        <v>16</v>
      </c>
      <c r="B776" s="1" t="s">
        <v>9</v>
      </c>
      <c r="C776" s="1" t="str">
        <f t="shared" si="15"/>
        <v>020089</v>
      </c>
      <c r="D776" s="1" t="str">
        <f>"112102625"</f>
        <v>112102625</v>
      </c>
      <c r="E776" s="1">
        <v>42</v>
      </c>
      <c r="F776" s="1">
        <v>58.5</v>
      </c>
      <c r="H776" s="1">
        <v>48.6</v>
      </c>
    </row>
    <row r="777" s="1" customFormat="1" spans="1:8">
      <c r="A777" s="1" t="s">
        <v>16</v>
      </c>
      <c r="B777" s="1" t="s">
        <v>9</v>
      </c>
      <c r="C777" s="1" t="str">
        <f t="shared" si="15"/>
        <v>020089</v>
      </c>
      <c r="D777" s="1" t="str">
        <f>"112102626"</f>
        <v>112102626</v>
      </c>
      <c r="E777" s="1">
        <v>0</v>
      </c>
      <c r="F777" s="1">
        <v>0</v>
      </c>
      <c r="H777" s="1">
        <v>0</v>
      </c>
    </row>
    <row r="778" s="1" customFormat="1" spans="1:8">
      <c r="A778" s="1" t="s">
        <v>16</v>
      </c>
      <c r="B778" s="1" t="s">
        <v>9</v>
      </c>
      <c r="C778" s="1" t="str">
        <f t="shared" si="15"/>
        <v>020089</v>
      </c>
      <c r="D778" s="1" t="str">
        <f>"112102627"</f>
        <v>112102627</v>
      </c>
      <c r="E778" s="1">
        <v>67.5</v>
      </c>
      <c r="F778" s="1">
        <v>81.5</v>
      </c>
      <c r="H778" s="1">
        <v>73.1</v>
      </c>
    </row>
    <row r="779" s="1" customFormat="1" spans="1:8">
      <c r="A779" s="1" t="s">
        <v>16</v>
      </c>
      <c r="B779" s="1" t="s">
        <v>9</v>
      </c>
      <c r="C779" s="1" t="str">
        <f t="shared" si="15"/>
        <v>020089</v>
      </c>
      <c r="D779" s="1" t="str">
        <f>"112102628"</f>
        <v>112102628</v>
      </c>
      <c r="E779" s="1">
        <v>66.5</v>
      </c>
      <c r="F779" s="1">
        <v>63.5</v>
      </c>
      <c r="H779" s="1">
        <v>65.3</v>
      </c>
    </row>
    <row r="780" s="1" customFormat="1" spans="1:8">
      <c r="A780" s="1" t="s">
        <v>16</v>
      </c>
      <c r="B780" s="1" t="s">
        <v>9</v>
      </c>
      <c r="C780" s="1" t="str">
        <f t="shared" si="15"/>
        <v>020089</v>
      </c>
      <c r="D780" s="1" t="str">
        <f>"112102629"</f>
        <v>112102629</v>
      </c>
      <c r="E780" s="1">
        <v>0</v>
      </c>
      <c r="F780" s="1">
        <v>0</v>
      </c>
      <c r="H780" s="1">
        <v>0</v>
      </c>
    </row>
    <row r="781" s="1" customFormat="1" spans="1:8">
      <c r="A781" s="1" t="s">
        <v>16</v>
      </c>
      <c r="B781" s="1" t="s">
        <v>9</v>
      </c>
      <c r="C781" s="1" t="str">
        <f t="shared" si="15"/>
        <v>020089</v>
      </c>
      <c r="D781" s="1" t="str">
        <f>"112102630"</f>
        <v>112102630</v>
      </c>
      <c r="E781" s="1">
        <v>67</v>
      </c>
      <c r="F781" s="1">
        <v>73</v>
      </c>
      <c r="H781" s="1">
        <v>69.4</v>
      </c>
    </row>
    <row r="782" s="1" customFormat="1" spans="1:8">
      <c r="A782" s="1" t="s">
        <v>16</v>
      </c>
      <c r="B782" s="1" t="s">
        <v>9</v>
      </c>
      <c r="C782" s="1" t="str">
        <f t="shared" si="15"/>
        <v>020089</v>
      </c>
      <c r="D782" s="1" t="str">
        <f>"112102701"</f>
        <v>112102701</v>
      </c>
      <c r="E782" s="1">
        <v>53</v>
      </c>
      <c r="F782" s="1">
        <v>68</v>
      </c>
      <c r="H782" s="1">
        <v>59</v>
      </c>
    </row>
    <row r="783" s="1" customFormat="1" spans="1:8">
      <c r="A783" s="1" t="s">
        <v>16</v>
      </c>
      <c r="B783" s="1" t="s">
        <v>9</v>
      </c>
      <c r="C783" s="1" t="str">
        <f t="shared" si="15"/>
        <v>020089</v>
      </c>
      <c r="D783" s="1" t="str">
        <f>"112102702"</f>
        <v>112102702</v>
      </c>
      <c r="E783" s="1">
        <v>33</v>
      </c>
      <c r="F783" s="1">
        <v>61.5</v>
      </c>
      <c r="H783" s="1">
        <v>44.4</v>
      </c>
    </row>
    <row r="784" s="1" customFormat="1" spans="1:8">
      <c r="A784" s="1" t="s">
        <v>16</v>
      </c>
      <c r="B784" s="1" t="s">
        <v>9</v>
      </c>
      <c r="C784" s="1" t="str">
        <f t="shared" si="15"/>
        <v>020089</v>
      </c>
      <c r="D784" s="1" t="str">
        <f>"112102703"</f>
        <v>112102703</v>
      </c>
      <c r="E784" s="1">
        <v>54.5</v>
      </c>
      <c r="F784" s="1">
        <v>87.5</v>
      </c>
      <c r="H784" s="1">
        <v>67.7</v>
      </c>
    </row>
    <row r="785" s="1" customFormat="1" spans="1:8">
      <c r="A785" s="1" t="s">
        <v>16</v>
      </c>
      <c r="B785" s="1" t="s">
        <v>9</v>
      </c>
      <c r="C785" s="1" t="str">
        <f t="shared" si="15"/>
        <v>020089</v>
      </c>
      <c r="D785" s="1" t="str">
        <f>"112102704"</f>
        <v>112102704</v>
      </c>
      <c r="E785" s="1">
        <v>0</v>
      </c>
      <c r="F785" s="1">
        <v>0</v>
      </c>
      <c r="H785" s="1">
        <v>0</v>
      </c>
    </row>
    <row r="786" s="1" customFormat="1" spans="1:8">
      <c r="A786" s="1" t="s">
        <v>16</v>
      </c>
      <c r="B786" s="1" t="s">
        <v>9</v>
      </c>
      <c r="C786" s="1" t="str">
        <f t="shared" si="15"/>
        <v>020089</v>
      </c>
      <c r="D786" s="1" t="str">
        <f>"112102705"</f>
        <v>112102705</v>
      </c>
      <c r="E786" s="1">
        <v>47.5</v>
      </c>
      <c r="F786" s="1">
        <v>76</v>
      </c>
      <c r="H786" s="1">
        <v>58.9</v>
      </c>
    </row>
    <row r="787" s="1" customFormat="1" spans="1:8">
      <c r="A787" s="1" t="s">
        <v>16</v>
      </c>
      <c r="B787" s="1" t="s">
        <v>9</v>
      </c>
      <c r="C787" s="1" t="str">
        <f t="shared" si="15"/>
        <v>020089</v>
      </c>
      <c r="D787" s="1" t="str">
        <f>"112102706"</f>
        <v>112102706</v>
      </c>
      <c r="E787" s="1">
        <v>91</v>
      </c>
      <c r="F787" s="1">
        <v>97.5</v>
      </c>
      <c r="H787" s="1">
        <v>93.6</v>
      </c>
    </row>
    <row r="788" s="1" customFormat="1" spans="1:8">
      <c r="A788" s="1" t="s">
        <v>16</v>
      </c>
      <c r="B788" s="1" t="s">
        <v>9</v>
      </c>
      <c r="C788" s="1" t="str">
        <f t="shared" si="15"/>
        <v>020089</v>
      </c>
      <c r="D788" s="1" t="str">
        <f>"112102707"</f>
        <v>112102707</v>
      </c>
      <c r="E788" s="1">
        <v>0</v>
      </c>
      <c r="F788" s="1">
        <v>0</v>
      </c>
      <c r="H788" s="1">
        <v>0</v>
      </c>
    </row>
    <row r="789" s="1" customFormat="1" spans="1:8">
      <c r="A789" s="1" t="s">
        <v>16</v>
      </c>
      <c r="B789" s="1" t="s">
        <v>9</v>
      </c>
      <c r="C789" s="1" t="str">
        <f t="shared" si="15"/>
        <v>020089</v>
      </c>
      <c r="D789" s="1" t="str">
        <f>"112102708"</f>
        <v>112102708</v>
      </c>
      <c r="E789" s="1">
        <v>0</v>
      </c>
      <c r="F789" s="1">
        <v>0</v>
      </c>
      <c r="H789" s="1">
        <v>0</v>
      </c>
    </row>
    <row r="790" s="1" customFormat="1" spans="1:8">
      <c r="A790" s="1" t="s">
        <v>16</v>
      </c>
      <c r="B790" s="1" t="s">
        <v>9</v>
      </c>
      <c r="C790" s="1" t="str">
        <f t="shared" si="15"/>
        <v>020089</v>
      </c>
      <c r="D790" s="1" t="str">
        <f>"112102709"</f>
        <v>112102709</v>
      </c>
      <c r="E790" s="1">
        <v>36.5</v>
      </c>
      <c r="F790" s="1">
        <v>47.5</v>
      </c>
      <c r="H790" s="1">
        <v>40.9</v>
      </c>
    </row>
    <row r="791" s="1" customFormat="1" spans="1:8">
      <c r="A791" s="1" t="s">
        <v>16</v>
      </c>
      <c r="B791" s="1" t="s">
        <v>9</v>
      </c>
      <c r="C791" s="1" t="str">
        <f t="shared" si="15"/>
        <v>020089</v>
      </c>
      <c r="D791" s="1" t="str">
        <f>"112102710"</f>
        <v>112102710</v>
      </c>
      <c r="E791" s="1">
        <v>73</v>
      </c>
      <c r="F791" s="1">
        <v>88.5</v>
      </c>
      <c r="H791" s="1">
        <v>79.2</v>
      </c>
    </row>
    <row r="792" s="1" customFormat="1" spans="1:8">
      <c r="A792" s="1" t="s">
        <v>16</v>
      </c>
      <c r="B792" s="1" t="s">
        <v>9</v>
      </c>
      <c r="C792" s="1" t="str">
        <f t="shared" si="15"/>
        <v>020089</v>
      </c>
      <c r="D792" s="1" t="str">
        <f>"112102711"</f>
        <v>112102711</v>
      </c>
      <c r="E792" s="1">
        <v>82.5</v>
      </c>
      <c r="F792" s="1">
        <v>83.5</v>
      </c>
      <c r="H792" s="1">
        <v>82.9</v>
      </c>
    </row>
    <row r="793" s="1" customFormat="1" spans="1:8">
      <c r="A793" s="1" t="s">
        <v>16</v>
      </c>
      <c r="B793" s="1" t="s">
        <v>9</v>
      </c>
      <c r="C793" s="1" t="str">
        <f t="shared" si="15"/>
        <v>020089</v>
      </c>
      <c r="D793" s="1" t="str">
        <f>"112102712"</f>
        <v>112102712</v>
      </c>
      <c r="E793" s="1">
        <v>93</v>
      </c>
      <c r="F793" s="1">
        <v>60.5</v>
      </c>
      <c r="H793" s="1">
        <v>80</v>
      </c>
    </row>
    <row r="794" s="1" customFormat="1" spans="1:8">
      <c r="A794" s="1" t="s">
        <v>16</v>
      </c>
      <c r="B794" s="1" t="s">
        <v>9</v>
      </c>
      <c r="C794" s="1" t="str">
        <f t="shared" si="15"/>
        <v>020089</v>
      </c>
      <c r="D794" s="1" t="str">
        <f>"112102713"</f>
        <v>112102713</v>
      </c>
      <c r="E794" s="1">
        <v>57</v>
      </c>
      <c r="F794" s="1">
        <v>53.5</v>
      </c>
      <c r="H794" s="1">
        <v>55.6</v>
      </c>
    </row>
    <row r="795" s="1" customFormat="1" spans="1:8">
      <c r="A795" s="1" t="s">
        <v>16</v>
      </c>
      <c r="B795" s="1" t="s">
        <v>9</v>
      </c>
      <c r="C795" s="1" t="str">
        <f t="shared" si="15"/>
        <v>020089</v>
      </c>
      <c r="D795" s="1" t="str">
        <f>"112102714"</f>
        <v>112102714</v>
      </c>
      <c r="E795" s="1">
        <v>34.5</v>
      </c>
      <c r="F795" s="1">
        <v>49.5</v>
      </c>
      <c r="H795" s="1">
        <v>40.5</v>
      </c>
    </row>
    <row r="796" s="1" customFormat="1" spans="1:8">
      <c r="A796" s="1" t="s">
        <v>16</v>
      </c>
      <c r="B796" s="1" t="s">
        <v>9</v>
      </c>
      <c r="C796" s="1" t="str">
        <f t="shared" si="15"/>
        <v>020089</v>
      </c>
      <c r="D796" s="1" t="str">
        <f>"112102715"</f>
        <v>112102715</v>
      </c>
      <c r="E796" s="1">
        <v>0</v>
      </c>
      <c r="F796" s="1">
        <v>0</v>
      </c>
      <c r="H796" s="1">
        <v>0</v>
      </c>
    </row>
    <row r="797" s="1" customFormat="1" spans="1:8">
      <c r="A797" s="1" t="s">
        <v>16</v>
      </c>
      <c r="B797" s="1" t="s">
        <v>9</v>
      </c>
      <c r="C797" s="1" t="str">
        <f t="shared" si="15"/>
        <v>020089</v>
      </c>
      <c r="D797" s="1" t="str">
        <f>"112102716"</f>
        <v>112102716</v>
      </c>
      <c r="E797" s="1">
        <v>32.5</v>
      </c>
      <c r="F797" s="1">
        <v>59.5</v>
      </c>
      <c r="H797" s="1">
        <v>43.3</v>
      </c>
    </row>
    <row r="798" s="1" customFormat="1" spans="1:8">
      <c r="A798" s="1" t="s">
        <v>16</v>
      </c>
      <c r="B798" s="1" t="s">
        <v>9</v>
      </c>
      <c r="C798" s="1" t="str">
        <f t="shared" si="15"/>
        <v>020089</v>
      </c>
      <c r="D798" s="1" t="str">
        <f>"112102717"</f>
        <v>112102717</v>
      </c>
      <c r="E798" s="1">
        <v>46.5</v>
      </c>
      <c r="F798" s="1">
        <v>57</v>
      </c>
      <c r="H798" s="1">
        <v>50.7</v>
      </c>
    </row>
    <row r="799" s="1" customFormat="1" spans="1:8">
      <c r="A799" s="1" t="s">
        <v>16</v>
      </c>
      <c r="B799" s="1" t="s">
        <v>9</v>
      </c>
      <c r="C799" s="1" t="str">
        <f t="shared" si="15"/>
        <v>020089</v>
      </c>
      <c r="D799" s="1" t="str">
        <f>"112102718"</f>
        <v>112102718</v>
      </c>
      <c r="E799" s="1">
        <v>57.5</v>
      </c>
      <c r="F799" s="1">
        <v>66.5</v>
      </c>
      <c r="H799" s="1">
        <v>61.1</v>
      </c>
    </row>
    <row r="800" s="1" customFormat="1" spans="1:8">
      <c r="A800" s="1" t="s">
        <v>16</v>
      </c>
      <c r="B800" s="1" t="s">
        <v>9</v>
      </c>
      <c r="C800" s="1" t="str">
        <f t="shared" si="15"/>
        <v>020089</v>
      </c>
      <c r="D800" s="1" t="str">
        <f>"112102719"</f>
        <v>112102719</v>
      </c>
      <c r="E800" s="1">
        <v>73.5</v>
      </c>
      <c r="F800" s="1">
        <v>83</v>
      </c>
      <c r="H800" s="1">
        <v>77.3</v>
      </c>
    </row>
    <row r="801" s="1" customFormat="1" spans="1:8">
      <c r="A801" s="1" t="s">
        <v>16</v>
      </c>
      <c r="B801" s="1" t="s">
        <v>9</v>
      </c>
      <c r="C801" s="1" t="str">
        <f t="shared" si="15"/>
        <v>020089</v>
      </c>
      <c r="D801" s="1" t="str">
        <f>"112102720"</f>
        <v>112102720</v>
      </c>
      <c r="E801" s="1">
        <v>0</v>
      </c>
      <c r="F801" s="1">
        <v>0</v>
      </c>
      <c r="H801" s="1">
        <v>0</v>
      </c>
    </row>
    <row r="802" s="1" customFormat="1" spans="1:8">
      <c r="A802" s="1" t="s">
        <v>16</v>
      </c>
      <c r="B802" s="1" t="s">
        <v>9</v>
      </c>
      <c r="C802" s="1" t="str">
        <f t="shared" si="15"/>
        <v>020089</v>
      </c>
      <c r="D802" s="1" t="str">
        <f>"112102721"</f>
        <v>112102721</v>
      </c>
      <c r="E802" s="1">
        <v>0</v>
      </c>
      <c r="F802" s="1">
        <v>0</v>
      </c>
      <c r="H802" s="1">
        <v>0</v>
      </c>
    </row>
    <row r="803" s="1" customFormat="1" spans="1:8">
      <c r="A803" s="1" t="s">
        <v>16</v>
      </c>
      <c r="B803" s="1" t="s">
        <v>9</v>
      </c>
      <c r="C803" s="1" t="str">
        <f t="shared" si="15"/>
        <v>020089</v>
      </c>
      <c r="D803" s="1" t="str">
        <f>"112102722"</f>
        <v>112102722</v>
      </c>
      <c r="E803" s="1">
        <v>21.5</v>
      </c>
      <c r="F803" s="1">
        <v>60.5</v>
      </c>
      <c r="H803" s="1">
        <v>37.1</v>
      </c>
    </row>
    <row r="804" s="1" customFormat="1" spans="1:8">
      <c r="A804" s="1" t="s">
        <v>16</v>
      </c>
      <c r="B804" s="1" t="s">
        <v>9</v>
      </c>
      <c r="C804" s="1" t="str">
        <f t="shared" si="15"/>
        <v>020089</v>
      </c>
      <c r="D804" s="1" t="str">
        <f>"112102723"</f>
        <v>112102723</v>
      </c>
      <c r="E804" s="1">
        <v>79</v>
      </c>
      <c r="F804" s="1">
        <v>89.5</v>
      </c>
      <c r="H804" s="1">
        <v>83.2</v>
      </c>
    </row>
    <row r="805" s="1" customFormat="1" spans="1:8">
      <c r="A805" s="1" t="s">
        <v>16</v>
      </c>
      <c r="B805" s="1" t="s">
        <v>9</v>
      </c>
      <c r="C805" s="1" t="str">
        <f t="shared" si="15"/>
        <v>020089</v>
      </c>
      <c r="D805" s="1" t="str">
        <f>"112102724"</f>
        <v>112102724</v>
      </c>
      <c r="E805" s="1">
        <v>49.5</v>
      </c>
      <c r="F805" s="1">
        <v>70.5</v>
      </c>
      <c r="H805" s="1">
        <v>57.9</v>
      </c>
    </row>
    <row r="806" s="1" customFormat="1" spans="1:8">
      <c r="A806" s="1" t="s">
        <v>16</v>
      </c>
      <c r="B806" s="1" t="s">
        <v>9</v>
      </c>
      <c r="C806" s="1" t="str">
        <f t="shared" si="15"/>
        <v>020089</v>
      </c>
      <c r="D806" s="1" t="str">
        <f>"112102725"</f>
        <v>112102725</v>
      </c>
      <c r="E806" s="1">
        <v>34</v>
      </c>
      <c r="F806" s="1">
        <v>55</v>
      </c>
      <c r="H806" s="1">
        <v>42.4</v>
      </c>
    </row>
    <row r="807" s="1" customFormat="1" spans="1:8">
      <c r="A807" s="1" t="s">
        <v>17</v>
      </c>
      <c r="B807" s="1" t="s">
        <v>9</v>
      </c>
      <c r="C807" s="1" t="str">
        <f t="shared" ref="C807:C870" si="16">"020091"</f>
        <v>020091</v>
      </c>
      <c r="D807" s="1" t="str">
        <f>"112102726"</f>
        <v>112102726</v>
      </c>
      <c r="E807" s="1">
        <v>42</v>
      </c>
      <c r="F807" s="1">
        <v>54.5</v>
      </c>
      <c r="H807" s="1">
        <v>47</v>
      </c>
    </row>
    <row r="808" s="1" customFormat="1" spans="1:8">
      <c r="A808" s="1" t="s">
        <v>17</v>
      </c>
      <c r="B808" s="1" t="s">
        <v>9</v>
      </c>
      <c r="C808" s="1" t="str">
        <f t="shared" si="16"/>
        <v>020091</v>
      </c>
      <c r="D808" s="1" t="str">
        <f>"112102727"</f>
        <v>112102727</v>
      </c>
      <c r="E808" s="1">
        <v>77.5</v>
      </c>
      <c r="F808" s="1">
        <v>82.5</v>
      </c>
      <c r="H808" s="1">
        <v>79.5</v>
      </c>
    </row>
    <row r="809" s="1" customFormat="1" spans="1:8">
      <c r="A809" s="1" t="s">
        <v>17</v>
      </c>
      <c r="B809" s="1" t="s">
        <v>9</v>
      </c>
      <c r="C809" s="1" t="str">
        <f t="shared" si="16"/>
        <v>020091</v>
      </c>
      <c r="D809" s="1" t="str">
        <f>"112102728"</f>
        <v>112102728</v>
      </c>
      <c r="E809" s="1">
        <v>54</v>
      </c>
      <c r="F809" s="1">
        <v>80.5</v>
      </c>
      <c r="H809" s="1">
        <v>64.6</v>
      </c>
    </row>
    <row r="810" s="1" customFormat="1" spans="1:8">
      <c r="A810" s="1" t="s">
        <v>17</v>
      </c>
      <c r="B810" s="1" t="s">
        <v>9</v>
      </c>
      <c r="C810" s="1" t="str">
        <f t="shared" si="16"/>
        <v>020091</v>
      </c>
      <c r="D810" s="1" t="str">
        <f>"112102729"</f>
        <v>112102729</v>
      </c>
      <c r="E810" s="1">
        <v>62</v>
      </c>
      <c r="F810" s="1">
        <v>0</v>
      </c>
      <c r="H810" s="1">
        <v>37.2</v>
      </c>
    </row>
    <row r="811" s="1" customFormat="1" spans="1:8">
      <c r="A811" s="1" t="s">
        <v>17</v>
      </c>
      <c r="B811" s="1" t="s">
        <v>9</v>
      </c>
      <c r="C811" s="1" t="str">
        <f t="shared" si="16"/>
        <v>020091</v>
      </c>
      <c r="D811" s="1" t="str">
        <f>"112102730"</f>
        <v>112102730</v>
      </c>
      <c r="E811" s="1">
        <v>44.5</v>
      </c>
      <c r="F811" s="1">
        <v>74</v>
      </c>
      <c r="H811" s="1">
        <v>56.3</v>
      </c>
    </row>
    <row r="812" s="1" customFormat="1" spans="1:8">
      <c r="A812" s="1" t="s">
        <v>17</v>
      </c>
      <c r="B812" s="1" t="s">
        <v>9</v>
      </c>
      <c r="C812" s="1" t="str">
        <f t="shared" si="16"/>
        <v>020091</v>
      </c>
      <c r="D812" s="1" t="str">
        <f>"112102801"</f>
        <v>112102801</v>
      </c>
      <c r="E812" s="1">
        <v>0</v>
      </c>
      <c r="F812" s="1">
        <v>0</v>
      </c>
      <c r="H812" s="1">
        <v>0</v>
      </c>
    </row>
    <row r="813" s="1" customFormat="1" spans="1:8">
      <c r="A813" s="1" t="s">
        <v>17</v>
      </c>
      <c r="B813" s="1" t="s">
        <v>9</v>
      </c>
      <c r="C813" s="1" t="str">
        <f t="shared" si="16"/>
        <v>020091</v>
      </c>
      <c r="D813" s="1" t="str">
        <f>"112102802"</f>
        <v>112102802</v>
      </c>
      <c r="E813" s="1">
        <v>56</v>
      </c>
      <c r="F813" s="1">
        <v>68</v>
      </c>
      <c r="H813" s="1">
        <v>60.8</v>
      </c>
    </row>
    <row r="814" s="1" customFormat="1" spans="1:8">
      <c r="A814" s="1" t="s">
        <v>17</v>
      </c>
      <c r="B814" s="1" t="s">
        <v>9</v>
      </c>
      <c r="C814" s="1" t="str">
        <f t="shared" si="16"/>
        <v>020091</v>
      </c>
      <c r="D814" s="1" t="str">
        <f>"112102803"</f>
        <v>112102803</v>
      </c>
      <c r="E814" s="1">
        <v>55</v>
      </c>
      <c r="F814" s="1">
        <v>91</v>
      </c>
      <c r="H814" s="1">
        <v>69.4</v>
      </c>
    </row>
    <row r="815" s="1" customFormat="1" spans="1:8">
      <c r="A815" s="1" t="s">
        <v>17</v>
      </c>
      <c r="B815" s="1" t="s">
        <v>9</v>
      </c>
      <c r="C815" s="1" t="str">
        <f t="shared" si="16"/>
        <v>020091</v>
      </c>
      <c r="D815" s="1" t="str">
        <f>"112102804"</f>
        <v>112102804</v>
      </c>
      <c r="E815" s="1">
        <v>35.5</v>
      </c>
      <c r="F815" s="1">
        <v>53</v>
      </c>
      <c r="H815" s="1">
        <v>42.5</v>
      </c>
    </row>
    <row r="816" s="1" customFormat="1" spans="1:8">
      <c r="A816" s="1" t="s">
        <v>17</v>
      </c>
      <c r="B816" s="1" t="s">
        <v>9</v>
      </c>
      <c r="C816" s="1" t="str">
        <f t="shared" si="16"/>
        <v>020091</v>
      </c>
      <c r="D816" s="1" t="str">
        <f>"112102805"</f>
        <v>112102805</v>
      </c>
      <c r="E816" s="1">
        <v>18</v>
      </c>
      <c r="F816" s="1">
        <v>0</v>
      </c>
      <c r="H816" s="1">
        <v>10.8</v>
      </c>
    </row>
    <row r="817" s="1" customFormat="1" spans="1:8">
      <c r="A817" s="1" t="s">
        <v>17</v>
      </c>
      <c r="B817" s="1" t="s">
        <v>9</v>
      </c>
      <c r="C817" s="1" t="str">
        <f t="shared" si="16"/>
        <v>020091</v>
      </c>
      <c r="D817" s="1" t="str">
        <f>"112102806"</f>
        <v>112102806</v>
      </c>
      <c r="E817" s="1">
        <v>37</v>
      </c>
      <c r="F817" s="1">
        <v>0</v>
      </c>
      <c r="H817" s="1">
        <v>22.2</v>
      </c>
    </row>
    <row r="818" s="1" customFormat="1" spans="1:8">
      <c r="A818" s="1" t="s">
        <v>17</v>
      </c>
      <c r="B818" s="1" t="s">
        <v>9</v>
      </c>
      <c r="C818" s="1" t="str">
        <f t="shared" si="16"/>
        <v>020091</v>
      </c>
      <c r="D818" s="1" t="str">
        <f>"112102807"</f>
        <v>112102807</v>
      </c>
      <c r="E818" s="1">
        <v>0</v>
      </c>
      <c r="F818" s="1">
        <v>0</v>
      </c>
      <c r="H818" s="1">
        <v>0</v>
      </c>
    </row>
    <row r="819" s="1" customFormat="1" spans="1:8">
      <c r="A819" s="1" t="s">
        <v>17</v>
      </c>
      <c r="B819" s="1" t="s">
        <v>9</v>
      </c>
      <c r="C819" s="1" t="str">
        <f t="shared" si="16"/>
        <v>020091</v>
      </c>
      <c r="D819" s="1" t="str">
        <f>"112102808"</f>
        <v>112102808</v>
      </c>
      <c r="E819" s="1">
        <v>67</v>
      </c>
      <c r="F819" s="1">
        <v>73</v>
      </c>
      <c r="H819" s="1">
        <v>69.4</v>
      </c>
    </row>
    <row r="820" s="1" customFormat="1" spans="1:8">
      <c r="A820" s="1" t="s">
        <v>17</v>
      </c>
      <c r="B820" s="1" t="s">
        <v>9</v>
      </c>
      <c r="C820" s="1" t="str">
        <f t="shared" si="16"/>
        <v>020091</v>
      </c>
      <c r="D820" s="1" t="str">
        <f>"112102809"</f>
        <v>112102809</v>
      </c>
      <c r="E820" s="1">
        <v>0</v>
      </c>
      <c r="F820" s="1">
        <v>0</v>
      </c>
      <c r="H820" s="1">
        <v>0</v>
      </c>
    </row>
    <row r="821" s="1" customFormat="1" spans="1:8">
      <c r="A821" s="1" t="s">
        <v>17</v>
      </c>
      <c r="B821" s="1" t="s">
        <v>9</v>
      </c>
      <c r="C821" s="1" t="str">
        <f t="shared" si="16"/>
        <v>020091</v>
      </c>
      <c r="D821" s="1" t="str">
        <f>"112102810"</f>
        <v>112102810</v>
      </c>
      <c r="E821" s="1">
        <v>0</v>
      </c>
      <c r="F821" s="1">
        <v>0</v>
      </c>
      <c r="H821" s="1">
        <v>0</v>
      </c>
    </row>
    <row r="822" s="1" customFormat="1" spans="1:8">
      <c r="A822" s="1" t="s">
        <v>17</v>
      </c>
      <c r="B822" s="1" t="s">
        <v>9</v>
      </c>
      <c r="C822" s="1" t="str">
        <f t="shared" si="16"/>
        <v>020091</v>
      </c>
      <c r="D822" s="1" t="str">
        <f>"112102811"</f>
        <v>112102811</v>
      </c>
      <c r="E822" s="1">
        <v>0</v>
      </c>
      <c r="F822" s="1">
        <v>0</v>
      </c>
      <c r="H822" s="1">
        <v>0</v>
      </c>
    </row>
    <row r="823" s="1" customFormat="1" spans="1:8">
      <c r="A823" s="1" t="s">
        <v>17</v>
      </c>
      <c r="B823" s="1" t="s">
        <v>9</v>
      </c>
      <c r="C823" s="1" t="str">
        <f t="shared" si="16"/>
        <v>020091</v>
      </c>
      <c r="D823" s="1" t="str">
        <f>"112102812"</f>
        <v>112102812</v>
      </c>
      <c r="E823" s="1">
        <v>47</v>
      </c>
      <c r="F823" s="1">
        <v>60.5</v>
      </c>
      <c r="H823" s="1">
        <v>52.4</v>
      </c>
    </row>
    <row r="824" s="1" customFormat="1" spans="1:8">
      <c r="A824" s="1" t="s">
        <v>17</v>
      </c>
      <c r="B824" s="1" t="s">
        <v>9</v>
      </c>
      <c r="C824" s="1" t="str">
        <f t="shared" si="16"/>
        <v>020091</v>
      </c>
      <c r="D824" s="1" t="str">
        <f>"112102813"</f>
        <v>112102813</v>
      </c>
      <c r="E824" s="1">
        <v>63</v>
      </c>
      <c r="F824" s="1">
        <v>64</v>
      </c>
      <c r="H824" s="1">
        <v>63.4</v>
      </c>
    </row>
    <row r="825" s="1" customFormat="1" spans="1:8">
      <c r="A825" s="1" t="s">
        <v>17</v>
      </c>
      <c r="B825" s="1" t="s">
        <v>9</v>
      </c>
      <c r="C825" s="1" t="str">
        <f t="shared" si="16"/>
        <v>020091</v>
      </c>
      <c r="D825" s="1" t="str">
        <f>"112102814"</f>
        <v>112102814</v>
      </c>
      <c r="E825" s="1">
        <v>51</v>
      </c>
      <c r="F825" s="1">
        <v>97</v>
      </c>
      <c r="H825" s="1">
        <v>69.4</v>
      </c>
    </row>
    <row r="826" s="1" customFormat="1" spans="1:8">
      <c r="A826" s="1" t="s">
        <v>17</v>
      </c>
      <c r="B826" s="1" t="s">
        <v>9</v>
      </c>
      <c r="C826" s="1" t="str">
        <f t="shared" si="16"/>
        <v>020091</v>
      </c>
      <c r="D826" s="1" t="str">
        <f>"112102815"</f>
        <v>112102815</v>
      </c>
      <c r="E826" s="1">
        <v>31.5</v>
      </c>
      <c r="F826" s="1">
        <v>70.5</v>
      </c>
      <c r="H826" s="1">
        <v>47.1</v>
      </c>
    </row>
    <row r="827" s="1" customFormat="1" spans="1:8">
      <c r="A827" s="1" t="s">
        <v>17</v>
      </c>
      <c r="B827" s="1" t="s">
        <v>9</v>
      </c>
      <c r="C827" s="1" t="str">
        <f t="shared" si="16"/>
        <v>020091</v>
      </c>
      <c r="D827" s="1" t="str">
        <f>"112102816"</f>
        <v>112102816</v>
      </c>
      <c r="E827" s="1">
        <v>64.5</v>
      </c>
      <c r="F827" s="1">
        <v>79</v>
      </c>
      <c r="H827" s="1">
        <v>70.3</v>
      </c>
    </row>
    <row r="828" s="1" customFormat="1" spans="1:8">
      <c r="A828" s="1" t="s">
        <v>17</v>
      </c>
      <c r="B828" s="1" t="s">
        <v>9</v>
      </c>
      <c r="C828" s="1" t="str">
        <f t="shared" si="16"/>
        <v>020091</v>
      </c>
      <c r="D828" s="1" t="str">
        <f>"112102817"</f>
        <v>112102817</v>
      </c>
      <c r="E828" s="1">
        <v>0</v>
      </c>
      <c r="F828" s="1">
        <v>0</v>
      </c>
      <c r="H828" s="1">
        <v>0</v>
      </c>
    </row>
    <row r="829" s="1" customFormat="1" spans="1:8">
      <c r="A829" s="1" t="s">
        <v>17</v>
      </c>
      <c r="B829" s="1" t="s">
        <v>9</v>
      </c>
      <c r="C829" s="1" t="str">
        <f t="shared" si="16"/>
        <v>020091</v>
      </c>
      <c r="D829" s="1" t="str">
        <f>"112102818"</f>
        <v>112102818</v>
      </c>
      <c r="E829" s="1">
        <v>32</v>
      </c>
      <c r="F829" s="1">
        <v>54.5</v>
      </c>
      <c r="H829" s="1">
        <v>41</v>
      </c>
    </row>
    <row r="830" s="1" customFormat="1" spans="1:8">
      <c r="A830" s="1" t="s">
        <v>17</v>
      </c>
      <c r="B830" s="1" t="s">
        <v>9</v>
      </c>
      <c r="C830" s="1" t="str">
        <f t="shared" si="16"/>
        <v>020091</v>
      </c>
      <c r="D830" s="1" t="str">
        <f>"112102819"</f>
        <v>112102819</v>
      </c>
      <c r="E830" s="1">
        <v>0</v>
      </c>
      <c r="F830" s="1">
        <v>0</v>
      </c>
      <c r="H830" s="1">
        <v>0</v>
      </c>
    </row>
    <row r="831" s="1" customFormat="1" spans="1:8">
      <c r="A831" s="1" t="s">
        <v>17</v>
      </c>
      <c r="B831" s="1" t="s">
        <v>9</v>
      </c>
      <c r="C831" s="1" t="str">
        <f t="shared" si="16"/>
        <v>020091</v>
      </c>
      <c r="D831" s="1" t="str">
        <f>"112102820"</f>
        <v>112102820</v>
      </c>
      <c r="E831" s="1">
        <v>17.5</v>
      </c>
      <c r="F831" s="1">
        <v>0</v>
      </c>
      <c r="H831" s="1">
        <v>10.5</v>
      </c>
    </row>
    <row r="832" s="1" customFormat="1" spans="1:8">
      <c r="A832" s="1" t="s">
        <v>17</v>
      </c>
      <c r="B832" s="1" t="s">
        <v>9</v>
      </c>
      <c r="C832" s="1" t="str">
        <f t="shared" si="16"/>
        <v>020091</v>
      </c>
      <c r="D832" s="1" t="str">
        <f>"112102821"</f>
        <v>112102821</v>
      </c>
      <c r="E832" s="1">
        <v>79.5</v>
      </c>
      <c r="F832" s="1">
        <v>84.5</v>
      </c>
      <c r="H832" s="1">
        <v>81.5</v>
      </c>
    </row>
    <row r="833" s="1" customFormat="1" spans="1:8">
      <c r="A833" s="1" t="s">
        <v>17</v>
      </c>
      <c r="B833" s="1" t="s">
        <v>9</v>
      </c>
      <c r="C833" s="1" t="str">
        <f t="shared" si="16"/>
        <v>020091</v>
      </c>
      <c r="D833" s="1" t="str">
        <f>"112102822"</f>
        <v>112102822</v>
      </c>
      <c r="E833" s="1">
        <v>57.5</v>
      </c>
      <c r="F833" s="1">
        <v>73.5</v>
      </c>
      <c r="H833" s="1">
        <v>63.9</v>
      </c>
    </row>
    <row r="834" s="1" customFormat="1" spans="1:8">
      <c r="A834" s="1" t="s">
        <v>17</v>
      </c>
      <c r="B834" s="1" t="s">
        <v>9</v>
      </c>
      <c r="C834" s="1" t="str">
        <f t="shared" si="16"/>
        <v>020091</v>
      </c>
      <c r="D834" s="1" t="str">
        <f>"112102823"</f>
        <v>112102823</v>
      </c>
      <c r="E834" s="1">
        <v>0</v>
      </c>
      <c r="F834" s="1">
        <v>0</v>
      </c>
      <c r="H834" s="1">
        <v>0</v>
      </c>
    </row>
    <row r="835" s="1" customFormat="1" spans="1:8">
      <c r="A835" s="1" t="s">
        <v>17</v>
      </c>
      <c r="B835" s="1" t="s">
        <v>9</v>
      </c>
      <c r="C835" s="1" t="str">
        <f t="shared" si="16"/>
        <v>020091</v>
      </c>
      <c r="D835" s="1" t="str">
        <f>"112102824"</f>
        <v>112102824</v>
      </c>
      <c r="E835" s="1">
        <v>55.5</v>
      </c>
      <c r="F835" s="1">
        <v>88</v>
      </c>
      <c r="H835" s="1">
        <v>68.5</v>
      </c>
    </row>
    <row r="836" s="1" customFormat="1" spans="1:8">
      <c r="A836" s="1" t="s">
        <v>17</v>
      </c>
      <c r="B836" s="1" t="s">
        <v>9</v>
      </c>
      <c r="C836" s="1" t="str">
        <f t="shared" si="16"/>
        <v>020091</v>
      </c>
      <c r="D836" s="1" t="str">
        <f>"112102825"</f>
        <v>112102825</v>
      </c>
      <c r="E836" s="1">
        <v>39.5</v>
      </c>
      <c r="F836" s="1">
        <v>56</v>
      </c>
      <c r="H836" s="1">
        <v>46.1</v>
      </c>
    </row>
    <row r="837" s="1" customFormat="1" spans="1:8">
      <c r="A837" s="1" t="s">
        <v>17</v>
      </c>
      <c r="B837" s="1" t="s">
        <v>9</v>
      </c>
      <c r="C837" s="1" t="str">
        <f t="shared" si="16"/>
        <v>020091</v>
      </c>
      <c r="D837" s="1" t="str">
        <f>"112102826"</f>
        <v>112102826</v>
      </c>
      <c r="E837" s="1">
        <v>49</v>
      </c>
      <c r="F837" s="1">
        <v>67.5</v>
      </c>
      <c r="H837" s="1">
        <v>56.4</v>
      </c>
    </row>
    <row r="838" s="1" customFormat="1" spans="1:8">
      <c r="A838" s="1" t="s">
        <v>17</v>
      </c>
      <c r="B838" s="1" t="s">
        <v>9</v>
      </c>
      <c r="C838" s="1" t="str">
        <f t="shared" si="16"/>
        <v>020091</v>
      </c>
      <c r="D838" s="1" t="str">
        <f>"112102827"</f>
        <v>112102827</v>
      </c>
      <c r="E838" s="1">
        <v>0</v>
      </c>
      <c r="F838" s="1">
        <v>0</v>
      </c>
      <c r="H838" s="1">
        <v>0</v>
      </c>
    </row>
    <row r="839" s="1" customFormat="1" spans="1:8">
      <c r="A839" s="1" t="s">
        <v>17</v>
      </c>
      <c r="B839" s="1" t="s">
        <v>9</v>
      </c>
      <c r="C839" s="1" t="str">
        <f t="shared" si="16"/>
        <v>020091</v>
      </c>
      <c r="D839" s="1" t="str">
        <f>"112102828"</f>
        <v>112102828</v>
      </c>
      <c r="E839" s="1">
        <v>71.5</v>
      </c>
      <c r="F839" s="1">
        <v>90</v>
      </c>
      <c r="H839" s="1">
        <v>78.9</v>
      </c>
    </row>
    <row r="840" s="1" customFormat="1" spans="1:8">
      <c r="A840" s="1" t="s">
        <v>17</v>
      </c>
      <c r="B840" s="1" t="s">
        <v>9</v>
      </c>
      <c r="C840" s="1" t="str">
        <f t="shared" si="16"/>
        <v>020091</v>
      </c>
      <c r="D840" s="1" t="str">
        <f>"112102829"</f>
        <v>112102829</v>
      </c>
      <c r="E840" s="1">
        <v>90</v>
      </c>
      <c r="F840" s="1">
        <v>100.5</v>
      </c>
      <c r="H840" s="1">
        <v>94.2</v>
      </c>
    </row>
    <row r="841" s="1" customFormat="1" spans="1:8">
      <c r="A841" s="1" t="s">
        <v>17</v>
      </c>
      <c r="B841" s="1" t="s">
        <v>9</v>
      </c>
      <c r="C841" s="1" t="str">
        <f t="shared" si="16"/>
        <v>020091</v>
      </c>
      <c r="D841" s="1" t="str">
        <f>"112102830"</f>
        <v>112102830</v>
      </c>
      <c r="E841" s="1">
        <v>0</v>
      </c>
      <c r="F841" s="1">
        <v>0</v>
      </c>
      <c r="H841" s="1">
        <v>0</v>
      </c>
    </row>
    <row r="842" s="1" customFormat="1" spans="1:8">
      <c r="A842" s="1" t="s">
        <v>17</v>
      </c>
      <c r="B842" s="1" t="s">
        <v>9</v>
      </c>
      <c r="C842" s="1" t="str">
        <f t="shared" si="16"/>
        <v>020091</v>
      </c>
      <c r="D842" s="1" t="str">
        <f>"112102901"</f>
        <v>112102901</v>
      </c>
      <c r="E842" s="1">
        <v>19.5</v>
      </c>
      <c r="F842" s="1">
        <v>85</v>
      </c>
      <c r="H842" s="1">
        <v>45.7</v>
      </c>
    </row>
    <row r="843" s="1" customFormat="1" spans="1:8">
      <c r="A843" s="1" t="s">
        <v>17</v>
      </c>
      <c r="B843" s="1" t="s">
        <v>9</v>
      </c>
      <c r="C843" s="1" t="str">
        <f t="shared" si="16"/>
        <v>020091</v>
      </c>
      <c r="D843" s="1" t="str">
        <f>"112102902"</f>
        <v>112102902</v>
      </c>
      <c r="E843" s="1">
        <v>8</v>
      </c>
      <c r="F843" s="1">
        <v>30</v>
      </c>
      <c r="H843" s="1">
        <v>16.8</v>
      </c>
    </row>
    <row r="844" s="1" customFormat="1" spans="1:8">
      <c r="A844" s="1" t="s">
        <v>17</v>
      </c>
      <c r="B844" s="1" t="s">
        <v>9</v>
      </c>
      <c r="C844" s="1" t="str">
        <f t="shared" si="16"/>
        <v>020091</v>
      </c>
      <c r="D844" s="1" t="str">
        <f>"112102903"</f>
        <v>112102903</v>
      </c>
      <c r="E844" s="1">
        <v>42.5</v>
      </c>
      <c r="F844" s="1">
        <v>43</v>
      </c>
      <c r="H844" s="1">
        <v>42.7</v>
      </c>
    </row>
    <row r="845" s="1" customFormat="1" spans="1:8">
      <c r="A845" s="1" t="s">
        <v>17</v>
      </c>
      <c r="B845" s="1" t="s">
        <v>9</v>
      </c>
      <c r="C845" s="1" t="str">
        <f t="shared" si="16"/>
        <v>020091</v>
      </c>
      <c r="D845" s="1" t="str">
        <f>"112102904"</f>
        <v>112102904</v>
      </c>
      <c r="E845" s="1">
        <v>65.5</v>
      </c>
      <c r="F845" s="1">
        <v>74.5</v>
      </c>
      <c r="H845" s="1">
        <v>69.1</v>
      </c>
    </row>
    <row r="846" s="1" customFormat="1" spans="1:8">
      <c r="A846" s="1" t="s">
        <v>17</v>
      </c>
      <c r="B846" s="1" t="s">
        <v>9</v>
      </c>
      <c r="C846" s="1" t="str">
        <f t="shared" si="16"/>
        <v>020091</v>
      </c>
      <c r="D846" s="1" t="str">
        <f>"112102905"</f>
        <v>112102905</v>
      </c>
      <c r="E846" s="1">
        <v>69.5</v>
      </c>
      <c r="F846" s="1">
        <v>58</v>
      </c>
      <c r="H846" s="1">
        <v>64.9</v>
      </c>
    </row>
    <row r="847" s="1" customFormat="1" spans="1:8">
      <c r="A847" s="1" t="s">
        <v>17</v>
      </c>
      <c r="B847" s="1" t="s">
        <v>9</v>
      </c>
      <c r="C847" s="1" t="str">
        <f t="shared" si="16"/>
        <v>020091</v>
      </c>
      <c r="D847" s="1" t="str">
        <f>"112102906"</f>
        <v>112102906</v>
      </c>
      <c r="E847" s="1">
        <v>74</v>
      </c>
      <c r="F847" s="1">
        <v>92.5</v>
      </c>
      <c r="H847" s="1">
        <v>81.4</v>
      </c>
    </row>
    <row r="848" s="1" customFormat="1" spans="1:8">
      <c r="A848" s="1" t="s">
        <v>17</v>
      </c>
      <c r="B848" s="1" t="s">
        <v>9</v>
      </c>
      <c r="C848" s="1" t="str">
        <f t="shared" si="16"/>
        <v>020091</v>
      </c>
      <c r="D848" s="1" t="str">
        <f>"112102907"</f>
        <v>112102907</v>
      </c>
      <c r="E848" s="1">
        <v>45</v>
      </c>
      <c r="F848" s="1">
        <v>62</v>
      </c>
      <c r="H848" s="1">
        <v>51.8</v>
      </c>
    </row>
    <row r="849" s="1" customFormat="1" spans="1:8">
      <c r="A849" s="1" t="s">
        <v>17</v>
      </c>
      <c r="B849" s="1" t="s">
        <v>9</v>
      </c>
      <c r="C849" s="1" t="str">
        <f t="shared" si="16"/>
        <v>020091</v>
      </c>
      <c r="D849" s="1" t="str">
        <f>"112102908"</f>
        <v>112102908</v>
      </c>
      <c r="E849" s="1">
        <v>57</v>
      </c>
      <c r="F849" s="1">
        <v>75</v>
      </c>
      <c r="H849" s="1">
        <v>64.2</v>
      </c>
    </row>
    <row r="850" s="1" customFormat="1" spans="1:8">
      <c r="A850" s="1" t="s">
        <v>17</v>
      </c>
      <c r="B850" s="1" t="s">
        <v>9</v>
      </c>
      <c r="C850" s="1" t="str">
        <f t="shared" si="16"/>
        <v>020091</v>
      </c>
      <c r="D850" s="1" t="str">
        <f>"112102909"</f>
        <v>112102909</v>
      </c>
      <c r="E850" s="1">
        <v>84.5</v>
      </c>
      <c r="F850" s="1">
        <v>83.5</v>
      </c>
      <c r="H850" s="1">
        <v>84.1</v>
      </c>
    </row>
    <row r="851" s="1" customFormat="1" spans="1:8">
      <c r="A851" s="1" t="s">
        <v>17</v>
      </c>
      <c r="B851" s="1" t="s">
        <v>9</v>
      </c>
      <c r="C851" s="1" t="str">
        <f t="shared" si="16"/>
        <v>020091</v>
      </c>
      <c r="D851" s="1" t="str">
        <f>"112102910"</f>
        <v>112102910</v>
      </c>
      <c r="E851" s="1">
        <v>37</v>
      </c>
      <c r="F851" s="1">
        <v>71</v>
      </c>
      <c r="H851" s="1">
        <v>50.6</v>
      </c>
    </row>
    <row r="852" s="1" customFormat="1" spans="1:8">
      <c r="A852" s="1" t="s">
        <v>17</v>
      </c>
      <c r="B852" s="1" t="s">
        <v>9</v>
      </c>
      <c r="C852" s="1" t="str">
        <f t="shared" si="16"/>
        <v>020091</v>
      </c>
      <c r="D852" s="1" t="str">
        <f>"112102911"</f>
        <v>112102911</v>
      </c>
      <c r="E852" s="1">
        <v>75.5</v>
      </c>
      <c r="F852" s="1">
        <v>87.5</v>
      </c>
      <c r="H852" s="1">
        <v>80.3</v>
      </c>
    </row>
    <row r="853" s="1" customFormat="1" spans="1:8">
      <c r="A853" s="1" t="s">
        <v>17</v>
      </c>
      <c r="B853" s="1" t="s">
        <v>9</v>
      </c>
      <c r="C853" s="1" t="str">
        <f t="shared" si="16"/>
        <v>020091</v>
      </c>
      <c r="D853" s="1" t="str">
        <f>"112102912"</f>
        <v>112102912</v>
      </c>
      <c r="E853" s="1">
        <v>0</v>
      </c>
      <c r="F853" s="1">
        <v>0</v>
      </c>
      <c r="H853" s="1">
        <v>0</v>
      </c>
    </row>
    <row r="854" s="1" customFormat="1" spans="1:8">
      <c r="A854" s="1" t="s">
        <v>17</v>
      </c>
      <c r="B854" s="1" t="s">
        <v>9</v>
      </c>
      <c r="C854" s="1" t="str">
        <f t="shared" si="16"/>
        <v>020091</v>
      </c>
      <c r="D854" s="1" t="str">
        <f>"112102913"</f>
        <v>112102913</v>
      </c>
      <c r="E854" s="1">
        <v>35</v>
      </c>
      <c r="F854" s="1">
        <v>61</v>
      </c>
      <c r="H854" s="1">
        <v>45.4</v>
      </c>
    </row>
    <row r="855" s="1" customFormat="1" spans="1:8">
      <c r="A855" s="1" t="s">
        <v>17</v>
      </c>
      <c r="B855" s="1" t="s">
        <v>9</v>
      </c>
      <c r="C855" s="1" t="str">
        <f t="shared" si="16"/>
        <v>020091</v>
      </c>
      <c r="D855" s="1" t="str">
        <f>"112102914"</f>
        <v>112102914</v>
      </c>
      <c r="E855" s="1">
        <v>0</v>
      </c>
      <c r="F855" s="1">
        <v>0</v>
      </c>
      <c r="H855" s="1">
        <v>0</v>
      </c>
    </row>
    <row r="856" s="1" customFormat="1" spans="1:8">
      <c r="A856" s="1" t="s">
        <v>17</v>
      </c>
      <c r="B856" s="1" t="s">
        <v>9</v>
      </c>
      <c r="C856" s="1" t="str">
        <f t="shared" si="16"/>
        <v>020091</v>
      </c>
      <c r="D856" s="1" t="str">
        <f>"112102915"</f>
        <v>112102915</v>
      </c>
      <c r="E856" s="1">
        <v>70.5</v>
      </c>
      <c r="F856" s="1">
        <v>91</v>
      </c>
      <c r="H856" s="1">
        <v>78.7</v>
      </c>
    </row>
    <row r="857" s="1" customFormat="1" spans="1:8">
      <c r="A857" s="1" t="s">
        <v>17</v>
      </c>
      <c r="B857" s="1" t="s">
        <v>9</v>
      </c>
      <c r="C857" s="1" t="str">
        <f t="shared" si="16"/>
        <v>020091</v>
      </c>
      <c r="D857" s="1" t="str">
        <f>"112102916"</f>
        <v>112102916</v>
      </c>
      <c r="E857" s="1">
        <v>47</v>
      </c>
      <c r="F857" s="1">
        <v>68</v>
      </c>
      <c r="H857" s="1">
        <v>55.4</v>
      </c>
    </row>
    <row r="858" s="1" customFormat="1" spans="1:8">
      <c r="A858" s="1" t="s">
        <v>17</v>
      </c>
      <c r="B858" s="1" t="s">
        <v>9</v>
      </c>
      <c r="C858" s="1" t="str">
        <f t="shared" si="16"/>
        <v>020091</v>
      </c>
      <c r="D858" s="1" t="str">
        <f>"112102917"</f>
        <v>112102917</v>
      </c>
      <c r="E858" s="1">
        <v>59</v>
      </c>
      <c r="F858" s="1">
        <v>66</v>
      </c>
      <c r="H858" s="1">
        <v>61.8</v>
      </c>
    </row>
    <row r="859" s="1" customFormat="1" spans="1:8">
      <c r="A859" s="1" t="s">
        <v>17</v>
      </c>
      <c r="B859" s="1" t="s">
        <v>9</v>
      </c>
      <c r="C859" s="1" t="str">
        <f t="shared" si="16"/>
        <v>020091</v>
      </c>
      <c r="D859" s="1" t="str">
        <f>"112102918"</f>
        <v>112102918</v>
      </c>
      <c r="E859" s="1">
        <v>52.5</v>
      </c>
      <c r="F859" s="1">
        <v>86.5</v>
      </c>
      <c r="H859" s="1">
        <v>66.1</v>
      </c>
    </row>
    <row r="860" s="1" customFormat="1" spans="1:8">
      <c r="A860" s="1" t="s">
        <v>17</v>
      </c>
      <c r="B860" s="1" t="s">
        <v>9</v>
      </c>
      <c r="C860" s="1" t="str">
        <f t="shared" si="16"/>
        <v>020091</v>
      </c>
      <c r="D860" s="1" t="str">
        <f>"112102919"</f>
        <v>112102919</v>
      </c>
      <c r="E860" s="1">
        <v>63</v>
      </c>
      <c r="F860" s="1">
        <v>70.5</v>
      </c>
      <c r="H860" s="1">
        <v>66</v>
      </c>
    </row>
    <row r="861" s="1" customFormat="1" spans="1:8">
      <c r="A861" s="1" t="s">
        <v>17</v>
      </c>
      <c r="B861" s="1" t="s">
        <v>9</v>
      </c>
      <c r="C861" s="1" t="str">
        <f t="shared" si="16"/>
        <v>020091</v>
      </c>
      <c r="D861" s="1" t="str">
        <f>"112102920"</f>
        <v>112102920</v>
      </c>
      <c r="E861" s="1">
        <v>93</v>
      </c>
      <c r="F861" s="1">
        <v>74.5</v>
      </c>
      <c r="H861" s="1">
        <v>85.6</v>
      </c>
    </row>
    <row r="862" s="1" customFormat="1" spans="1:8">
      <c r="A862" s="1" t="s">
        <v>17</v>
      </c>
      <c r="B862" s="1" t="s">
        <v>9</v>
      </c>
      <c r="C862" s="1" t="str">
        <f t="shared" si="16"/>
        <v>020091</v>
      </c>
      <c r="D862" s="1" t="str">
        <f>"112102921"</f>
        <v>112102921</v>
      </c>
      <c r="E862" s="1">
        <v>0</v>
      </c>
      <c r="F862" s="1">
        <v>0</v>
      </c>
      <c r="H862" s="1">
        <v>0</v>
      </c>
    </row>
    <row r="863" s="1" customFormat="1" spans="1:8">
      <c r="A863" s="1" t="s">
        <v>17</v>
      </c>
      <c r="B863" s="1" t="s">
        <v>9</v>
      </c>
      <c r="C863" s="1" t="str">
        <f t="shared" si="16"/>
        <v>020091</v>
      </c>
      <c r="D863" s="1" t="str">
        <f>"112102922"</f>
        <v>112102922</v>
      </c>
      <c r="E863" s="1">
        <v>52.5</v>
      </c>
      <c r="F863" s="1">
        <v>56.5</v>
      </c>
      <c r="H863" s="1">
        <v>54.1</v>
      </c>
    </row>
    <row r="864" s="1" customFormat="1" spans="1:8">
      <c r="A864" s="1" t="s">
        <v>17</v>
      </c>
      <c r="B864" s="1" t="s">
        <v>9</v>
      </c>
      <c r="C864" s="1" t="str">
        <f t="shared" si="16"/>
        <v>020091</v>
      </c>
      <c r="D864" s="1" t="str">
        <f>"112102923"</f>
        <v>112102923</v>
      </c>
      <c r="E864" s="1">
        <v>33</v>
      </c>
      <c r="F864" s="1">
        <v>50</v>
      </c>
      <c r="H864" s="1">
        <v>39.8</v>
      </c>
    </row>
    <row r="865" s="1" customFormat="1" spans="1:8">
      <c r="A865" s="1" t="s">
        <v>17</v>
      </c>
      <c r="B865" s="1" t="s">
        <v>9</v>
      </c>
      <c r="C865" s="1" t="str">
        <f t="shared" si="16"/>
        <v>020091</v>
      </c>
      <c r="D865" s="1" t="str">
        <f>"112102924"</f>
        <v>112102924</v>
      </c>
      <c r="E865" s="1">
        <v>73</v>
      </c>
      <c r="F865" s="1">
        <v>63</v>
      </c>
      <c r="H865" s="1">
        <v>69</v>
      </c>
    </row>
    <row r="866" s="1" customFormat="1" spans="1:8">
      <c r="A866" s="1" t="s">
        <v>17</v>
      </c>
      <c r="B866" s="1" t="s">
        <v>9</v>
      </c>
      <c r="C866" s="1" t="str">
        <f t="shared" si="16"/>
        <v>020091</v>
      </c>
      <c r="D866" s="1" t="str">
        <f>"112102925"</f>
        <v>112102925</v>
      </c>
      <c r="E866" s="1">
        <v>46</v>
      </c>
      <c r="F866" s="1">
        <v>59</v>
      </c>
      <c r="H866" s="1">
        <v>51.2</v>
      </c>
    </row>
    <row r="867" s="1" customFormat="1" spans="1:8">
      <c r="A867" s="1" t="s">
        <v>17</v>
      </c>
      <c r="B867" s="1" t="s">
        <v>9</v>
      </c>
      <c r="C867" s="1" t="str">
        <f t="shared" si="16"/>
        <v>020091</v>
      </c>
      <c r="D867" s="1" t="str">
        <f>"112102926"</f>
        <v>112102926</v>
      </c>
      <c r="E867" s="1">
        <v>0</v>
      </c>
      <c r="F867" s="1">
        <v>0</v>
      </c>
      <c r="H867" s="1">
        <v>0</v>
      </c>
    </row>
    <row r="868" s="1" customFormat="1" spans="1:8">
      <c r="A868" s="1" t="s">
        <v>17</v>
      </c>
      <c r="B868" s="1" t="s">
        <v>9</v>
      </c>
      <c r="C868" s="1" t="str">
        <f t="shared" si="16"/>
        <v>020091</v>
      </c>
      <c r="D868" s="1" t="str">
        <f>"112102927"</f>
        <v>112102927</v>
      </c>
      <c r="E868" s="1">
        <v>70.5</v>
      </c>
      <c r="F868" s="1">
        <v>56.5</v>
      </c>
      <c r="H868" s="1">
        <v>64.9</v>
      </c>
    </row>
    <row r="869" s="1" customFormat="1" spans="1:8">
      <c r="A869" s="1" t="s">
        <v>17</v>
      </c>
      <c r="B869" s="1" t="s">
        <v>9</v>
      </c>
      <c r="C869" s="1" t="str">
        <f t="shared" si="16"/>
        <v>020091</v>
      </c>
      <c r="D869" s="1" t="str">
        <f>"112102928"</f>
        <v>112102928</v>
      </c>
      <c r="E869" s="1">
        <v>36</v>
      </c>
      <c r="F869" s="1">
        <v>61</v>
      </c>
      <c r="H869" s="1">
        <v>46</v>
      </c>
    </row>
    <row r="870" s="1" customFormat="1" spans="1:8">
      <c r="A870" s="1" t="s">
        <v>17</v>
      </c>
      <c r="B870" s="1" t="s">
        <v>9</v>
      </c>
      <c r="C870" s="1" t="str">
        <f t="shared" si="16"/>
        <v>020091</v>
      </c>
      <c r="D870" s="1" t="str">
        <f>"112102929"</f>
        <v>112102929</v>
      </c>
      <c r="E870" s="1">
        <v>63</v>
      </c>
      <c r="F870" s="1">
        <v>70</v>
      </c>
      <c r="H870" s="1">
        <v>65.8</v>
      </c>
    </row>
    <row r="871" s="1" customFormat="1" spans="1:8">
      <c r="A871" s="1" t="s">
        <v>17</v>
      </c>
      <c r="B871" s="1" t="s">
        <v>9</v>
      </c>
      <c r="C871" s="1" t="str">
        <f t="shared" ref="C871:C891" si="17">"020091"</f>
        <v>020091</v>
      </c>
      <c r="D871" s="1" t="str">
        <f>"112102930"</f>
        <v>112102930</v>
      </c>
      <c r="E871" s="1">
        <v>45</v>
      </c>
      <c r="F871" s="1">
        <v>59.5</v>
      </c>
      <c r="H871" s="1">
        <v>50.8</v>
      </c>
    </row>
    <row r="872" s="1" customFormat="1" spans="1:8">
      <c r="A872" s="1" t="s">
        <v>17</v>
      </c>
      <c r="B872" s="1" t="s">
        <v>9</v>
      </c>
      <c r="C872" s="1" t="str">
        <f t="shared" si="17"/>
        <v>020091</v>
      </c>
      <c r="D872" s="1" t="str">
        <f>"112103001"</f>
        <v>112103001</v>
      </c>
      <c r="E872" s="1">
        <v>43</v>
      </c>
      <c r="F872" s="1">
        <v>69.5</v>
      </c>
      <c r="H872" s="1">
        <v>53.6</v>
      </c>
    </row>
    <row r="873" s="1" customFormat="1" spans="1:8">
      <c r="A873" s="1" t="s">
        <v>17</v>
      </c>
      <c r="B873" s="1" t="s">
        <v>9</v>
      </c>
      <c r="C873" s="1" t="str">
        <f t="shared" si="17"/>
        <v>020091</v>
      </c>
      <c r="D873" s="1" t="str">
        <f>"112103002"</f>
        <v>112103002</v>
      </c>
      <c r="E873" s="1">
        <v>62</v>
      </c>
      <c r="F873" s="1">
        <v>68.5</v>
      </c>
      <c r="H873" s="1">
        <v>64.6</v>
      </c>
    </row>
    <row r="874" s="1" customFormat="1" spans="1:8">
      <c r="A874" s="1" t="s">
        <v>17</v>
      </c>
      <c r="B874" s="1" t="s">
        <v>9</v>
      </c>
      <c r="C874" s="1" t="str">
        <f t="shared" si="17"/>
        <v>020091</v>
      </c>
      <c r="D874" s="1" t="str">
        <f>"112103003"</f>
        <v>112103003</v>
      </c>
      <c r="E874" s="1">
        <v>73.5</v>
      </c>
      <c r="F874" s="1">
        <v>80</v>
      </c>
      <c r="G874" s="1">
        <v>2</v>
      </c>
      <c r="H874" s="1">
        <v>78.1</v>
      </c>
    </row>
    <row r="875" s="1" customFormat="1" spans="1:8">
      <c r="A875" s="1" t="s">
        <v>17</v>
      </c>
      <c r="B875" s="1" t="s">
        <v>9</v>
      </c>
      <c r="C875" s="1" t="str">
        <f t="shared" si="17"/>
        <v>020091</v>
      </c>
      <c r="D875" s="1" t="str">
        <f>"112103004"</f>
        <v>112103004</v>
      </c>
      <c r="E875" s="1">
        <v>50</v>
      </c>
      <c r="F875" s="1">
        <v>66</v>
      </c>
      <c r="H875" s="1">
        <v>56.4</v>
      </c>
    </row>
    <row r="876" s="1" customFormat="1" spans="1:8">
      <c r="A876" s="1" t="s">
        <v>17</v>
      </c>
      <c r="B876" s="1" t="s">
        <v>9</v>
      </c>
      <c r="C876" s="1" t="str">
        <f t="shared" si="17"/>
        <v>020091</v>
      </c>
      <c r="D876" s="1" t="str">
        <f>"112103005"</f>
        <v>112103005</v>
      </c>
      <c r="E876" s="1">
        <v>39</v>
      </c>
      <c r="F876" s="1">
        <v>45</v>
      </c>
      <c r="H876" s="1">
        <v>41.4</v>
      </c>
    </row>
    <row r="877" s="1" customFormat="1" spans="1:8">
      <c r="A877" s="1" t="s">
        <v>17</v>
      </c>
      <c r="B877" s="1" t="s">
        <v>9</v>
      </c>
      <c r="C877" s="1" t="str">
        <f t="shared" si="17"/>
        <v>020091</v>
      </c>
      <c r="D877" s="1" t="str">
        <f>"112103006"</f>
        <v>112103006</v>
      </c>
      <c r="E877" s="1">
        <v>43.5</v>
      </c>
      <c r="F877" s="1">
        <v>66.5</v>
      </c>
      <c r="H877" s="1">
        <v>52.7</v>
      </c>
    </row>
    <row r="878" s="1" customFormat="1" spans="1:8">
      <c r="A878" s="1" t="s">
        <v>17</v>
      </c>
      <c r="B878" s="1" t="s">
        <v>9</v>
      </c>
      <c r="C878" s="1" t="str">
        <f t="shared" si="17"/>
        <v>020091</v>
      </c>
      <c r="D878" s="1" t="str">
        <f>"112103007"</f>
        <v>112103007</v>
      </c>
      <c r="E878" s="1">
        <v>63</v>
      </c>
      <c r="F878" s="1">
        <v>68.5</v>
      </c>
      <c r="H878" s="1">
        <v>65.2</v>
      </c>
    </row>
    <row r="879" s="1" customFormat="1" spans="1:8">
      <c r="A879" s="1" t="s">
        <v>17</v>
      </c>
      <c r="B879" s="1" t="s">
        <v>9</v>
      </c>
      <c r="C879" s="1" t="str">
        <f t="shared" si="17"/>
        <v>020091</v>
      </c>
      <c r="D879" s="1" t="str">
        <f>"112103008"</f>
        <v>112103008</v>
      </c>
      <c r="E879" s="1">
        <v>43.5</v>
      </c>
      <c r="F879" s="1">
        <v>63</v>
      </c>
      <c r="H879" s="1">
        <v>51.3</v>
      </c>
    </row>
    <row r="880" s="1" customFormat="1" spans="1:8">
      <c r="A880" s="1" t="s">
        <v>17</v>
      </c>
      <c r="B880" s="1" t="s">
        <v>9</v>
      </c>
      <c r="C880" s="1" t="str">
        <f t="shared" si="17"/>
        <v>020091</v>
      </c>
      <c r="D880" s="1" t="str">
        <f>"112103009"</f>
        <v>112103009</v>
      </c>
      <c r="E880" s="1">
        <v>28</v>
      </c>
      <c r="F880" s="1">
        <v>59</v>
      </c>
      <c r="H880" s="1">
        <v>40.4</v>
      </c>
    </row>
    <row r="881" s="1" customFormat="1" spans="1:8">
      <c r="A881" s="1" t="s">
        <v>17</v>
      </c>
      <c r="B881" s="1" t="s">
        <v>9</v>
      </c>
      <c r="C881" s="1" t="str">
        <f t="shared" si="17"/>
        <v>020091</v>
      </c>
      <c r="D881" s="1" t="str">
        <f>"112103010"</f>
        <v>112103010</v>
      </c>
      <c r="E881" s="1">
        <v>68.5</v>
      </c>
      <c r="F881" s="1">
        <v>84</v>
      </c>
      <c r="G881" s="1">
        <v>2</v>
      </c>
      <c r="H881" s="1">
        <v>76.7</v>
      </c>
    </row>
    <row r="882" s="1" customFormat="1" spans="1:8">
      <c r="A882" s="1" t="s">
        <v>17</v>
      </c>
      <c r="B882" s="1" t="s">
        <v>9</v>
      </c>
      <c r="C882" s="1" t="str">
        <f t="shared" si="17"/>
        <v>020091</v>
      </c>
      <c r="D882" s="1" t="str">
        <f>"112103011"</f>
        <v>112103011</v>
      </c>
      <c r="E882" s="1">
        <v>36</v>
      </c>
      <c r="F882" s="1">
        <v>52</v>
      </c>
      <c r="H882" s="1">
        <v>42.4</v>
      </c>
    </row>
    <row r="883" s="1" customFormat="1" spans="1:8">
      <c r="A883" s="1" t="s">
        <v>17</v>
      </c>
      <c r="B883" s="1" t="s">
        <v>9</v>
      </c>
      <c r="C883" s="1" t="str">
        <f t="shared" si="17"/>
        <v>020091</v>
      </c>
      <c r="D883" s="1" t="str">
        <f>"112103012"</f>
        <v>112103012</v>
      </c>
      <c r="E883" s="1">
        <v>47</v>
      </c>
      <c r="F883" s="1">
        <v>60.5</v>
      </c>
      <c r="H883" s="1">
        <v>52.4</v>
      </c>
    </row>
    <row r="884" s="1" customFormat="1" spans="1:8">
      <c r="A884" s="1" t="s">
        <v>17</v>
      </c>
      <c r="B884" s="1" t="s">
        <v>9</v>
      </c>
      <c r="C884" s="1" t="str">
        <f t="shared" si="17"/>
        <v>020091</v>
      </c>
      <c r="D884" s="1" t="str">
        <f>"112103013"</f>
        <v>112103013</v>
      </c>
      <c r="E884" s="1">
        <v>0</v>
      </c>
      <c r="F884" s="1">
        <v>0</v>
      </c>
      <c r="H884" s="1">
        <v>0</v>
      </c>
    </row>
    <row r="885" s="1" customFormat="1" spans="1:8">
      <c r="A885" s="1" t="s">
        <v>17</v>
      </c>
      <c r="B885" s="1" t="s">
        <v>9</v>
      </c>
      <c r="C885" s="1" t="str">
        <f t="shared" si="17"/>
        <v>020091</v>
      </c>
      <c r="D885" s="1" t="str">
        <f>"112103014"</f>
        <v>112103014</v>
      </c>
      <c r="E885" s="1">
        <v>0</v>
      </c>
      <c r="F885" s="1">
        <v>0</v>
      </c>
      <c r="H885" s="1">
        <v>0</v>
      </c>
    </row>
    <row r="886" s="1" customFormat="1" spans="1:8">
      <c r="A886" s="1" t="s">
        <v>17</v>
      </c>
      <c r="B886" s="1" t="s">
        <v>9</v>
      </c>
      <c r="C886" s="1" t="str">
        <f t="shared" si="17"/>
        <v>020091</v>
      </c>
      <c r="D886" s="1" t="str">
        <f>"112103015"</f>
        <v>112103015</v>
      </c>
      <c r="E886" s="1">
        <v>64.5</v>
      </c>
      <c r="F886" s="1">
        <v>53</v>
      </c>
      <c r="H886" s="1">
        <v>59.9</v>
      </c>
    </row>
    <row r="887" s="1" customFormat="1" spans="1:8">
      <c r="A887" s="1" t="s">
        <v>17</v>
      </c>
      <c r="B887" s="1" t="s">
        <v>9</v>
      </c>
      <c r="C887" s="1" t="str">
        <f t="shared" si="17"/>
        <v>020091</v>
      </c>
      <c r="D887" s="1" t="str">
        <f>"112103016"</f>
        <v>112103016</v>
      </c>
      <c r="E887" s="1">
        <v>94</v>
      </c>
      <c r="F887" s="1">
        <v>77</v>
      </c>
      <c r="G887" s="1">
        <v>2</v>
      </c>
      <c r="H887" s="1">
        <v>89.2</v>
      </c>
    </row>
    <row r="888" s="1" customFormat="1" spans="1:8">
      <c r="A888" s="1" t="s">
        <v>17</v>
      </c>
      <c r="B888" s="1" t="s">
        <v>9</v>
      </c>
      <c r="C888" s="1" t="str">
        <f t="shared" si="17"/>
        <v>020091</v>
      </c>
      <c r="D888" s="1" t="str">
        <f>"112103017"</f>
        <v>112103017</v>
      </c>
      <c r="E888" s="1">
        <v>38</v>
      </c>
      <c r="F888" s="1">
        <v>64</v>
      </c>
      <c r="H888" s="1">
        <v>48.4</v>
      </c>
    </row>
    <row r="889" s="1" customFormat="1" spans="1:8">
      <c r="A889" s="1" t="s">
        <v>17</v>
      </c>
      <c r="B889" s="1" t="s">
        <v>9</v>
      </c>
      <c r="C889" s="1" t="str">
        <f t="shared" si="17"/>
        <v>020091</v>
      </c>
      <c r="D889" s="1" t="str">
        <f>"112103018"</f>
        <v>112103018</v>
      </c>
      <c r="E889" s="1">
        <v>0</v>
      </c>
      <c r="F889" s="1">
        <v>0</v>
      </c>
      <c r="H889" s="1">
        <v>0</v>
      </c>
    </row>
    <row r="890" s="1" customFormat="1" spans="1:8">
      <c r="A890" s="1" t="s">
        <v>17</v>
      </c>
      <c r="B890" s="1" t="s">
        <v>9</v>
      </c>
      <c r="C890" s="1" t="str">
        <f t="shared" si="17"/>
        <v>020091</v>
      </c>
      <c r="D890" s="1" t="str">
        <f>"112103019"</f>
        <v>112103019</v>
      </c>
      <c r="E890" s="1">
        <v>29.5</v>
      </c>
      <c r="F890" s="1">
        <v>69</v>
      </c>
      <c r="H890" s="1">
        <v>45.3</v>
      </c>
    </row>
    <row r="891" s="1" customFormat="1" spans="1:8">
      <c r="A891" s="1" t="s">
        <v>17</v>
      </c>
      <c r="B891" s="1" t="s">
        <v>9</v>
      </c>
      <c r="C891" s="1" t="str">
        <f t="shared" si="17"/>
        <v>020091</v>
      </c>
      <c r="D891" s="1" t="str">
        <f>"112103020"</f>
        <v>112103020</v>
      </c>
      <c r="E891" s="1">
        <v>34.5</v>
      </c>
      <c r="F891" s="1">
        <v>59.5</v>
      </c>
      <c r="H891" s="1">
        <v>44.5</v>
      </c>
    </row>
    <row r="892" s="1" customFormat="1" spans="1:8">
      <c r="A892" s="1" t="s">
        <v>12</v>
      </c>
      <c r="B892" s="1" t="s">
        <v>18</v>
      </c>
      <c r="C892" s="1" t="str">
        <f t="shared" ref="C892:C955" si="18">"020077"</f>
        <v>020077</v>
      </c>
      <c r="D892" s="1" t="str">
        <f>"112103901"</f>
        <v>112103901</v>
      </c>
      <c r="E892" s="1">
        <v>84.5</v>
      </c>
      <c r="F892" s="1">
        <v>67.5</v>
      </c>
      <c r="H892" s="1">
        <v>77.7</v>
      </c>
    </row>
    <row r="893" s="1" customFormat="1" spans="1:8">
      <c r="A893" s="1" t="s">
        <v>12</v>
      </c>
      <c r="B893" s="1" t="s">
        <v>18</v>
      </c>
      <c r="C893" s="1" t="str">
        <f t="shared" si="18"/>
        <v>020077</v>
      </c>
      <c r="D893" s="1" t="str">
        <f>"112103902"</f>
        <v>112103902</v>
      </c>
      <c r="E893" s="1">
        <v>61</v>
      </c>
      <c r="F893" s="1">
        <v>43</v>
      </c>
      <c r="H893" s="1">
        <v>53.8</v>
      </c>
    </row>
    <row r="894" s="1" customFormat="1" spans="1:8">
      <c r="A894" s="1" t="s">
        <v>12</v>
      </c>
      <c r="B894" s="1" t="s">
        <v>18</v>
      </c>
      <c r="C894" s="1" t="str">
        <f t="shared" si="18"/>
        <v>020077</v>
      </c>
      <c r="D894" s="1" t="str">
        <f>"112103903"</f>
        <v>112103903</v>
      </c>
      <c r="E894" s="1">
        <v>88.5</v>
      </c>
      <c r="F894" s="1">
        <v>77.5</v>
      </c>
      <c r="H894" s="1">
        <v>84.1</v>
      </c>
    </row>
    <row r="895" s="1" customFormat="1" spans="1:8">
      <c r="A895" s="1" t="s">
        <v>12</v>
      </c>
      <c r="B895" s="1" t="s">
        <v>18</v>
      </c>
      <c r="C895" s="1" t="str">
        <f t="shared" si="18"/>
        <v>020077</v>
      </c>
      <c r="D895" s="1" t="str">
        <f>"112103904"</f>
        <v>112103904</v>
      </c>
      <c r="E895" s="1">
        <v>46</v>
      </c>
      <c r="F895" s="1">
        <v>0</v>
      </c>
      <c r="H895" s="1">
        <v>27.6</v>
      </c>
    </row>
    <row r="896" s="1" customFormat="1" spans="1:8">
      <c r="A896" s="1" t="s">
        <v>12</v>
      </c>
      <c r="B896" s="1" t="s">
        <v>18</v>
      </c>
      <c r="C896" s="1" t="str">
        <f t="shared" si="18"/>
        <v>020077</v>
      </c>
      <c r="D896" s="1" t="str">
        <f>"112103905"</f>
        <v>112103905</v>
      </c>
      <c r="E896" s="1">
        <v>0</v>
      </c>
      <c r="F896" s="1">
        <v>0</v>
      </c>
      <c r="H896" s="1">
        <v>0</v>
      </c>
    </row>
    <row r="897" s="1" customFormat="1" spans="1:8">
      <c r="A897" s="1" t="s">
        <v>12</v>
      </c>
      <c r="B897" s="1" t="s">
        <v>18</v>
      </c>
      <c r="C897" s="1" t="str">
        <f t="shared" si="18"/>
        <v>020077</v>
      </c>
      <c r="D897" s="1" t="str">
        <f>"112103906"</f>
        <v>112103906</v>
      </c>
      <c r="E897" s="1">
        <v>82.5</v>
      </c>
      <c r="F897" s="1">
        <v>66.5</v>
      </c>
      <c r="H897" s="1">
        <v>76.1</v>
      </c>
    </row>
    <row r="898" s="1" customFormat="1" spans="1:8">
      <c r="A898" s="1" t="s">
        <v>12</v>
      </c>
      <c r="B898" s="1" t="s">
        <v>18</v>
      </c>
      <c r="C898" s="1" t="str">
        <f t="shared" si="18"/>
        <v>020077</v>
      </c>
      <c r="D898" s="1" t="str">
        <f>"112103907"</f>
        <v>112103907</v>
      </c>
      <c r="E898" s="1">
        <v>75</v>
      </c>
      <c r="F898" s="1">
        <v>64</v>
      </c>
      <c r="H898" s="1">
        <v>70.6</v>
      </c>
    </row>
    <row r="899" s="1" customFormat="1" spans="1:8">
      <c r="A899" s="1" t="s">
        <v>12</v>
      </c>
      <c r="B899" s="1" t="s">
        <v>18</v>
      </c>
      <c r="C899" s="1" t="str">
        <f t="shared" si="18"/>
        <v>020077</v>
      </c>
      <c r="D899" s="1" t="str">
        <f>"112103908"</f>
        <v>112103908</v>
      </c>
      <c r="E899" s="1">
        <v>106.5</v>
      </c>
      <c r="F899" s="1">
        <v>102.5</v>
      </c>
      <c r="H899" s="1">
        <v>104.9</v>
      </c>
    </row>
    <row r="900" s="1" customFormat="1" spans="1:8">
      <c r="A900" s="1" t="s">
        <v>12</v>
      </c>
      <c r="B900" s="1" t="s">
        <v>18</v>
      </c>
      <c r="C900" s="1" t="str">
        <f t="shared" si="18"/>
        <v>020077</v>
      </c>
      <c r="D900" s="1" t="str">
        <f>"112103909"</f>
        <v>112103909</v>
      </c>
      <c r="E900" s="1">
        <v>80.5</v>
      </c>
      <c r="F900" s="1">
        <v>53.5</v>
      </c>
      <c r="H900" s="1">
        <v>69.7</v>
      </c>
    </row>
    <row r="901" s="1" customFormat="1" spans="1:8">
      <c r="A901" s="1" t="s">
        <v>12</v>
      </c>
      <c r="B901" s="1" t="s">
        <v>18</v>
      </c>
      <c r="C901" s="1" t="str">
        <f t="shared" si="18"/>
        <v>020077</v>
      </c>
      <c r="D901" s="1" t="str">
        <f>"112103910"</f>
        <v>112103910</v>
      </c>
      <c r="E901" s="1">
        <v>62</v>
      </c>
      <c r="F901" s="1">
        <v>55</v>
      </c>
      <c r="H901" s="1">
        <v>59.2</v>
      </c>
    </row>
    <row r="902" s="1" customFormat="1" spans="1:8">
      <c r="A902" s="1" t="s">
        <v>12</v>
      </c>
      <c r="B902" s="1" t="s">
        <v>18</v>
      </c>
      <c r="C902" s="1" t="str">
        <f t="shared" si="18"/>
        <v>020077</v>
      </c>
      <c r="D902" s="1" t="str">
        <f>"112103911"</f>
        <v>112103911</v>
      </c>
      <c r="E902" s="1">
        <v>0</v>
      </c>
      <c r="F902" s="1">
        <v>0</v>
      </c>
      <c r="H902" s="1">
        <v>0</v>
      </c>
    </row>
    <row r="903" s="1" customFormat="1" spans="1:8">
      <c r="A903" s="1" t="s">
        <v>12</v>
      </c>
      <c r="B903" s="1" t="s">
        <v>18</v>
      </c>
      <c r="C903" s="1" t="str">
        <f t="shared" si="18"/>
        <v>020077</v>
      </c>
      <c r="D903" s="1" t="str">
        <f>"112103912"</f>
        <v>112103912</v>
      </c>
      <c r="E903" s="1">
        <v>89</v>
      </c>
      <c r="F903" s="1">
        <v>65</v>
      </c>
      <c r="H903" s="1">
        <v>79.4</v>
      </c>
    </row>
    <row r="904" s="1" customFormat="1" spans="1:8">
      <c r="A904" s="1" t="s">
        <v>12</v>
      </c>
      <c r="B904" s="1" t="s">
        <v>18</v>
      </c>
      <c r="C904" s="1" t="str">
        <f t="shared" si="18"/>
        <v>020077</v>
      </c>
      <c r="D904" s="1" t="str">
        <f>"112103913"</f>
        <v>112103913</v>
      </c>
      <c r="E904" s="1">
        <v>61.5</v>
      </c>
      <c r="F904" s="1">
        <v>53.5</v>
      </c>
      <c r="H904" s="1">
        <v>58.3</v>
      </c>
    </row>
    <row r="905" s="1" customFormat="1" spans="1:8">
      <c r="A905" s="1" t="s">
        <v>12</v>
      </c>
      <c r="B905" s="1" t="s">
        <v>18</v>
      </c>
      <c r="C905" s="1" t="str">
        <f t="shared" si="18"/>
        <v>020077</v>
      </c>
      <c r="D905" s="1" t="str">
        <f>"112103914"</f>
        <v>112103914</v>
      </c>
      <c r="E905" s="1">
        <v>81</v>
      </c>
      <c r="F905" s="1">
        <v>83.5</v>
      </c>
      <c r="H905" s="1">
        <v>82</v>
      </c>
    </row>
    <row r="906" s="1" customFormat="1" spans="1:8">
      <c r="A906" s="1" t="s">
        <v>12</v>
      </c>
      <c r="B906" s="1" t="s">
        <v>18</v>
      </c>
      <c r="C906" s="1" t="str">
        <f t="shared" si="18"/>
        <v>020077</v>
      </c>
      <c r="D906" s="1" t="str">
        <f>"112103915"</f>
        <v>112103915</v>
      </c>
      <c r="E906" s="1">
        <v>83</v>
      </c>
      <c r="F906" s="1">
        <v>67.5</v>
      </c>
      <c r="H906" s="1">
        <v>76.8</v>
      </c>
    </row>
    <row r="907" s="1" customFormat="1" spans="1:8">
      <c r="A907" s="1" t="s">
        <v>12</v>
      </c>
      <c r="B907" s="1" t="s">
        <v>18</v>
      </c>
      <c r="C907" s="1" t="str">
        <f t="shared" si="18"/>
        <v>020077</v>
      </c>
      <c r="D907" s="1" t="str">
        <f>"112103916"</f>
        <v>112103916</v>
      </c>
      <c r="E907" s="1">
        <v>81.5</v>
      </c>
      <c r="F907" s="1">
        <v>58</v>
      </c>
      <c r="H907" s="1">
        <v>72.1</v>
      </c>
    </row>
    <row r="908" s="1" customFormat="1" spans="1:8">
      <c r="A908" s="1" t="s">
        <v>12</v>
      </c>
      <c r="B908" s="1" t="s">
        <v>18</v>
      </c>
      <c r="C908" s="1" t="str">
        <f t="shared" si="18"/>
        <v>020077</v>
      </c>
      <c r="D908" s="1" t="str">
        <f>"112103917"</f>
        <v>112103917</v>
      </c>
      <c r="E908" s="1">
        <v>0</v>
      </c>
      <c r="F908" s="1">
        <v>0</v>
      </c>
      <c r="H908" s="1">
        <v>0</v>
      </c>
    </row>
    <row r="909" s="1" customFormat="1" spans="1:8">
      <c r="A909" s="1" t="s">
        <v>12</v>
      </c>
      <c r="B909" s="1" t="s">
        <v>18</v>
      </c>
      <c r="C909" s="1" t="str">
        <f t="shared" si="18"/>
        <v>020077</v>
      </c>
      <c r="D909" s="1" t="str">
        <f>"112103918"</f>
        <v>112103918</v>
      </c>
      <c r="E909" s="1">
        <v>71</v>
      </c>
      <c r="F909" s="1">
        <v>55</v>
      </c>
      <c r="H909" s="1">
        <v>64.6</v>
      </c>
    </row>
    <row r="910" s="1" customFormat="1" spans="1:8">
      <c r="A910" s="1" t="s">
        <v>12</v>
      </c>
      <c r="B910" s="1" t="s">
        <v>18</v>
      </c>
      <c r="C910" s="1" t="str">
        <f t="shared" si="18"/>
        <v>020077</v>
      </c>
      <c r="D910" s="1" t="str">
        <f>"112103919"</f>
        <v>112103919</v>
      </c>
      <c r="E910" s="1">
        <v>76.5</v>
      </c>
      <c r="F910" s="1">
        <v>53</v>
      </c>
      <c r="H910" s="1">
        <v>67.1</v>
      </c>
    </row>
    <row r="911" s="1" customFormat="1" spans="1:8">
      <c r="A911" s="1" t="s">
        <v>12</v>
      </c>
      <c r="B911" s="1" t="s">
        <v>18</v>
      </c>
      <c r="C911" s="1" t="str">
        <f t="shared" si="18"/>
        <v>020077</v>
      </c>
      <c r="D911" s="1" t="str">
        <f>"112103920"</f>
        <v>112103920</v>
      </c>
      <c r="E911" s="1">
        <v>0</v>
      </c>
      <c r="F911" s="1">
        <v>0</v>
      </c>
      <c r="H911" s="1">
        <v>0</v>
      </c>
    </row>
    <row r="912" s="1" customFormat="1" spans="1:8">
      <c r="A912" s="1" t="s">
        <v>12</v>
      </c>
      <c r="B912" s="1" t="s">
        <v>18</v>
      </c>
      <c r="C912" s="1" t="str">
        <f t="shared" si="18"/>
        <v>020077</v>
      </c>
      <c r="D912" s="1" t="str">
        <f>"112103921"</f>
        <v>112103921</v>
      </c>
      <c r="E912" s="1">
        <v>78.5</v>
      </c>
      <c r="F912" s="1">
        <v>68</v>
      </c>
      <c r="H912" s="1">
        <v>74.3</v>
      </c>
    </row>
    <row r="913" s="1" customFormat="1" spans="1:8">
      <c r="A913" s="1" t="s">
        <v>12</v>
      </c>
      <c r="B913" s="1" t="s">
        <v>18</v>
      </c>
      <c r="C913" s="1" t="str">
        <f t="shared" si="18"/>
        <v>020077</v>
      </c>
      <c r="D913" s="1" t="str">
        <f>"112103922"</f>
        <v>112103922</v>
      </c>
      <c r="E913" s="1">
        <v>64</v>
      </c>
      <c r="F913" s="1">
        <v>72</v>
      </c>
      <c r="H913" s="1">
        <v>67.2</v>
      </c>
    </row>
    <row r="914" s="1" customFormat="1" spans="1:8">
      <c r="A914" s="1" t="s">
        <v>12</v>
      </c>
      <c r="B914" s="1" t="s">
        <v>18</v>
      </c>
      <c r="C914" s="1" t="str">
        <f t="shared" si="18"/>
        <v>020077</v>
      </c>
      <c r="D914" s="1" t="str">
        <f>"112103923"</f>
        <v>112103923</v>
      </c>
      <c r="E914" s="1">
        <v>90.5</v>
      </c>
      <c r="F914" s="1">
        <v>88.5</v>
      </c>
      <c r="H914" s="1">
        <v>89.7</v>
      </c>
    </row>
    <row r="915" s="1" customFormat="1" spans="1:8">
      <c r="A915" s="1" t="s">
        <v>12</v>
      </c>
      <c r="B915" s="1" t="s">
        <v>18</v>
      </c>
      <c r="C915" s="1" t="str">
        <f t="shared" si="18"/>
        <v>020077</v>
      </c>
      <c r="D915" s="1" t="str">
        <f>"112103924"</f>
        <v>112103924</v>
      </c>
      <c r="E915" s="1">
        <v>69.5</v>
      </c>
      <c r="F915" s="1">
        <v>64</v>
      </c>
      <c r="H915" s="1">
        <v>67.3</v>
      </c>
    </row>
    <row r="916" s="1" customFormat="1" spans="1:8">
      <c r="A916" s="1" t="s">
        <v>12</v>
      </c>
      <c r="B916" s="1" t="s">
        <v>18</v>
      </c>
      <c r="C916" s="1" t="str">
        <f t="shared" si="18"/>
        <v>020077</v>
      </c>
      <c r="D916" s="1" t="str">
        <f>"112103925"</f>
        <v>112103925</v>
      </c>
      <c r="E916" s="1">
        <v>86.5</v>
      </c>
      <c r="F916" s="1">
        <v>54.5</v>
      </c>
      <c r="H916" s="1">
        <v>73.7</v>
      </c>
    </row>
    <row r="917" s="1" customFormat="1" spans="1:8">
      <c r="A917" s="1" t="s">
        <v>12</v>
      </c>
      <c r="B917" s="1" t="s">
        <v>18</v>
      </c>
      <c r="C917" s="1" t="str">
        <f t="shared" si="18"/>
        <v>020077</v>
      </c>
      <c r="D917" s="1" t="str">
        <f>"112103926"</f>
        <v>112103926</v>
      </c>
      <c r="E917" s="1">
        <v>52.5</v>
      </c>
      <c r="F917" s="1">
        <v>43</v>
      </c>
      <c r="H917" s="1">
        <v>48.7</v>
      </c>
    </row>
    <row r="918" s="1" customFormat="1" spans="1:8">
      <c r="A918" s="1" t="s">
        <v>12</v>
      </c>
      <c r="B918" s="1" t="s">
        <v>18</v>
      </c>
      <c r="C918" s="1" t="str">
        <f t="shared" si="18"/>
        <v>020077</v>
      </c>
      <c r="D918" s="1" t="str">
        <f>"112103927"</f>
        <v>112103927</v>
      </c>
      <c r="E918" s="1">
        <v>75</v>
      </c>
      <c r="F918" s="1">
        <v>49</v>
      </c>
      <c r="H918" s="1">
        <v>64.6</v>
      </c>
    </row>
    <row r="919" s="1" customFormat="1" spans="1:8">
      <c r="A919" s="1" t="s">
        <v>12</v>
      </c>
      <c r="B919" s="1" t="s">
        <v>18</v>
      </c>
      <c r="C919" s="1" t="str">
        <f t="shared" si="18"/>
        <v>020077</v>
      </c>
      <c r="D919" s="1" t="str">
        <f>"112103928"</f>
        <v>112103928</v>
      </c>
      <c r="E919" s="1">
        <v>77.5</v>
      </c>
      <c r="F919" s="1">
        <v>63</v>
      </c>
      <c r="H919" s="1">
        <v>71.7</v>
      </c>
    </row>
    <row r="920" s="1" customFormat="1" spans="1:8">
      <c r="A920" s="1" t="s">
        <v>12</v>
      </c>
      <c r="B920" s="1" t="s">
        <v>18</v>
      </c>
      <c r="C920" s="1" t="str">
        <f t="shared" si="18"/>
        <v>020077</v>
      </c>
      <c r="D920" s="1" t="str">
        <f>"112103929"</f>
        <v>112103929</v>
      </c>
      <c r="E920" s="1">
        <v>63.5</v>
      </c>
      <c r="F920" s="1">
        <v>52.5</v>
      </c>
      <c r="H920" s="1">
        <v>59.1</v>
      </c>
    </row>
    <row r="921" s="1" customFormat="1" spans="1:8">
      <c r="A921" s="1" t="s">
        <v>12</v>
      </c>
      <c r="B921" s="1" t="s">
        <v>18</v>
      </c>
      <c r="C921" s="1" t="str">
        <f t="shared" si="18"/>
        <v>020077</v>
      </c>
      <c r="D921" s="1" t="str">
        <f>"112103930"</f>
        <v>112103930</v>
      </c>
      <c r="E921" s="1">
        <v>46</v>
      </c>
      <c r="F921" s="1">
        <v>49.5</v>
      </c>
      <c r="H921" s="1">
        <v>47.4</v>
      </c>
    </row>
    <row r="922" s="1" customFormat="1" spans="1:8">
      <c r="A922" s="1" t="s">
        <v>12</v>
      </c>
      <c r="B922" s="1" t="s">
        <v>18</v>
      </c>
      <c r="C922" s="1" t="str">
        <f t="shared" si="18"/>
        <v>020077</v>
      </c>
      <c r="D922" s="1" t="str">
        <f>"112104001"</f>
        <v>112104001</v>
      </c>
      <c r="E922" s="1">
        <v>77</v>
      </c>
      <c r="F922" s="1">
        <v>64</v>
      </c>
      <c r="H922" s="1">
        <v>71.8</v>
      </c>
    </row>
    <row r="923" s="1" customFormat="1" spans="1:8">
      <c r="A923" s="1" t="s">
        <v>12</v>
      </c>
      <c r="B923" s="1" t="s">
        <v>18</v>
      </c>
      <c r="C923" s="1" t="str">
        <f t="shared" si="18"/>
        <v>020077</v>
      </c>
      <c r="D923" s="1" t="str">
        <f>"112104002"</f>
        <v>112104002</v>
      </c>
      <c r="E923" s="1">
        <v>66</v>
      </c>
      <c r="F923" s="1">
        <v>64.5</v>
      </c>
      <c r="H923" s="1">
        <v>65.4</v>
      </c>
    </row>
    <row r="924" s="1" customFormat="1" spans="1:8">
      <c r="A924" s="1" t="s">
        <v>12</v>
      </c>
      <c r="B924" s="1" t="s">
        <v>18</v>
      </c>
      <c r="C924" s="1" t="str">
        <f t="shared" si="18"/>
        <v>020077</v>
      </c>
      <c r="D924" s="1" t="str">
        <f>"112104003"</f>
        <v>112104003</v>
      </c>
      <c r="E924" s="1">
        <v>0</v>
      </c>
      <c r="F924" s="1">
        <v>0</v>
      </c>
      <c r="H924" s="1">
        <v>0</v>
      </c>
    </row>
    <row r="925" s="1" customFormat="1" spans="1:8">
      <c r="A925" s="1" t="s">
        <v>12</v>
      </c>
      <c r="B925" s="1" t="s">
        <v>18</v>
      </c>
      <c r="C925" s="1" t="str">
        <f t="shared" si="18"/>
        <v>020077</v>
      </c>
      <c r="D925" s="1" t="str">
        <f>"112104004"</f>
        <v>112104004</v>
      </c>
      <c r="E925" s="1">
        <v>95</v>
      </c>
      <c r="F925" s="1">
        <v>81</v>
      </c>
      <c r="H925" s="1">
        <v>89.4</v>
      </c>
    </row>
    <row r="926" s="1" customFormat="1" spans="1:8">
      <c r="A926" s="1" t="s">
        <v>12</v>
      </c>
      <c r="B926" s="1" t="s">
        <v>18</v>
      </c>
      <c r="C926" s="1" t="str">
        <f t="shared" si="18"/>
        <v>020077</v>
      </c>
      <c r="D926" s="1" t="str">
        <f>"112104005"</f>
        <v>112104005</v>
      </c>
      <c r="E926" s="1">
        <v>84.5</v>
      </c>
      <c r="F926" s="1">
        <v>62.5</v>
      </c>
      <c r="H926" s="1">
        <v>75.7</v>
      </c>
    </row>
    <row r="927" s="1" customFormat="1" spans="1:8">
      <c r="A927" s="1" t="s">
        <v>12</v>
      </c>
      <c r="B927" s="1" t="s">
        <v>18</v>
      </c>
      <c r="C927" s="1" t="str">
        <f t="shared" si="18"/>
        <v>020077</v>
      </c>
      <c r="D927" s="1" t="str">
        <f>"112104006"</f>
        <v>112104006</v>
      </c>
      <c r="E927" s="1">
        <v>73</v>
      </c>
      <c r="F927" s="1">
        <v>59.5</v>
      </c>
      <c r="H927" s="1">
        <v>67.6</v>
      </c>
    </row>
    <row r="928" s="1" customFormat="1" spans="1:8">
      <c r="A928" s="1" t="s">
        <v>12</v>
      </c>
      <c r="B928" s="1" t="s">
        <v>18</v>
      </c>
      <c r="C928" s="1" t="str">
        <f t="shared" si="18"/>
        <v>020077</v>
      </c>
      <c r="D928" s="1" t="str">
        <f>"112104007"</f>
        <v>112104007</v>
      </c>
      <c r="E928" s="1">
        <v>0</v>
      </c>
      <c r="F928" s="1">
        <v>0</v>
      </c>
      <c r="H928" s="1">
        <v>0</v>
      </c>
    </row>
    <row r="929" s="1" customFormat="1" spans="1:8">
      <c r="A929" s="1" t="s">
        <v>12</v>
      </c>
      <c r="B929" s="1" t="s">
        <v>18</v>
      </c>
      <c r="C929" s="1" t="str">
        <f t="shared" si="18"/>
        <v>020077</v>
      </c>
      <c r="D929" s="1" t="str">
        <f>"112104008"</f>
        <v>112104008</v>
      </c>
      <c r="E929" s="1">
        <v>94.5</v>
      </c>
      <c r="F929" s="1">
        <v>62</v>
      </c>
      <c r="H929" s="1">
        <v>81.5</v>
      </c>
    </row>
    <row r="930" s="1" customFormat="1" spans="1:8">
      <c r="A930" s="1" t="s">
        <v>12</v>
      </c>
      <c r="B930" s="1" t="s">
        <v>18</v>
      </c>
      <c r="C930" s="1" t="str">
        <f t="shared" si="18"/>
        <v>020077</v>
      </c>
      <c r="D930" s="1" t="str">
        <f>"112104009"</f>
        <v>112104009</v>
      </c>
      <c r="E930" s="1">
        <v>82.5</v>
      </c>
      <c r="F930" s="1">
        <v>50</v>
      </c>
      <c r="H930" s="1">
        <v>69.5</v>
      </c>
    </row>
    <row r="931" s="1" customFormat="1" spans="1:8">
      <c r="A931" s="1" t="s">
        <v>12</v>
      </c>
      <c r="B931" s="1" t="s">
        <v>18</v>
      </c>
      <c r="C931" s="1" t="str">
        <f t="shared" si="18"/>
        <v>020077</v>
      </c>
      <c r="D931" s="1" t="str">
        <f>"112104010"</f>
        <v>112104010</v>
      </c>
      <c r="E931" s="1">
        <v>90.5</v>
      </c>
      <c r="F931" s="1">
        <v>84</v>
      </c>
      <c r="H931" s="1">
        <v>87.9</v>
      </c>
    </row>
    <row r="932" s="1" customFormat="1" spans="1:8">
      <c r="A932" s="1" t="s">
        <v>12</v>
      </c>
      <c r="B932" s="1" t="s">
        <v>18</v>
      </c>
      <c r="C932" s="1" t="str">
        <f t="shared" si="18"/>
        <v>020077</v>
      </c>
      <c r="D932" s="1" t="str">
        <f>"112104011"</f>
        <v>112104011</v>
      </c>
      <c r="E932" s="1">
        <v>0</v>
      </c>
      <c r="F932" s="1">
        <v>0</v>
      </c>
      <c r="H932" s="1">
        <v>0</v>
      </c>
    </row>
    <row r="933" s="1" customFormat="1" spans="1:8">
      <c r="A933" s="1" t="s">
        <v>12</v>
      </c>
      <c r="B933" s="1" t="s">
        <v>18</v>
      </c>
      <c r="C933" s="1" t="str">
        <f t="shared" si="18"/>
        <v>020077</v>
      </c>
      <c r="D933" s="1" t="str">
        <f>"112104012"</f>
        <v>112104012</v>
      </c>
      <c r="E933" s="1">
        <v>70.5</v>
      </c>
      <c r="F933" s="1">
        <v>59</v>
      </c>
      <c r="H933" s="1">
        <v>65.9</v>
      </c>
    </row>
    <row r="934" s="1" customFormat="1" spans="1:8">
      <c r="A934" s="1" t="s">
        <v>12</v>
      </c>
      <c r="B934" s="1" t="s">
        <v>18</v>
      </c>
      <c r="C934" s="1" t="str">
        <f t="shared" si="18"/>
        <v>020077</v>
      </c>
      <c r="D934" s="1" t="str">
        <f>"112104013"</f>
        <v>112104013</v>
      </c>
      <c r="E934" s="1">
        <v>80</v>
      </c>
      <c r="F934" s="1">
        <v>79</v>
      </c>
      <c r="H934" s="1">
        <v>79.6</v>
      </c>
    </row>
    <row r="935" s="1" customFormat="1" spans="1:8">
      <c r="A935" s="1" t="s">
        <v>12</v>
      </c>
      <c r="B935" s="1" t="s">
        <v>18</v>
      </c>
      <c r="C935" s="1" t="str">
        <f t="shared" si="18"/>
        <v>020077</v>
      </c>
      <c r="D935" s="1" t="str">
        <f>"112104014"</f>
        <v>112104014</v>
      </c>
      <c r="E935" s="1">
        <v>62.5</v>
      </c>
      <c r="F935" s="1">
        <v>53.5</v>
      </c>
      <c r="H935" s="1">
        <v>58.9</v>
      </c>
    </row>
    <row r="936" s="1" customFormat="1" spans="1:8">
      <c r="A936" s="1" t="s">
        <v>12</v>
      </c>
      <c r="B936" s="1" t="s">
        <v>18</v>
      </c>
      <c r="C936" s="1" t="str">
        <f t="shared" si="18"/>
        <v>020077</v>
      </c>
      <c r="D936" s="1" t="str">
        <f>"112104015"</f>
        <v>112104015</v>
      </c>
      <c r="E936" s="1">
        <v>82.5</v>
      </c>
      <c r="F936" s="1">
        <v>64</v>
      </c>
      <c r="H936" s="1">
        <v>75.1</v>
      </c>
    </row>
    <row r="937" s="1" customFormat="1" spans="1:8">
      <c r="A937" s="1" t="s">
        <v>12</v>
      </c>
      <c r="B937" s="1" t="s">
        <v>18</v>
      </c>
      <c r="C937" s="1" t="str">
        <f t="shared" si="18"/>
        <v>020077</v>
      </c>
      <c r="D937" s="1" t="str">
        <f>"112104016"</f>
        <v>112104016</v>
      </c>
      <c r="E937" s="1">
        <v>95</v>
      </c>
      <c r="F937" s="1">
        <v>73.5</v>
      </c>
      <c r="H937" s="1">
        <v>86.4</v>
      </c>
    </row>
    <row r="938" s="1" customFormat="1" spans="1:8">
      <c r="A938" s="1" t="s">
        <v>12</v>
      </c>
      <c r="B938" s="1" t="s">
        <v>18</v>
      </c>
      <c r="C938" s="1" t="str">
        <f t="shared" si="18"/>
        <v>020077</v>
      </c>
      <c r="D938" s="1" t="str">
        <f>"112104017"</f>
        <v>112104017</v>
      </c>
      <c r="E938" s="1">
        <v>85.5</v>
      </c>
      <c r="F938" s="1">
        <v>63</v>
      </c>
      <c r="H938" s="1">
        <v>76.5</v>
      </c>
    </row>
    <row r="939" s="1" customFormat="1" spans="1:8">
      <c r="A939" s="1" t="s">
        <v>12</v>
      </c>
      <c r="B939" s="1" t="s">
        <v>18</v>
      </c>
      <c r="C939" s="1" t="str">
        <f t="shared" si="18"/>
        <v>020077</v>
      </c>
      <c r="D939" s="1" t="str">
        <f>"112104018"</f>
        <v>112104018</v>
      </c>
      <c r="E939" s="1">
        <v>92.5</v>
      </c>
      <c r="F939" s="1">
        <v>90.5</v>
      </c>
      <c r="H939" s="1">
        <v>91.7</v>
      </c>
    </row>
    <row r="940" s="1" customFormat="1" spans="1:8">
      <c r="A940" s="1" t="s">
        <v>12</v>
      </c>
      <c r="B940" s="1" t="s">
        <v>18</v>
      </c>
      <c r="C940" s="1" t="str">
        <f t="shared" si="18"/>
        <v>020077</v>
      </c>
      <c r="D940" s="1" t="str">
        <f>"112104019"</f>
        <v>112104019</v>
      </c>
      <c r="E940" s="1">
        <v>0</v>
      </c>
      <c r="F940" s="1">
        <v>0</v>
      </c>
      <c r="H940" s="1">
        <v>0</v>
      </c>
    </row>
    <row r="941" s="1" customFormat="1" spans="1:8">
      <c r="A941" s="1" t="s">
        <v>12</v>
      </c>
      <c r="B941" s="1" t="s">
        <v>18</v>
      </c>
      <c r="C941" s="1" t="str">
        <f t="shared" si="18"/>
        <v>020077</v>
      </c>
      <c r="D941" s="1" t="str">
        <f>"112104020"</f>
        <v>112104020</v>
      </c>
      <c r="E941" s="1">
        <v>65.5</v>
      </c>
      <c r="F941" s="1">
        <v>53</v>
      </c>
      <c r="H941" s="1">
        <v>60.5</v>
      </c>
    </row>
    <row r="942" s="1" customFormat="1" spans="1:8">
      <c r="A942" s="1" t="s">
        <v>12</v>
      </c>
      <c r="B942" s="1" t="s">
        <v>18</v>
      </c>
      <c r="C942" s="1" t="str">
        <f t="shared" si="18"/>
        <v>020077</v>
      </c>
      <c r="D942" s="1" t="str">
        <f>"112104021"</f>
        <v>112104021</v>
      </c>
      <c r="E942" s="1">
        <v>75</v>
      </c>
      <c r="F942" s="1">
        <v>57.5</v>
      </c>
      <c r="H942" s="1">
        <v>68</v>
      </c>
    </row>
    <row r="943" s="1" customFormat="1" spans="1:8">
      <c r="A943" s="1" t="s">
        <v>12</v>
      </c>
      <c r="B943" s="1" t="s">
        <v>18</v>
      </c>
      <c r="C943" s="1" t="str">
        <f t="shared" si="18"/>
        <v>020077</v>
      </c>
      <c r="D943" s="1" t="str">
        <f>"112104022"</f>
        <v>112104022</v>
      </c>
      <c r="E943" s="1">
        <v>54</v>
      </c>
      <c r="F943" s="1">
        <v>43</v>
      </c>
      <c r="H943" s="1">
        <v>49.6</v>
      </c>
    </row>
    <row r="944" s="1" customFormat="1" spans="1:8">
      <c r="A944" s="1" t="s">
        <v>12</v>
      </c>
      <c r="B944" s="1" t="s">
        <v>18</v>
      </c>
      <c r="C944" s="1" t="str">
        <f t="shared" si="18"/>
        <v>020077</v>
      </c>
      <c r="D944" s="1" t="str">
        <f>"112104023"</f>
        <v>112104023</v>
      </c>
      <c r="E944" s="1">
        <v>49</v>
      </c>
      <c r="F944" s="1">
        <v>44</v>
      </c>
      <c r="H944" s="1">
        <v>47</v>
      </c>
    </row>
    <row r="945" s="1" customFormat="1" spans="1:8">
      <c r="A945" s="1" t="s">
        <v>12</v>
      </c>
      <c r="B945" s="1" t="s">
        <v>18</v>
      </c>
      <c r="C945" s="1" t="str">
        <f t="shared" si="18"/>
        <v>020077</v>
      </c>
      <c r="D945" s="1" t="str">
        <f>"112104024"</f>
        <v>112104024</v>
      </c>
      <c r="E945" s="1">
        <v>77.5</v>
      </c>
      <c r="F945" s="1">
        <v>67.5</v>
      </c>
      <c r="H945" s="1">
        <v>73.5</v>
      </c>
    </row>
    <row r="946" s="1" customFormat="1" spans="1:8">
      <c r="A946" s="1" t="s">
        <v>12</v>
      </c>
      <c r="B946" s="1" t="s">
        <v>18</v>
      </c>
      <c r="C946" s="1" t="str">
        <f t="shared" si="18"/>
        <v>020077</v>
      </c>
      <c r="D946" s="1" t="str">
        <f>"112104025"</f>
        <v>112104025</v>
      </c>
      <c r="E946" s="1">
        <v>0</v>
      </c>
      <c r="F946" s="1">
        <v>0</v>
      </c>
      <c r="H946" s="1">
        <v>0</v>
      </c>
    </row>
    <row r="947" s="1" customFormat="1" spans="1:8">
      <c r="A947" s="1" t="s">
        <v>12</v>
      </c>
      <c r="B947" s="1" t="s">
        <v>18</v>
      </c>
      <c r="C947" s="1" t="str">
        <f t="shared" si="18"/>
        <v>020077</v>
      </c>
      <c r="D947" s="1" t="str">
        <f>"112104026"</f>
        <v>112104026</v>
      </c>
      <c r="E947" s="1">
        <v>73.5</v>
      </c>
      <c r="F947" s="1">
        <v>72</v>
      </c>
      <c r="H947" s="1">
        <v>72.9</v>
      </c>
    </row>
    <row r="948" s="1" customFormat="1" spans="1:8">
      <c r="A948" s="1" t="s">
        <v>12</v>
      </c>
      <c r="B948" s="1" t="s">
        <v>18</v>
      </c>
      <c r="C948" s="1" t="str">
        <f t="shared" si="18"/>
        <v>020077</v>
      </c>
      <c r="D948" s="1" t="str">
        <f>"112104027"</f>
        <v>112104027</v>
      </c>
      <c r="E948" s="1">
        <v>0</v>
      </c>
      <c r="F948" s="1">
        <v>0</v>
      </c>
      <c r="H948" s="1">
        <v>0</v>
      </c>
    </row>
    <row r="949" s="1" customFormat="1" spans="1:8">
      <c r="A949" s="1" t="s">
        <v>12</v>
      </c>
      <c r="B949" s="1" t="s">
        <v>18</v>
      </c>
      <c r="C949" s="1" t="str">
        <f t="shared" si="18"/>
        <v>020077</v>
      </c>
      <c r="D949" s="1" t="str">
        <f>"112104028"</f>
        <v>112104028</v>
      </c>
      <c r="E949" s="1">
        <v>67.5</v>
      </c>
      <c r="F949" s="1">
        <v>46</v>
      </c>
      <c r="H949" s="1">
        <v>58.9</v>
      </c>
    </row>
    <row r="950" s="1" customFormat="1" spans="1:8">
      <c r="A950" s="1" t="s">
        <v>12</v>
      </c>
      <c r="B950" s="1" t="s">
        <v>18</v>
      </c>
      <c r="C950" s="1" t="str">
        <f t="shared" si="18"/>
        <v>020077</v>
      </c>
      <c r="D950" s="1" t="str">
        <f>"112104029"</f>
        <v>112104029</v>
      </c>
      <c r="E950" s="1">
        <v>69</v>
      </c>
      <c r="F950" s="1">
        <v>0</v>
      </c>
      <c r="H950" s="1">
        <v>41.4</v>
      </c>
    </row>
    <row r="951" s="1" customFormat="1" spans="1:8">
      <c r="A951" s="1" t="s">
        <v>12</v>
      </c>
      <c r="B951" s="1" t="s">
        <v>18</v>
      </c>
      <c r="C951" s="1" t="str">
        <f t="shared" si="18"/>
        <v>020077</v>
      </c>
      <c r="D951" s="1" t="str">
        <f>"112104030"</f>
        <v>112104030</v>
      </c>
      <c r="E951" s="1">
        <v>0</v>
      </c>
      <c r="F951" s="1">
        <v>0</v>
      </c>
      <c r="H951" s="1">
        <v>0</v>
      </c>
    </row>
    <row r="952" s="1" customFormat="1" spans="1:8">
      <c r="A952" s="1" t="s">
        <v>12</v>
      </c>
      <c r="B952" s="1" t="s">
        <v>18</v>
      </c>
      <c r="C952" s="1" t="str">
        <f t="shared" si="18"/>
        <v>020077</v>
      </c>
      <c r="D952" s="1" t="str">
        <f>"112104101"</f>
        <v>112104101</v>
      </c>
      <c r="E952" s="1">
        <v>69.5</v>
      </c>
      <c r="F952" s="1">
        <v>55.5</v>
      </c>
      <c r="H952" s="1">
        <v>63.9</v>
      </c>
    </row>
    <row r="953" s="1" customFormat="1" spans="1:8">
      <c r="A953" s="1" t="s">
        <v>12</v>
      </c>
      <c r="B953" s="1" t="s">
        <v>18</v>
      </c>
      <c r="C953" s="1" t="str">
        <f t="shared" si="18"/>
        <v>020077</v>
      </c>
      <c r="D953" s="1" t="str">
        <f>"112104102"</f>
        <v>112104102</v>
      </c>
      <c r="E953" s="1">
        <v>0</v>
      </c>
      <c r="F953" s="1">
        <v>0</v>
      </c>
      <c r="H953" s="1">
        <v>0</v>
      </c>
    </row>
    <row r="954" s="1" customFormat="1" spans="1:8">
      <c r="A954" s="1" t="s">
        <v>12</v>
      </c>
      <c r="B954" s="1" t="s">
        <v>18</v>
      </c>
      <c r="C954" s="1" t="str">
        <f t="shared" si="18"/>
        <v>020077</v>
      </c>
      <c r="D954" s="1" t="str">
        <f>"112104103"</f>
        <v>112104103</v>
      </c>
      <c r="E954" s="1">
        <v>0</v>
      </c>
      <c r="F954" s="1">
        <v>0</v>
      </c>
      <c r="H954" s="1">
        <v>0</v>
      </c>
    </row>
    <row r="955" s="1" customFormat="1" spans="1:8">
      <c r="A955" s="1" t="s">
        <v>12</v>
      </c>
      <c r="B955" s="1" t="s">
        <v>18</v>
      </c>
      <c r="C955" s="1" t="str">
        <f t="shared" si="18"/>
        <v>020077</v>
      </c>
      <c r="D955" s="1" t="str">
        <f>"112104104"</f>
        <v>112104104</v>
      </c>
      <c r="E955" s="1">
        <v>52.5</v>
      </c>
      <c r="F955" s="1">
        <v>36.5</v>
      </c>
      <c r="H955" s="1">
        <v>46.1</v>
      </c>
    </row>
    <row r="956" s="1" customFormat="1" spans="1:8">
      <c r="A956" s="1" t="s">
        <v>12</v>
      </c>
      <c r="B956" s="1" t="s">
        <v>18</v>
      </c>
      <c r="C956" s="1" t="str">
        <f t="shared" ref="C956:C983" si="19">"020077"</f>
        <v>020077</v>
      </c>
      <c r="D956" s="1" t="str">
        <f>"112104105"</f>
        <v>112104105</v>
      </c>
      <c r="E956" s="1">
        <v>48.5</v>
      </c>
      <c r="F956" s="1">
        <v>45</v>
      </c>
      <c r="H956" s="1">
        <v>47.1</v>
      </c>
    </row>
    <row r="957" s="1" customFormat="1" spans="1:8">
      <c r="A957" s="1" t="s">
        <v>12</v>
      </c>
      <c r="B957" s="1" t="s">
        <v>18</v>
      </c>
      <c r="C957" s="1" t="str">
        <f t="shared" si="19"/>
        <v>020077</v>
      </c>
      <c r="D957" s="1" t="str">
        <f>"112104106"</f>
        <v>112104106</v>
      </c>
      <c r="E957" s="1">
        <v>61</v>
      </c>
      <c r="F957" s="1">
        <v>67</v>
      </c>
      <c r="H957" s="1">
        <v>63.4</v>
      </c>
    </row>
    <row r="958" s="1" customFormat="1" spans="1:8">
      <c r="A958" s="1" t="s">
        <v>12</v>
      </c>
      <c r="B958" s="1" t="s">
        <v>18</v>
      </c>
      <c r="C958" s="1" t="str">
        <f t="shared" si="19"/>
        <v>020077</v>
      </c>
      <c r="D958" s="1" t="str">
        <f>"112104107"</f>
        <v>112104107</v>
      </c>
      <c r="E958" s="1">
        <v>0</v>
      </c>
      <c r="F958" s="1">
        <v>0</v>
      </c>
      <c r="H958" s="1">
        <v>0</v>
      </c>
    </row>
    <row r="959" s="1" customFormat="1" spans="1:8">
      <c r="A959" s="1" t="s">
        <v>12</v>
      </c>
      <c r="B959" s="1" t="s">
        <v>18</v>
      </c>
      <c r="C959" s="1" t="str">
        <f t="shared" si="19"/>
        <v>020077</v>
      </c>
      <c r="D959" s="1" t="str">
        <f>"112104108"</f>
        <v>112104108</v>
      </c>
      <c r="E959" s="1">
        <v>0</v>
      </c>
      <c r="F959" s="1">
        <v>0</v>
      </c>
      <c r="H959" s="1">
        <v>0</v>
      </c>
    </row>
    <row r="960" s="1" customFormat="1" spans="1:8">
      <c r="A960" s="1" t="s">
        <v>12</v>
      </c>
      <c r="B960" s="1" t="s">
        <v>18</v>
      </c>
      <c r="C960" s="1" t="str">
        <f t="shared" si="19"/>
        <v>020077</v>
      </c>
      <c r="D960" s="1" t="str">
        <f>"112104109"</f>
        <v>112104109</v>
      </c>
      <c r="E960" s="1">
        <v>74.5</v>
      </c>
      <c r="F960" s="1">
        <v>0</v>
      </c>
      <c r="H960" s="1">
        <v>44.7</v>
      </c>
    </row>
    <row r="961" s="1" customFormat="1" spans="1:8">
      <c r="A961" s="1" t="s">
        <v>12</v>
      </c>
      <c r="B961" s="1" t="s">
        <v>18</v>
      </c>
      <c r="C961" s="1" t="str">
        <f t="shared" si="19"/>
        <v>020077</v>
      </c>
      <c r="D961" s="1" t="str">
        <f>"112104110"</f>
        <v>112104110</v>
      </c>
      <c r="E961" s="1">
        <v>97.5</v>
      </c>
      <c r="F961" s="1">
        <v>93</v>
      </c>
      <c r="H961" s="1">
        <v>95.7</v>
      </c>
    </row>
    <row r="962" s="1" customFormat="1" spans="1:8">
      <c r="A962" s="1" t="s">
        <v>12</v>
      </c>
      <c r="B962" s="1" t="s">
        <v>18</v>
      </c>
      <c r="C962" s="1" t="str">
        <f t="shared" si="19"/>
        <v>020077</v>
      </c>
      <c r="D962" s="1" t="str">
        <f>"112104111"</f>
        <v>112104111</v>
      </c>
      <c r="E962" s="1">
        <v>0</v>
      </c>
      <c r="F962" s="1">
        <v>0</v>
      </c>
      <c r="H962" s="1">
        <v>0</v>
      </c>
    </row>
    <row r="963" s="1" customFormat="1" spans="1:8">
      <c r="A963" s="1" t="s">
        <v>12</v>
      </c>
      <c r="B963" s="1" t="s">
        <v>18</v>
      </c>
      <c r="C963" s="1" t="str">
        <f t="shared" si="19"/>
        <v>020077</v>
      </c>
      <c r="D963" s="1" t="str">
        <f>"112104112"</f>
        <v>112104112</v>
      </c>
      <c r="E963" s="1">
        <v>66</v>
      </c>
      <c r="F963" s="1">
        <v>63.5</v>
      </c>
      <c r="H963" s="1">
        <v>65</v>
      </c>
    </row>
    <row r="964" s="1" customFormat="1" spans="1:8">
      <c r="A964" s="1" t="s">
        <v>12</v>
      </c>
      <c r="B964" s="1" t="s">
        <v>18</v>
      </c>
      <c r="C964" s="1" t="str">
        <f t="shared" si="19"/>
        <v>020077</v>
      </c>
      <c r="D964" s="1" t="str">
        <f>"112104113"</f>
        <v>112104113</v>
      </c>
      <c r="E964" s="1">
        <v>0</v>
      </c>
      <c r="F964" s="1">
        <v>0</v>
      </c>
      <c r="H964" s="1">
        <v>0</v>
      </c>
    </row>
    <row r="965" s="1" customFormat="1" spans="1:8">
      <c r="A965" s="1" t="s">
        <v>12</v>
      </c>
      <c r="B965" s="1" t="s">
        <v>18</v>
      </c>
      <c r="C965" s="1" t="str">
        <f t="shared" si="19"/>
        <v>020077</v>
      </c>
      <c r="D965" s="1" t="str">
        <f>"112104114"</f>
        <v>112104114</v>
      </c>
      <c r="E965" s="1">
        <v>68</v>
      </c>
      <c r="F965" s="1">
        <v>52</v>
      </c>
      <c r="H965" s="1">
        <v>61.6</v>
      </c>
    </row>
    <row r="966" s="1" customFormat="1" spans="1:8">
      <c r="A966" s="1" t="s">
        <v>12</v>
      </c>
      <c r="B966" s="1" t="s">
        <v>18</v>
      </c>
      <c r="C966" s="1" t="str">
        <f t="shared" si="19"/>
        <v>020077</v>
      </c>
      <c r="D966" s="1" t="str">
        <f>"112104115"</f>
        <v>112104115</v>
      </c>
      <c r="E966" s="1">
        <v>67.5</v>
      </c>
      <c r="F966" s="1">
        <v>48</v>
      </c>
      <c r="H966" s="1">
        <v>59.7</v>
      </c>
    </row>
    <row r="967" s="1" customFormat="1" spans="1:8">
      <c r="A967" s="1" t="s">
        <v>12</v>
      </c>
      <c r="B967" s="1" t="s">
        <v>18</v>
      </c>
      <c r="C967" s="1" t="str">
        <f t="shared" si="19"/>
        <v>020077</v>
      </c>
      <c r="D967" s="1" t="str">
        <f>"112104116"</f>
        <v>112104116</v>
      </c>
      <c r="E967" s="1">
        <v>94</v>
      </c>
      <c r="F967" s="1">
        <v>94</v>
      </c>
      <c r="H967" s="1">
        <v>94</v>
      </c>
    </row>
    <row r="968" s="1" customFormat="1" spans="1:8">
      <c r="A968" s="1" t="s">
        <v>12</v>
      </c>
      <c r="B968" s="1" t="s">
        <v>18</v>
      </c>
      <c r="C968" s="1" t="str">
        <f t="shared" si="19"/>
        <v>020077</v>
      </c>
      <c r="D968" s="1" t="str">
        <f>"112104117"</f>
        <v>112104117</v>
      </c>
      <c r="E968" s="1">
        <v>69</v>
      </c>
      <c r="F968" s="1">
        <v>56.5</v>
      </c>
      <c r="H968" s="1">
        <v>64</v>
      </c>
    </row>
    <row r="969" s="1" customFormat="1" spans="1:8">
      <c r="A969" s="1" t="s">
        <v>12</v>
      </c>
      <c r="B969" s="1" t="s">
        <v>18</v>
      </c>
      <c r="C969" s="1" t="str">
        <f t="shared" si="19"/>
        <v>020077</v>
      </c>
      <c r="D969" s="1" t="str">
        <f>"112104118"</f>
        <v>112104118</v>
      </c>
      <c r="E969" s="1">
        <v>0</v>
      </c>
      <c r="F969" s="1">
        <v>0</v>
      </c>
      <c r="H969" s="1">
        <v>0</v>
      </c>
    </row>
    <row r="970" s="1" customFormat="1" spans="1:8">
      <c r="A970" s="1" t="s">
        <v>12</v>
      </c>
      <c r="B970" s="1" t="s">
        <v>18</v>
      </c>
      <c r="C970" s="1" t="str">
        <f t="shared" si="19"/>
        <v>020077</v>
      </c>
      <c r="D970" s="1" t="str">
        <f>"112104119"</f>
        <v>112104119</v>
      </c>
      <c r="E970" s="1">
        <v>76.5</v>
      </c>
      <c r="F970" s="1">
        <v>60.5</v>
      </c>
      <c r="H970" s="1">
        <v>70.1</v>
      </c>
    </row>
    <row r="971" s="1" customFormat="1" spans="1:8">
      <c r="A971" s="1" t="s">
        <v>12</v>
      </c>
      <c r="B971" s="1" t="s">
        <v>18</v>
      </c>
      <c r="C971" s="1" t="str">
        <f t="shared" si="19"/>
        <v>020077</v>
      </c>
      <c r="D971" s="1" t="str">
        <f>"112104120"</f>
        <v>112104120</v>
      </c>
      <c r="E971" s="1">
        <v>74.5</v>
      </c>
      <c r="F971" s="1">
        <v>49</v>
      </c>
      <c r="H971" s="1">
        <v>64.3</v>
      </c>
    </row>
    <row r="972" s="1" customFormat="1" spans="1:8">
      <c r="A972" s="1" t="s">
        <v>12</v>
      </c>
      <c r="B972" s="1" t="s">
        <v>18</v>
      </c>
      <c r="C972" s="1" t="str">
        <f t="shared" si="19"/>
        <v>020077</v>
      </c>
      <c r="D972" s="1" t="str">
        <f>"112104121"</f>
        <v>112104121</v>
      </c>
      <c r="E972" s="1">
        <v>99</v>
      </c>
      <c r="F972" s="1">
        <v>91</v>
      </c>
      <c r="H972" s="1">
        <v>95.8</v>
      </c>
    </row>
    <row r="973" s="1" customFormat="1" spans="1:8">
      <c r="A973" s="1" t="s">
        <v>12</v>
      </c>
      <c r="B973" s="1" t="s">
        <v>18</v>
      </c>
      <c r="C973" s="1" t="str">
        <f t="shared" si="19"/>
        <v>020077</v>
      </c>
      <c r="D973" s="1" t="str">
        <f>"112104122"</f>
        <v>112104122</v>
      </c>
      <c r="E973" s="1">
        <v>68.5</v>
      </c>
      <c r="F973" s="1">
        <v>55</v>
      </c>
      <c r="H973" s="1">
        <v>63.1</v>
      </c>
    </row>
    <row r="974" s="1" customFormat="1" spans="1:8">
      <c r="A974" s="1" t="s">
        <v>12</v>
      </c>
      <c r="B974" s="1" t="s">
        <v>18</v>
      </c>
      <c r="C974" s="1" t="str">
        <f t="shared" si="19"/>
        <v>020077</v>
      </c>
      <c r="D974" s="1" t="str">
        <f>"112104123"</f>
        <v>112104123</v>
      </c>
      <c r="E974" s="1">
        <v>73</v>
      </c>
      <c r="F974" s="1">
        <v>56.5</v>
      </c>
      <c r="H974" s="1">
        <v>66.4</v>
      </c>
    </row>
    <row r="975" s="1" customFormat="1" spans="1:8">
      <c r="A975" s="1" t="s">
        <v>12</v>
      </c>
      <c r="B975" s="1" t="s">
        <v>18</v>
      </c>
      <c r="C975" s="1" t="str">
        <f t="shared" si="19"/>
        <v>020077</v>
      </c>
      <c r="D975" s="1" t="str">
        <f>"112104124"</f>
        <v>112104124</v>
      </c>
      <c r="E975" s="1">
        <v>0</v>
      </c>
      <c r="F975" s="1">
        <v>0</v>
      </c>
      <c r="H975" s="1">
        <v>0</v>
      </c>
    </row>
    <row r="976" s="1" customFormat="1" spans="1:8">
      <c r="A976" s="1" t="s">
        <v>12</v>
      </c>
      <c r="B976" s="1" t="s">
        <v>18</v>
      </c>
      <c r="C976" s="1" t="str">
        <f t="shared" si="19"/>
        <v>020077</v>
      </c>
      <c r="D976" s="1" t="str">
        <f>"112104125"</f>
        <v>112104125</v>
      </c>
      <c r="E976" s="1">
        <v>96</v>
      </c>
      <c r="F976" s="1">
        <v>65.5</v>
      </c>
      <c r="H976" s="1">
        <v>83.8</v>
      </c>
    </row>
    <row r="977" s="1" customFormat="1" spans="1:8">
      <c r="A977" s="1" t="s">
        <v>12</v>
      </c>
      <c r="B977" s="1" t="s">
        <v>18</v>
      </c>
      <c r="C977" s="1" t="str">
        <f t="shared" si="19"/>
        <v>020077</v>
      </c>
      <c r="D977" s="1" t="str">
        <f>"112104126"</f>
        <v>112104126</v>
      </c>
      <c r="E977" s="1">
        <v>0</v>
      </c>
      <c r="F977" s="1">
        <v>0</v>
      </c>
      <c r="H977" s="1">
        <v>0</v>
      </c>
    </row>
    <row r="978" s="1" customFormat="1" spans="1:8">
      <c r="A978" s="1" t="s">
        <v>12</v>
      </c>
      <c r="B978" s="1" t="s">
        <v>18</v>
      </c>
      <c r="C978" s="1" t="str">
        <f t="shared" si="19"/>
        <v>020077</v>
      </c>
      <c r="D978" s="1" t="str">
        <f>"112104127"</f>
        <v>112104127</v>
      </c>
      <c r="E978" s="1">
        <v>0</v>
      </c>
      <c r="F978" s="1">
        <v>0</v>
      </c>
      <c r="H978" s="1">
        <v>0</v>
      </c>
    </row>
    <row r="979" s="1" customFormat="1" spans="1:8">
      <c r="A979" s="1" t="s">
        <v>12</v>
      </c>
      <c r="B979" s="1" t="s">
        <v>18</v>
      </c>
      <c r="C979" s="1" t="str">
        <f t="shared" si="19"/>
        <v>020077</v>
      </c>
      <c r="D979" s="1" t="str">
        <f>"112104128"</f>
        <v>112104128</v>
      </c>
      <c r="E979" s="1">
        <v>97.5</v>
      </c>
      <c r="F979" s="1">
        <v>79</v>
      </c>
      <c r="H979" s="1">
        <v>90.1</v>
      </c>
    </row>
    <row r="980" s="1" customFormat="1" spans="1:8">
      <c r="A980" s="1" t="s">
        <v>12</v>
      </c>
      <c r="B980" s="1" t="s">
        <v>18</v>
      </c>
      <c r="C980" s="1" t="str">
        <f t="shared" si="19"/>
        <v>020077</v>
      </c>
      <c r="D980" s="1" t="str">
        <f>"112104129"</f>
        <v>112104129</v>
      </c>
      <c r="E980" s="1">
        <v>71.5</v>
      </c>
      <c r="F980" s="1">
        <v>66.5</v>
      </c>
      <c r="H980" s="1">
        <v>69.5</v>
      </c>
    </row>
    <row r="981" s="1" customFormat="1" spans="1:8">
      <c r="A981" s="1" t="s">
        <v>12</v>
      </c>
      <c r="B981" s="1" t="s">
        <v>18</v>
      </c>
      <c r="C981" s="1" t="str">
        <f t="shared" si="19"/>
        <v>020077</v>
      </c>
      <c r="D981" s="1" t="str">
        <f>"112104130"</f>
        <v>112104130</v>
      </c>
      <c r="E981" s="1">
        <v>73.5</v>
      </c>
      <c r="F981" s="1">
        <v>64</v>
      </c>
      <c r="H981" s="1">
        <v>69.7</v>
      </c>
    </row>
    <row r="982" s="1" customFormat="1" spans="1:8">
      <c r="A982" s="1" t="s">
        <v>12</v>
      </c>
      <c r="B982" s="1" t="s">
        <v>18</v>
      </c>
      <c r="C982" s="1" t="str">
        <f t="shared" si="19"/>
        <v>020077</v>
      </c>
      <c r="D982" s="1" t="str">
        <f>"112104201"</f>
        <v>112104201</v>
      </c>
      <c r="E982" s="1">
        <v>65</v>
      </c>
      <c r="F982" s="1">
        <v>57.5</v>
      </c>
      <c r="H982" s="1">
        <v>62</v>
      </c>
    </row>
    <row r="983" s="1" customFormat="1" spans="1:8">
      <c r="A983" s="1" t="s">
        <v>12</v>
      </c>
      <c r="B983" s="1" t="s">
        <v>18</v>
      </c>
      <c r="C983" s="1" t="str">
        <f t="shared" si="19"/>
        <v>020077</v>
      </c>
      <c r="D983" s="1" t="str">
        <f>"112104202"</f>
        <v>112104202</v>
      </c>
      <c r="E983" s="1">
        <v>81.5</v>
      </c>
      <c r="F983" s="1">
        <v>66</v>
      </c>
      <c r="H983" s="1">
        <v>75.3</v>
      </c>
    </row>
    <row r="984" s="1" customFormat="1" spans="1:8">
      <c r="A984" s="1" t="s">
        <v>17</v>
      </c>
      <c r="B984" s="1" t="s">
        <v>18</v>
      </c>
      <c r="C984" s="1" t="str">
        <f t="shared" ref="C984:C1047" si="20">"020094"</f>
        <v>020094</v>
      </c>
      <c r="D984" s="1" t="str">
        <f>"112104203"</f>
        <v>112104203</v>
      </c>
      <c r="E984" s="1">
        <v>0</v>
      </c>
      <c r="F984" s="1">
        <v>0</v>
      </c>
      <c r="H984" s="1">
        <v>0</v>
      </c>
    </row>
    <row r="985" s="1" customFormat="1" spans="1:8">
      <c r="A985" s="1" t="s">
        <v>17</v>
      </c>
      <c r="B985" s="1" t="s">
        <v>18</v>
      </c>
      <c r="C985" s="1" t="str">
        <f t="shared" si="20"/>
        <v>020094</v>
      </c>
      <c r="D985" s="1" t="str">
        <f>"112104204"</f>
        <v>112104204</v>
      </c>
      <c r="E985" s="1">
        <v>89</v>
      </c>
      <c r="F985" s="1">
        <v>82</v>
      </c>
      <c r="H985" s="1">
        <v>86.2</v>
      </c>
    </row>
    <row r="986" s="1" customFormat="1" spans="1:8">
      <c r="A986" s="1" t="s">
        <v>17</v>
      </c>
      <c r="B986" s="1" t="s">
        <v>18</v>
      </c>
      <c r="C986" s="1" t="str">
        <f t="shared" si="20"/>
        <v>020094</v>
      </c>
      <c r="D986" s="1" t="str">
        <f>"112104205"</f>
        <v>112104205</v>
      </c>
      <c r="E986" s="1">
        <v>61.5</v>
      </c>
      <c r="F986" s="1">
        <v>46</v>
      </c>
      <c r="H986" s="1">
        <v>55.3</v>
      </c>
    </row>
    <row r="987" s="1" customFormat="1" spans="1:8">
      <c r="A987" s="1" t="s">
        <v>17</v>
      </c>
      <c r="B987" s="1" t="s">
        <v>18</v>
      </c>
      <c r="C987" s="1" t="str">
        <f t="shared" si="20"/>
        <v>020094</v>
      </c>
      <c r="D987" s="1" t="str">
        <f>"112104206"</f>
        <v>112104206</v>
      </c>
      <c r="E987" s="1">
        <v>76.5</v>
      </c>
      <c r="F987" s="1">
        <v>62.5</v>
      </c>
      <c r="H987" s="1">
        <v>70.9</v>
      </c>
    </row>
    <row r="988" s="1" customFormat="1" spans="1:8">
      <c r="A988" s="1" t="s">
        <v>17</v>
      </c>
      <c r="B988" s="1" t="s">
        <v>18</v>
      </c>
      <c r="C988" s="1" t="str">
        <f t="shared" si="20"/>
        <v>020094</v>
      </c>
      <c r="D988" s="1" t="str">
        <f>"112104207"</f>
        <v>112104207</v>
      </c>
      <c r="E988" s="1">
        <v>0</v>
      </c>
      <c r="F988" s="1">
        <v>0</v>
      </c>
      <c r="H988" s="1">
        <v>0</v>
      </c>
    </row>
    <row r="989" s="1" customFormat="1" spans="1:8">
      <c r="A989" s="1" t="s">
        <v>17</v>
      </c>
      <c r="B989" s="1" t="s">
        <v>18</v>
      </c>
      <c r="C989" s="1" t="str">
        <f t="shared" si="20"/>
        <v>020094</v>
      </c>
      <c r="D989" s="1" t="str">
        <f>"112104208"</f>
        <v>112104208</v>
      </c>
      <c r="E989" s="1">
        <v>0</v>
      </c>
      <c r="F989" s="1">
        <v>0</v>
      </c>
      <c r="H989" s="1">
        <v>0</v>
      </c>
    </row>
    <row r="990" s="1" customFormat="1" spans="1:8">
      <c r="A990" s="1" t="s">
        <v>17</v>
      </c>
      <c r="B990" s="1" t="s">
        <v>18</v>
      </c>
      <c r="C990" s="1" t="str">
        <f t="shared" si="20"/>
        <v>020094</v>
      </c>
      <c r="D990" s="1" t="str">
        <f>"112104209"</f>
        <v>112104209</v>
      </c>
      <c r="E990" s="1">
        <v>90</v>
      </c>
      <c r="F990" s="1">
        <v>78</v>
      </c>
      <c r="H990" s="1">
        <v>85.2</v>
      </c>
    </row>
    <row r="991" s="1" customFormat="1" spans="1:8">
      <c r="A991" s="1" t="s">
        <v>17</v>
      </c>
      <c r="B991" s="1" t="s">
        <v>18</v>
      </c>
      <c r="C991" s="1" t="str">
        <f t="shared" si="20"/>
        <v>020094</v>
      </c>
      <c r="D991" s="1" t="str">
        <f>"112104210"</f>
        <v>112104210</v>
      </c>
      <c r="E991" s="1">
        <v>76.5</v>
      </c>
      <c r="F991" s="1">
        <v>77.5</v>
      </c>
      <c r="H991" s="1">
        <v>76.9</v>
      </c>
    </row>
    <row r="992" s="1" customFormat="1" spans="1:8">
      <c r="A992" s="1" t="s">
        <v>17</v>
      </c>
      <c r="B992" s="1" t="s">
        <v>18</v>
      </c>
      <c r="C992" s="1" t="str">
        <f t="shared" si="20"/>
        <v>020094</v>
      </c>
      <c r="D992" s="1" t="str">
        <f>"112104211"</f>
        <v>112104211</v>
      </c>
      <c r="E992" s="1">
        <v>72.5</v>
      </c>
      <c r="F992" s="1">
        <v>64.5</v>
      </c>
      <c r="H992" s="1">
        <v>69.3</v>
      </c>
    </row>
    <row r="993" s="1" customFormat="1" spans="1:8">
      <c r="A993" s="1" t="s">
        <v>17</v>
      </c>
      <c r="B993" s="1" t="s">
        <v>18</v>
      </c>
      <c r="C993" s="1" t="str">
        <f t="shared" si="20"/>
        <v>020094</v>
      </c>
      <c r="D993" s="1" t="str">
        <f>"112104212"</f>
        <v>112104212</v>
      </c>
      <c r="E993" s="1">
        <v>0</v>
      </c>
      <c r="F993" s="1">
        <v>0</v>
      </c>
      <c r="H993" s="1">
        <v>0</v>
      </c>
    </row>
    <row r="994" s="1" customFormat="1" spans="1:8">
      <c r="A994" s="1" t="s">
        <v>17</v>
      </c>
      <c r="B994" s="1" t="s">
        <v>18</v>
      </c>
      <c r="C994" s="1" t="str">
        <f t="shared" si="20"/>
        <v>020094</v>
      </c>
      <c r="D994" s="1" t="str">
        <f>"112104213"</f>
        <v>112104213</v>
      </c>
      <c r="E994" s="1">
        <v>61</v>
      </c>
      <c r="F994" s="1">
        <v>53.5</v>
      </c>
      <c r="H994" s="1">
        <v>58</v>
      </c>
    </row>
    <row r="995" s="1" customFormat="1" spans="1:8">
      <c r="A995" s="1" t="s">
        <v>17</v>
      </c>
      <c r="B995" s="1" t="s">
        <v>18</v>
      </c>
      <c r="C995" s="1" t="str">
        <f t="shared" si="20"/>
        <v>020094</v>
      </c>
      <c r="D995" s="1" t="str">
        <f>"112104214"</f>
        <v>112104214</v>
      </c>
      <c r="E995" s="1">
        <v>0</v>
      </c>
      <c r="F995" s="1">
        <v>0</v>
      </c>
      <c r="H995" s="1">
        <v>0</v>
      </c>
    </row>
    <row r="996" s="1" customFormat="1" spans="1:8">
      <c r="A996" s="1" t="s">
        <v>17</v>
      </c>
      <c r="B996" s="1" t="s">
        <v>18</v>
      </c>
      <c r="C996" s="1" t="str">
        <f t="shared" si="20"/>
        <v>020094</v>
      </c>
      <c r="D996" s="1" t="str">
        <f>"112104215"</f>
        <v>112104215</v>
      </c>
      <c r="E996" s="1">
        <v>54.5</v>
      </c>
      <c r="F996" s="1">
        <v>49</v>
      </c>
      <c r="H996" s="1">
        <v>52.3</v>
      </c>
    </row>
    <row r="997" s="1" customFormat="1" spans="1:8">
      <c r="A997" s="1" t="s">
        <v>17</v>
      </c>
      <c r="B997" s="1" t="s">
        <v>18</v>
      </c>
      <c r="C997" s="1" t="str">
        <f t="shared" si="20"/>
        <v>020094</v>
      </c>
      <c r="D997" s="1" t="str">
        <f>"112104216"</f>
        <v>112104216</v>
      </c>
      <c r="E997" s="1">
        <v>0</v>
      </c>
      <c r="F997" s="1">
        <v>0</v>
      </c>
      <c r="H997" s="1">
        <v>0</v>
      </c>
    </row>
    <row r="998" s="1" customFormat="1" spans="1:8">
      <c r="A998" s="1" t="s">
        <v>17</v>
      </c>
      <c r="B998" s="1" t="s">
        <v>18</v>
      </c>
      <c r="C998" s="1" t="str">
        <f t="shared" si="20"/>
        <v>020094</v>
      </c>
      <c r="D998" s="1" t="str">
        <f>"112104217"</f>
        <v>112104217</v>
      </c>
      <c r="E998" s="1">
        <v>75</v>
      </c>
      <c r="F998" s="1">
        <v>69.5</v>
      </c>
      <c r="H998" s="1">
        <v>72.8</v>
      </c>
    </row>
    <row r="999" s="1" customFormat="1" spans="1:8">
      <c r="A999" s="1" t="s">
        <v>17</v>
      </c>
      <c r="B999" s="1" t="s">
        <v>18</v>
      </c>
      <c r="C999" s="1" t="str">
        <f t="shared" si="20"/>
        <v>020094</v>
      </c>
      <c r="D999" s="1" t="str">
        <f>"112104218"</f>
        <v>112104218</v>
      </c>
      <c r="E999" s="1">
        <v>59.5</v>
      </c>
      <c r="F999" s="1">
        <v>52.5</v>
      </c>
      <c r="H999" s="1">
        <v>56.7</v>
      </c>
    </row>
    <row r="1000" s="1" customFormat="1" spans="1:8">
      <c r="A1000" s="1" t="s">
        <v>17</v>
      </c>
      <c r="B1000" s="1" t="s">
        <v>18</v>
      </c>
      <c r="C1000" s="1" t="str">
        <f t="shared" si="20"/>
        <v>020094</v>
      </c>
      <c r="D1000" s="1" t="str">
        <f>"112104219"</f>
        <v>112104219</v>
      </c>
      <c r="E1000" s="1">
        <v>80</v>
      </c>
      <c r="F1000" s="1">
        <v>66</v>
      </c>
      <c r="H1000" s="1">
        <v>74.4</v>
      </c>
    </row>
    <row r="1001" s="1" customFormat="1" spans="1:8">
      <c r="A1001" s="1" t="s">
        <v>17</v>
      </c>
      <c r="B1001" s="1" t="s">
        <v>18</v>
      </c>
      <c r="C1001" s="1" t="str">
        <f t="shared" si="20"/>
        <v>020094</v>
      </c>
      <c r="D1001" s="1" t="str">
        <f>"112104220"</f>
        <v>112104220</v>
      </c>
      <c r="E1001" s="1">
        <v>0</v>
      </c>
      <c r="F1001" s="1">
        <v>0</v>
      </c>
      <c r="H1001" s="1">
        <v>0</v>
      </c>
    </row>
    <row r="1002" s="1" customFormat="1" spans="1:8">
      <c r="A1002" s="1" t="s">
        <v>17</v>
      </c>
      <c r="B1002" s="1" t="s">
        <v>18</v>
      </c>
      <c r="C1002" s="1" t="str">
        <f t="shared" si="20"/>
        <v>020094</v>
      </c>
      <c r="D1002" s="1" t="str">
        <f>"112104221"</f>
        <v>112104221</v>
      </c>
      <c r="E1002" s="1">
        <v>73.5</v>
      </c>
      <c r="F1002" s="1">
        <v>54</v>
      </c>
      <c r="H1002" s="1">
        <v>65.7</v>
      </c>
    </row>
    <row r="1003" s="1" customFormat="1" spans="1:8">
      <c r="A1003" s="1" t="s">
        <v>17</v>
      </c>
      <c r="B1003" s="1" t="s">
        <v>18</v>
      </c>
      <c r="C1003" s="1" t="str">
        <f t="shared" si="20"/>
        <v>020094</v>
      </c>
      <c r="D1003" s="1" t="str">
        <f>"112104222"</f>
        <v>112104222</v>
      </c>
      <c r="E1003" s="1">
        <v>90.5</v>
      </c>
      <c r="F1003" s="1">
        <v>78.5</v>
      </c>
      <c r="H1003" s="1">
        <v>85.7</v>
      </c>
    </row>
    <row r="1004" s="1" customFormat="1" spans="1:8">
      <c r="A1004" s="1" t="s">
        <v>17</v>
      </c>
      <c r="B1004" s="1" t="s">
        <v>18</v>
      </c>
      <c r="C1004" s="1" t="str">
        <f t="shared" si="20"/>
        <v>020094</v>
      </c>
      <c r="D1004" s="1" t="str">
        <f>"112104223"</f>
        <v>112104223</v>
      </c>
      <c r="E1004" s="1">
        <v>55.5</v>
      </c>
      <c r="F1004" s="1">
        <v>39.5</v>
      </c>
      <c r="H1004" s="1">
        <v>49.1</v>
      </c>
    </row>
    <row r="1005" s="1" customFormat="1" spans="1:8">
      <c r="A1005" s="1" t="s">
        <v>17</v>
      </c>
      <c r="B1005" s="1" t="s">
        <v>18</v>
      </c>
      <c r="C1005" s="1" t="str">
        <f t="shared" si="20"/>
        <v>020094</v>
      </c>
      <c r="D1005" s="1" t="str">
        <f>"112104224"</f>
        <v>112104224</v>
      </c>
      <c r="E1005" s="1">
        <v>49</v>
      </c>
      <c r="F1005" s="1">
        <v>52.5</v>
      </c>
      <c r="H1005" s="1">
        <v>50.4</v>
      </c>
    </row>
    <row r="1006" s="1" customFormat="1" spans="1:8">
      <c r="A1006" s="1" t="s">
        <v>17</v>
      </c>
      <c r="B1006" s="1" t="s">
        <v>18</v>
      </c>
      <c r="C1006" s="1" t="str">
        <f t="shared" si="20"/>
        <v>020094</v>
      </c>
      <c r="D1006" s="1" t="str">
        <f>"112104225"</f>
        <v>112104225</v>
      </c>
      <c r="E1006" s="1">
        <v>87</v>
      </c>
      <c r="F1006" s="1">
        <v>68.5</v>
      </c>
      <c r="H1006" s="1">
        <v>79.6</v>
      </c>
    </row>
    <row r="1007" s="1" customFormat="1" spans="1:8">
      <c r="A1007" s="1" t="s">
        <v>17</v>
      </c>
      <c r="B1007" s="1" t="s">
        <v>18</v>
      </c>
      <c r="C1007" s="1" t="str">
        <f t="shared" si="20"/>
        <v>020094</v>
      </c>
      <c r="D1007" s="1" t="str">
        <f>"112104226"</f>
        <v>112104226</v>
      </c>
      <c r="E1007" s="1">
        <v>101</v>
      </c>
      <c r="F1007" s="1">
        <v>77</v>
      </c>
      <c r="H1007" s="1">
        <v>91.4</v>
      </c>
    </row>
    <row r="1008" s="1" customFormat="1" spans="1:8">
      <c r="A1008" s="1" t="s">
        <v>17</v>
      </c>
      <c r="B1008" s="1" t="s">
        <v>18</v>
      </c>
      <c r="C1008" s="1" t="str">
        <f t="shared" si="20"/>
        <v>020094</v>
      </c>
      <c r="D1008" s="1" t="str">
        <f>"112104227"</f>
        <v>112104227</v>
      </c>
      <c r="E1008" s="1">
        <v>76.5</v>
      </c>
      <c r="F1008" s="1">
        <v>64</v>
      </c>
      <c r="H1008" s="1">
        <v>71.5</v>
      </c>
    </row>
    <row r="1009" s="1" customFormat="1" spans="1:8">
      <c r="A1009" s="1" t="s">
        <v>17</v>
      </c>
      <c r="B1009" s="1" t="s">
        <v>18</v>
      </c>
      <c r="C1009" s="1" t="str">
        <f t="shared" si="20"/>
        <v>020094</v>
      </c>
      <c r="D1009" s="1" t="str">
        <f>"112104228"</f>
        <v>112104228</v>
      </c>
      <c r="E1009" s="1">
        <v>75</v>
      </c>
      <c r="F1009" s="1">
        <v>54.5</v>
      </c>
      <c r="H1009" s="1">
        <v>66.8</v>
      </c>
    </row>
    <row r="1010" s="1" customFormat="1" spans="1:8">
      <c r="A1010" s="1" t="s">
        <v>17</v>
      </c>
      <c r="B1010" s="1" t="s">
        <v>18</v>
      </c>
      <c r="C1010" s="1" t="str">
        <f t="shared" si="20"/>
        <v>020094</v>
      </c>
      <c r="D1010" s="1" t="str">
        <f>"112104229"</f>
        <v>112104229</v>
      </c>
      <c r="E1010" s="1">
        <v>56.5</v>
      </c>
      <c r="F1010" s="1">
        <v>48.5</v>
      </c>
      <c r="H1010" s="1">
        <v>53.3</v>
      </c>
    </row>
    <row r="1011" s="1" customFormat="1" spans="1:8">
      <c r="A1011" s="1" t="s">
        <v>17</v>
      </c>
      <c r="B1011" s="1" t="s">
        <v>18</v>
      </c>
      <c r="C1011" s="1" t="str">
        <f t="shared" si="20"/>
        <v>020094</v>
      </c>
      <c r="D1011" s="1" t="str">
        <f>"112104230"</f>
        <v>112104230</v>
      </c>
      <c r="E1011" s="1">
        <v>99</v>
      </c>
      <c r="F1011" s="1">
        <v>92</v>
      </c>
      <c r="H1011" s="1">
        <v>96.2</v>
      </c>
    </row>
    <row r="1012" s="1" customFormat="1" spans="1:8">
      <c r="A1012" s="1" t="s">
        <v>17</v>
      </c>
      <c r="B1012" s="1" t="s">
        <v>18</v>
      </c>
      <c r="C1012" s="1" t="str">
        <f t="shared" si="20"/>
        <v>020094</v>
      </c>
      <c r="D1012" s="1" t="str">
        <f>"112104301"</f>
        <v>112104301</v>
      </c>
      <c r="E1012" s="1">
        <v>77</v>
      </c>
      <c r="F1012" s="1">
        <v>58.5</v>
      </c>
      <c r="H1012" s="1">
        <v>69.6</v>
      </c>
    </row>
    <row r="1013" s="1" customFormat="1" spans="1:8">
      <c r="A1013" s="1" t="s">
        <v>17</v>
      </c>
      <c r="B1013" s="1" t="s">
        <v>18</v>
      </c>
      <c r="C1013" s="1" t="str">
        <f t="shared" si="20"/>
        <v>020094</v>
      </c>
      <c r="D1013" s="1" t="str">
        <f>"112104302"</f>
        <v>112104302</v>
      </c>
      <c r="E1013" s="1">
        <v>68.5</v>
      </c>
      <c r="F1013" s="1">
        <v>60</v>
      </c>
      <c r="H1013" s="1">
        <v>65.1</v>
      </c>
    </row>
    <row r="1014" s="1" customFormat="1" spans="1:8">
      <c r="A1014" s="1" t="s">
        <v>17</v>
      </c>
      <c r="B1014" s="1" t="s">
        <v>18</v>
      </c>
      <c r="C1014" s="1" t="str">
        <f t="shared" si="20"/>
        <v>020094</v>
      </c>
      <c r="D1014" s="1" t="str">
        <f>"112104303"</f>
        <v>112104303</v>
      </c>
      <c r="E1014" s="1">
        <v>65</v>
      </c>
      <c r="F1014" s="1">
        <v>50.5</v>
      </c>
      <c r="H1014" s="1">
        <v>59.2</v>
      </c>
    </row>
    <row r="1015" s="1" customFormat="1" spans="1:8">
      <c r="A1015" s="1" t="s">
        <v>17</v>
      </c>
      <c r="B1015" s="1" t="s">
        <v>18</v>
      </c>
      <c r="C1015" s="1" t="str">
        <f t="shared" si="20"/>
        <v>020094</v>
      </c>
      <c r="D1015" s="1" t="str">
        <f>"112104304"</f>
        <v>112104304</v>
      </c>
      <c r="E1015" s="1">
        <v>0</v>
      </c>
      <c r="F1015" s="1">
        <v>0</v>
      </c>
      <c r="H1015" s="1">
        <v>0</v>
      </c>
    </row>
    <row r="1016" s="1" customFormat="1" spans="1:8">
      <c r="A1016" s="1" t="s">
        <v>17</v>
      </c>
      <c r="B1016" s="1" t="s">
        <v>18</v>
      </c>
      <c r="C1016" s="1" t="str">
        <f t="shared" si="20"/>
        <v>020094</v>
      </c>
      <c r="D1016" s="1" t="str">
        <f>"112104305"</f>
        <v>112104305</v>
      </c>
      <c r="E1016" s="1">
        <v>48</v>
      </c>
      <c r="F1016" s="1">
        <v>66.5</v>
      </c>
      <c r="H1016" s="1">
        <v>55.4</v>
      </c>
    </row>
    <row r="1017" s="1" customFormat="1" spans="1:8">
      <c r="A1017" s="1" t="s">
        <v>17</v>
      </c>
      <c r="B1017" s="1" t="s">
        <v>18</v>
      </c>
      <c r="C1017" s="1" t="str">
        <f t="shared" si="20"/>
        <v>020094</v>
      </c>
      <c r="D1017" s="1" t="str">
        <f>"112104306"</f>
        <v>112104306</v>
      </c>
      <c r="E1017" s="1">
        <v>0</v>
      </c>
      <c r="F1017" s="1">
        <v>0</v>
      </c>
      <c r="H1017" s="1">
        <v>0</v>
      </c>
    </row>
    <row r="1018" s="1" customFormat="1" spans="1:8">
      <c r="A1018" s="1" t="s">
        <v>17</v>
      </c>
      <c r="B1018" s="1" t="s">
        <v>18</v>
      </c>
      <c r="C1018" s="1" t="str">
        <f t="shared" si="20"/>
        <v>020094</v>
      </c>
      <c r="D1018" s="1" t="str">
        <f>"112104307"</f>
        <v>112104307</v>
      </c>
      <c r="E1018" s="1">
        <v>96.5</v>
      </c>
      <c r="F1018" s="1">
        <v>86</v>
      </c>
      <c r="H1018" s="1">
        <v>92.3</v>
      </c>
    </row>
    <row r="1019" s="1" customFormat="1" spans="1:8">
      <c r="A1019" s="1" t="s">
        <v>17</v>
      </c>
      <c r="B1019" s="1" t="s">
        <v>18</v>
      </c>
      <c r="C1019" s="1" t="str">
        <f t="shared" si="20"/>
        <v>020094</v>
      </c>
      <c r="D1019" s="1" t="str">
        <f>"112104308"</f>
        <v>112104308</v>
      </c>
      <c r="E1019" s="1">
        <v>82</v>
      </c>
      <c r="F1019" s="1">
        <v>70</v>
      </c>
      <c r="H1019" s="1">
        <v>77.2</v>
      </c>
    </row>
    <row r="1020" s="1" customFormat="1" spans="1:8">
      <c r="A1020" s="1" t="s">
        <v>17</v>
      </c>
      <c r="B1020" s="1" t="s">
        <v>18</v>
      </c>
      <c r="C1020" s="1" t="str">
        <f t="shared" si="20"/>
        <v>020094</v>
      </c>
      <c r="D1020" s="1" t="str">
        <f>"112104309"</f>
        <v>112104309</v>
      </c>
      <c r="E1020" s="1">
        <v>88.5</v>
      </c>
      <c r="F1020" s="1">
        <v>67.5</v>
      </c>
      <c r="H1020" s="1">
        <v>80.1</v>
      </c>
    </row>
    <row r="1021" s="1" customFormat="1" spans="1:8">
      <c r="A1021" s="1" t="s">
        <v>17</v>
      </c>
      <c r="B1021" s="1" t="s">
        <v>18</v>
      </c>
      <c r="C1021" s="1" t="str">
        <f t="shared" si="20"/>
        <v>020094</v>
      </c>
      <c r="D1021" s="1" t="str">
        <f>"112104310"</f>
        <v>112104310</v>
      </c>
      <c r="E1021" s="1">
        <v>66.5</v>
      </c>
      <c r="F1021" s="1">
        <v>55.5</v>
      </c>
      <c r="H1021" s="1">
        <v>62.1</v>
      </c>
    </row>
    <row r="1022" s="1" customFormat="1" spans="1:8">
      <c r="A1022" s="1" t="s">
        <v>17</v>
      </c>
      <c r="B1022" s="1" t="s">
        <v>18</v>
      </c>
      <c r="C1022" s="1" t="str">
        <f t="shared" si="20"/>
        <v>020094</v>
      </c>
      <c r="D1022" s="1" t="str">
        <f>"112104311"</f>
        <v>112104311</v>
      </c>
      <c r="E1022" s="1">
        <v>0</v>
      </c>
      <c r="F1022" s="1">
        <v>0</v>
      </c>
      <c r="H1022" s="1">
        <v>0</v>
      </c>
    </row>
    <row r="1023" s="1" customFormat="1" spans="1:8">
      <c r="A1023" s="1" t="s">
        <v>17</v>
      </c>
      <c r="B1023" s="1" t="s">
        <v>18</v>
      </c>
      <c r="C1023" s="1" t="str">
        <f t="shared" si="20"/>
        <v>020094</v>
      </c>
      <c r="D1023" s="1" t="str">
        <f>"112104312"</f>
        <v>112104312</v>
      </c>
      <c r="E1023" s="1">
        <v>64</v>
      </c>
      <c r="F1023" s="1">
        <v>67.5</v>
      </c>
      <c r="H1023" s="1">
        <v>65.4</v>
      </c>
    </row>
    <row r="1024" s="1" customFormat="1" spans="1:8">
      <c r="A1024" s="1" t="s">
        <v>17</v>
      </c>
      <c r="B1024" s="1" t="s">
        <v>18</v>
      </c>
      <c r="C1024" s="1" t="str">
        <f t="shared" si="20"/>
        <v>020094</v>
      </c>
      <c r="D1024" s="1" t="str">
        <f>"112104313"</f>
        <v>112104313</v>
      </c>
      <c r="E1024" s="1">
        <v>52.5</v>
      </c>
      <c r="F1024" s="1">
        <v>42</v>
      </c>
      <c r="H1024" s="1">
        <v>48.3</v>
      </c>
    </row>
    <row r="1025" s="1" customFormat="1" spans="1:8">
      <c r="A1025" s="1" t="s">
        <v>17</v>
      </c>
      <c r="B1025" s="1" t="s">
        <v>18</v>
      </c>
      <c r="C1025" s="1" t="str">
        <f t="shared" si="20"/>
        <v>020094</v>
      </c>
      <c r="D1025" s="1" t="str">
        <f>"112104314"</f>
        <v>112104314</v>
      </c>
      <c r="E1025" s="1">
        <v>87</v>
      </c>
      <c r="F1025" s="1">
        <v>54.5</v>
      </c>
      <c r="H1025" s="1">
        <v>74</v>
      </c>
    </row>
    <row r="1026" s="1" customFormat="1" spans="1:8">
      <c r="A1026" s="1" t="s">
        <v>17</v>
      </c>
      <c r="B1026" s="1" t="s">
        <v>18</v>
      </c>
      <c r="C1026" s="1" t="str">
        <f t="shared" si="20"/>
        <v>020094</v>
      </c>
      <c r="D1026" s="1" t="str">
        <f>"112104315"</f>
        <v>112104315</v>
      </c>
      <c r="E1026" s="1">
        <v>80.5</v>
      </c>
      <c r="F1026" s="1">
        <v>65</v>
      </c>
      <c r="H1026" s="1">
        <v>74.3</v>
      </c>
    </row>
    <row r="1027" s="1" customFormat="1" spans="1:8">
      <c r="A1027" s="1" t="s">
        <v>17</v>
      </c>
      <c r="B1027" s="1" t="s">
        <v>18</v>
      </c>
      <c r="C1027" s="1" t="str">
        <f t="shared" si="20"/>
        <v>020094</v>
      </c>
      <c r="D1027" s="1" t="str">
        <f>"112104316"</f>
        <v>112104316</v>
      </c>
      <c r="E1027" s="1">
        <v>90</v>
      </c>
      <c r="F1027" s="1">
        <v>78</v>
      </c>
      <c r="H1027" s="1">
        <v>85.2</v>
      </c>
    </row>
    <row r="1028" s="1" customFormat="1" spans="1:8">
      <c r="A1028" s="1" t="s">
        <v>17</v>
      </c>
      <c r="B1028" s="1" t="s">
        <v>18</v>
      </c>
      <c r="C1028" s="1" t="str">
        <f t="shared" si="20"/>
        <v>020094</v>
      </c>
      <c r="D1028" s="1" t="str">
        <f>"112104317"</f>
        <v>112104317</v>
      </c>
      <c r="E1028" s="1">
        <v>0</v>
      </c>
      <c r="F1028" s="1">
        <v>0</v>
      </c>
      <c r="H1028" s="1">
        <v>0</v>
      </c>
    </row>
    <row r="1029" s="1" customFormat="1" spans="1:8">
      <c r="A1029" s="1" t="s">
        <v>17</v>
      </c>
      <c r="B1029" s="1" t="s">
        <v>18</v>
      </c>
      <c r="C1029" s="1" t="str">
        <f t="shared" si="20"/>
        <v>020094</v>
      </c>
      <c r="D1029" s="1" t="str">
        <f>"112104318"</f>
        <v>112104318</v>
      </c>
      <c r="E1029" s="1">
        <v>97.5</v>
      </c>
      <c r="F1029" s="1">
        <v>79.5</v>
      </c>
      <c r="H1029" s="1">
        <v>90.3</v>
      </c>
    </row>
    <row r="1030" s="1" customFormat="1" spans="1:8">
      <c r="A1030" s="1" t="s">
        <v>17</v>
      </c>
      <c r="B1030" s="1" t="s">
        <v>18</v>
      </c>
      <c r="C1030" s="1" t="str">
        <f t="shared" si="20"/>
        <v>020094</v>
      </c>
      <c r="D1030" s="1" t="str">
        <f>"112104319"</f>
        <v>112104319</v>
      </c>
      <c r="E1030" s="1">
        <v>69.5</v>
      </c>
      <c r="F1030" s="1">
        <v>49.5</v>
      </c>
      <c r="H1030" s="1">
        <v>61.5</v>
      </c>
    </row>
    <row r="1031" s="1" customFormat="1" spans="1:8">
      <c r="A1031" s="1" t="s">
        <v>17</v>
      </c>
      <c r="B1031" s="1" t="s">
        <v>18</v>
      </c>
      <c r="C1031" s="1" t="str">
        <f t="shared" si="20"/>
        <v>020094</v>
      </c>
      <c r="D1031" s="1" t="str">
        <f>"112104320"</f>
        <v>112104320</v>
      </c>
      <c r="E1031" s="1">
        <v>0</v>
      </c>
      <c r="F1031" s="1">
        <v>0</v>
      </c>
      <c r="H1031" s="1">
        <v>0</v>
      </c>
    </row>
    <row r="1032" s="1" customFormat="1" spans="1:8">
      <c r="A1032" s="1" t="s">
        <v>17</v>
      </c>
      <c r="B1032" s="1" t="s">
        <v>18</v>
      </c>
      <c r="C1032" s="1" t="str">
        <f t="shared" si="20"/>
        <v>020094</v>
      </c>
      <c r="D1032" s="1" t="str">
        <f>"112104321"</f>
        <v>112104321</v>
      </c>
      <c r="E1032" s="1">
        <v>71.5</v>
      </c>
      <c r="F1032" s="1">
        <v>40.5</v>
      </c>
      <c r="H1032" s="1">
        <v>59.1</v>
      </c>
    </row>
    <row r="1033" s="1" customFormat="1" spans="1:8">
      <c r="A1033" s="1" t="s">
        <v>17</v>
      </c>
      <c r="B1033" s="1" t="s">
        <v>18</v>
      </c>
      <c r="C1033" s="1" t="str">
        <f t="shared" si="20"/>
        <v>020094</v>
      </c>
      <c r="D1033" s="1" t="str">
        <f>"112104322"</f>
        <v>112104322</v>
      </c>
      <c r="E1033" s="1">
        <v>100.5</v>
      </c>
      <c r="F1033" s="1">
        <v>87.5</v>
      </c>
      <c r="H1033" s="1">
        <v>95.3</v>
      </c>
    </row>
    <row r="1034" s="1" customFormat="1" spans="1:8">
      <c r="A1034" s="1" t="s">
        <v>17</v>
      </c>
      <c r="B1034" s="1" t="s">
        <v>18</v>
      </c>
      <c r="C1034" s="1" t="str">
        <f t="shared" si="20"/>
        <v>020094</v>
      </c>
      <c r="D1034" s="1" t="str">
        <f>"112104323"</f>
        <v>112104323</v>
      </c>
      <c r="E1034" s="1">
        <v>69</v>
      </c>
      <c r="F1034" s="1">
        <v>55</v>
      </c>
      <c r="H1034" s="1">
        <v>63.4</v>
      </c>
    </row>
    <row r="1035" s="1" customFormat="1" spans="1:8">
      <c r="A1035" s="1" t="s">
        <v>17</v>
      </c>
      <c r="B1035" s="1" t="s">
        <v>18</v>
      </c>
      <c r="C1035" s="1" t="str">
        <f t="shared" si="20"/>
        <v>020094</v>
      </c>
      <c r="D1035" s="1" t="str">
        <f>"112104324"</f>
        <v>112104324</v>
      </c>
      <c r="E1035" s="1">
        <v>101.5</v>
      </c>
      <c r="F1035" s="1">
        <v>70.5</v>
      </c>
      <c r="H1035" s="1">
        <v>89.1</v>
      </c>
    </row>
    <row r="1036" s="1" customFormat="1" spans="1:8">
      <c r="A1036" s="1" t="s">
        <v>17</v>
      </c>
      <c r="B1036" s="1" t="s">
        <v>18</v>
      </c>
      <c r="C1036" s="1" t="str">
        <f t="shared" si="20"/>
        <v>020094</v>
      </c>
      <c r="D1036" s="1" t="str">
        <f>"112104325"</f>
        <v>112104325</v>
      </c>
      <c r="E1036" s="1">
        <v>79</v>
      </c>
      <c r="F1036" s="1">
        <v>59.5</v>
      </c>
      <c r="H1036" s="1">
        <v>71.2</v>
      </c>
    </row>
    <row r="1037" s="1" customFormat="1" spans="1:8">
      <c r="A1037" s="1" t="s">
        <v>17</v>
      </c>
      <c r="B1037" s="1" t="s">
        <v>18</v>
      </c>
      <c r="C1037" s="1" t="str">
        <f t="shared" si="20"/>
        <v>020094</v>
      </c>
      <c r="D1037" s="1" t="str">
        <f>"112104326"</f>
        <v>112104326</v>
      </c>
      <c r="E1037" s="1">
        <v>0</v>
      </c>
      <c r="F1037" s="1">
        <v>0</v>
      </c>
      <c r="H1037" s="1">
        <v>0</v>
      </c>
    </row>
    <row r="1038" s="1" customFormat="1" spans="1:8">
      <c r="A1038" s="1" t="s">
        <v>17</v>
      </c>
      <c r="B1038" s="1" t="s">
        <v>18</v>
      </c>
      <c r="C1038" s="1" t="str">
        <f t="shared" si="20"/>
        <v>020094</v>
      </c>
      <c r="D1038" s="1" t="str">
        <f>"112104327"</f>
        <v>112104327</v>
      </c>
      <c r="E1038" s="1">
        <v>74</v>
      </c>
      <c r="F1038" s="1">
        <v>0</v>
      </c>
      <c r="H1038" s="1">
        <v>44.4</v>
      </c>
    </row>
    <row r="1039" s="1" customFormat="1" spans="1:8">
      <c r="A1039" s="1" t="s">
        <v>17</v>
      </c>
      <c r="B1039" s="1" t="s">
        <v>18</v>
      </c>
      <c r="C1039" s="1" t="str">
        <f t="shared" si="20"/>
        <v>020094</v>
      </c>
      <c r="D1039" s="1" t="str">
        <f>"112104328"</f>
        <v>112104328</v>
      </c>
      <c r="E1039" s="1">
        <v>94.5</v>
      </c>
      <c r="F1039" s="1">
        <v>79</v>
      </c>
      <c r="H1039" s="1">
        <v>88.3</v>
      </c>
    </row>
    <row r="1040" s="1" customFormat="1" spans="1:8">
      <c r="A1040" s="1" t="s">
        <v>17</v>
      </c>
      <c r="B1040" s="1" t="s">
        <v>18</v>
      </c>
      <c r="C1040" s="1" t="str">
        <f t="shared" si="20"/>
        <v>020094</v>
      </c>
      <c r="D1040" s="1" t="str">
        <f>"112104329"</f>
        <v>112104329</v>
      </c>
      <c r="E1040" s="1">
        <v>60.5</v>
      </c>
      <c r="F1040" s="1">
        <v>52.5</v>
      </c>
      <c r="H1040" s="1">
        <v>57.3</v>
      </c>
    </row>
    <row r="1041" s="1" customFormat="1" spans="1:8">
      <c r="A1041" s="1" t="s">
        <v>17</v>
      </c>
      <c r="B1041" s="1" t="s">
        <v>18</v>
      </c>
      <c r="C1041" s="1" t="str">
        <f t="shared" si="20"/>
        <v>020094</v>
      </c>
      <c r="D1041" s="1" t="str">
        <f>"112104330"</f>
        <v>112104330</v>
      </c>
      <c r="E1041" s="1">
        <v>0</v>
      </c>
      <c r="F1041" s="1">
        <v>0</v>
      </c>
      <c r="H1041" s="1">
        <v>0</v>
      </c>
    </row>
    <row r="1042" s="1" customFormat="1" spans="1:8">
      <c r="A1042" s="1" t="s">
        <v>17</v>
      </c>
      <c r="B1042" s="1" t="s">
        <v>18</v>
      </c>
      <c r="C1042" s="1" t="str">
        <f t="shared" si="20"/>
        <v>020094</v>
      </c>
      <c r="D1042" s="1" t="str">
        <f>"112104401"</f>
        <v>112104401</v>
      </c>
      <c r="E1042" s="1">
        <v>0</v>
      </c>
      <c r="F1042" s="1">
        <v>0</v>
      </c>
      <c r="H1042" s="1">
        <v>0</v>
      </c>
    </row>
    <row r="1043" s="1" customFormat="1" spans="1:8">
      <c r="A1043" s="1" t="s">
        <v>17</v>
      </c>
      <c r="B1043" s="1" t="s">
        <v>18</v>
      </c>
      <c r="C1043" s="1" t="str">
        <f t="shared" si="20"/>
        <v>020094</v>
      </c>
      <c r="D1043" s="1" t="str">
        <f>"112104402"</f>
        <v>112104402</v>
      </c>
      <c r="E1043" s="1">
        <v>74</v>
      </c>
      <c r="F1043" s="1">
        <v>49</v>
      </c>
      <c r="H1043" s="1">
        <v>64</v>
      </c>
    </row>
    <row r="1044" s="1" customFormat="1" spans="1:8">
      <c r="A1044" s="1" t="s">
        <v>17</v>
      </c>
      <c r="B1044" s="1" t="s">
        <v>18</v>
      </c>
      <c r="C1044" s="1" t="str">
        <f t="shared" si="20"/>
        <v>020094</v>
      </c>
      <c r="D1044" s="1" t="str">
        <f>"112104403"</f>
        <v>112104403</v>
      </c>
      <c r="E1044" s="1">
        <v>80.5</v>
      </c>
      <c r="F1044" s="1">
        <v>69.5</v>
      </c>
      <c r="H1044" s="1">
        <v>76.1</v>
      </c>
    </row>
    <row r="1045" s="1" customFormat="1" spans="1:8">
      <c r="A1045" s="1" t="s">
        <v>17</v>
      </c>
      <c r="B1045" s="1" t="s">
        <v>18</v>
      </c>
      <c r="C1045" s="1" t="str">
        <f t="shared" si="20"/>
        <v>020094</v>
      </c>
      <c r="D1045" s="1" t="str">
        <f>"112104404"</f>
        <v>112104404</v>
      </c>
      <c r="E1045" s="1">
        <v>85</v>
      </c>
      <c r="F1045" s="1">
        <v>88</v>
      </c>
      <c r="H1045" s="1">
        <v>86.2</v>
      </c>
    </row>
    <row r="1046" s="1" customFormat="1" spans="1:8">
      <c r="A1046" s="1" t="s">
        <v>17</v>
      </c>
      <c r="B1046" s="1" t="s">
        <v>18</v>
      </c>
      <c r="C1046" s="1" t="str">
        <f t="shared" si="20"/>
        <v>020094</v>
      </c>
      <c r="D1046" s="1" t="str">
        <f>"112104405"</f>
        <v>112104405</v>
      </c>
      <c r="E1046" s="1">
        <v>81.5</v>
      </c>
      <c r="F1046" s="1">
        <v>63.5</v>
      </c>
      <c r="H1046" s="1">
        <v>74.3</v>
      </c>
    </row>
    <row r="1047" s="1" customFormat="1" spans="1:8">
      <c r="A1047" s="1" t="s">
        <v>17</v>
      </c>
      <c r="B1047" s="1" t="s">
        <v>18</v>
      </c>
      <c r="C1047" s="1" t="str">
        <f t="shared" si="20"/>
        <v>020094</v>
      </c>
      <c r="D1047" s="1" t="str">
        <f>"112104406"</f>
        <v>112104406</v>
      </c>
      <c r="E1047" s="1">
        <v>84.5</v>
      </c>
      <c r="F1047" s="1">
        <v>59</v>
      </c>
      <c r="H1047" s="1">
        <v>74.3</v>
      </c>
    </row>
    <row r="1048" s="1" customFormat="1" spans="1:8">
      <c r="A1048" s="1" t="s">
        <v>17</v>
      </c>
      <c r="B1048" s="1" t="s">
        <v>18</v>
      </c>
      <c r="C1048" s="1" t="str">
        <f t="shared" ref="C1048:C1082" si="21">"020094"</f>
        <v>020094</v>
      </c>
      <c r="D1048" s="1" t="str">
        <f>"112104407"</f>
        <v>112104407</v>
      </c>
      <c r="E1048" s="1">
        <v>60</v>
      </c>
      <c r="F1048" s="1">
        <v>56.5</v>
      </c>
      <c r="H1048" s="1">
        <v>58.6</v>
      </c>
    </row>
    <row r="1049" s="1" customFormat="1" spans="1:8">
      <c r="A1049" s="1" t="s">
        <v>17</v>
      </c>
      <c r="B1049" s="1" t="s">
        <v>18</v>
      </c>
      <c r="C1049" s="1" t="str">
        <f t="shared" si="21"/>
        <v>020094</v>
      </c>
      <c r="D1049" s="1" t="str">
        <f>"112104408"</f>
        <v>112104408</v>
      </c>
      <c r="E1049" s="1">
        <v>59.5</v>
      </c>
      <c r="F1049" s="1">
        <v>53</v>
      </c>
      <c r="H1049" s="1">
        <v>56.9</v>
      </c>
    </row>
    <row r="1050" s="1" customFormat="1" spans="1:8">
      <c r="A1050" s="1" t="s">
        <v>17</v>
      </c>
      <c r="B1050" s="1" t="s">
        <v>18</v>
      </c>
      <c r="C1050" s="1" t="str">
        <f t="shared" si="21"/>
        <v>020094</v>
      </c>
      <c r="D1050" s="1" t="str">
        <f>"112104409"</f>
        <v>112104409</v>
      </c>
      <c r="E1050" s="1">
        <v>0</v>
      </c>
      <c r="F1050" s="1">
        <v>0</v>
      </c>
      <c r="H1050" s="1">
        <v>0</v>
      </c>
    </row>
    <row r="1051" s="1" customFormat="1" spans="1:8">
      <c r="A1051" s="1" t="s">
        <v>17</v>
      </c>
      <c r="B1051" s="1" t="s">
        <v>18</v>
      </c>
      <c r="C1051" s="1" t="str">
        <f t="shared" si="21"/>
        <v>020094</v>
      </c>
      <c r="D1051" s="1" t="str">
        <f>"112104410"</f>
        <v>112104410</v>
      </c>
      <c r="E1051" s="1">
        <v>103</v>
      </c>
      <c r="F1051" s="1">
        <v>87.5</v>
      </c>
      <c r="H1051" s="1">
        <v>96.8</v>
      </c>
    </row>
    <row r="1052" s="1" customFormat="1" spans="1:8">
      <c r="A1052" s="1" t="s">
        <v>17</v>
      </c>
      <c r="B1052" s="1" t="s">
        <v>18</v>
      </c>
      <c r="C1052" s="1" t="str">
        <f t="shared" si="21"/>
        <v>020094</v>
      </c>
      <c r="D1052" s="1" t="str">
        <f>"112104411"</f>
        <v>112104411</v>
      </c>
      <c r="E1052" s="1">
        <v>0</v>
      </c>
      <c r="F1052" s="1">
        <v>0</v>
      </c>
      <c r="H1052" s="1">
        <v>0</v>
      </c>
    </row>
    <row r="1053" s="1" customFormat="1" spans="1:8">
      <c r="A1053" s="1" t="s">
        <v>17</v>
      </c>
      <c r="B1053" s="1" t="s">
        <v>18</v>
      </c>
      <c r="C1053" s="1" t="str">
        <f t="shared" si="21"/>
        <v>020094</v>
      </c>
      <c r="D1053" s="1" t="str">
        <f>"112104412"</f>
        <v>112104412</v>
      </c>
      <c r="E1053" s="1">
        <v>0</v>
      </c>
      <c r="F1053" s="1">
        <v>0</v>
      </c>
      <c r="H1053" s="1">
        <v>0</v>
      </c>
    </row>
    <row r="1054" s="1" customFormat="1" spans="1:8">
      <c r="A1054" s="1" t="s">
        <v>17</v>
      </c>
      <c r="B1054" s="1" t="s">
        <v>18</v>
      </c>
      <c r="C1054" s="1" t="str">
        <f t="shared" si="21"/>
        <v>020094</v>
      </c>
      <c r="D1054" s="1" t="str">
        <f>"112104413"</f>
        <v>112104413</v>
      </c>
      <c r="E1054" s="1">
        <v>0</v>
      </c>
      <c r="F1054" s="1">
        <v>0</v>
      </c>
      <c r="H1054" s="1">
        <v>0</v>
      </c>
    </row>
    <row r="1055" s="1" customFormat="1" spans="1:8">
      <c r="A1055" s="1" t="s">
        <v>17</v>
      </c>
      <c r="B1055" s="1" t="s">
        <v>18</v>
      </c>
      <c r="C1055" s="1" t="str">
        <f t="shared" si="21"/>
        <v>020094</v>
      </c>
      <c r="D1055" s="1" t="str">
        <f>"112104414"</f>
        <v>112104414</v>
      </c>
      <c r="E1055" s="1">
        <v>54.5</v>
      </c>
      <c r="F1055" s="1">
        <v>42</v>
      </c>
      <c r="H1055" s="1">
        <v>49.5</v>
      </c>
    </row>
    <row r="1056" s="1" customFormat="1" spans="1:8">
      <c r="A1056" s="1" t="s">
        <v>17</v>
      </c>
      <c r="B1056" s="1" t="s">
        <v>18</v>
      </c>
      <c r="C1056" s="1" t="str">
        <f t="shared" si="21"/>
        <v>020094</v>
      </c>
      <c r="D1056" s="1" t="str">
        <f>"112104415"</f>
        <v>112104415</v>
      </c>
      <c r="E1056" s="1">
        <v>60</v>
      </c>
      <c r="F1056" s="1">
        <v>52</v>
      </c>
      <c r="H1056" s="1">
        <v>56.8</v>
      </c>
    </row>
    <row r="1057" s="1" customFormat="1" spans="1:8">
      <c r="A1057" s="1" t="s">
        <v>17</v>
      </c>
      <c r="B1057" s="1" t="s">
        <v>18</v>
      </c>
      <c r="C1057" s="1" t="str">
        <f t="shared" si="21"/>
        <v>020094</v>
      </c>
      <c r="D1057" s="1" t="str">
        <f>"112104416"</f>
        <v>112104416</v>
      </c>
      <c r="E1057" s="1">
        <v>74.5</v>
      </c>
      <c r="F1057" s="1">
        <v>58.5</v>
      </c>
      <c r="H1057" s="1">
        <v>68.1</v>
      </c>
    </row>
    <row r="1058" s="1" customFormat="1" spans="1:8">
      <c r="A1058" s="1" t="s">
        <v>17</v>
      </c>
      <c r="B1058" s="1" t="s">
        <v>18</v>
      </c>
      <c r="C1058" s="1" t="str">
        <f t="shared" si="21"/>
        <v>020094</v>
      </c>
      <c r="D1058" s="1" t="str">
        <f>"112104417"</f>
        <v>112104417</v>
      </c>
      <c r="E1058" s="1">
        <v>66.5</v>
      </c>
      <c r="F1058" s="1">
        <v>64</v>
      </c>
      <c r="H1058" s="1">
        <v>65.5</v>
      </c>
    </row>
    <row r="1059" s="1" customFormat="1" spans="1:8">
      <c r="A1059" s="1" t="s">
        <v>17</v>
      </c>
      <c r="B1059" s="1" t="s">
        <v>18</v>
      </c>
      <c r="C1059" s="1" t="str">
        <f t="shared" si="21"/>
        <v>020094</v>
      </c>
      <c r="D1059" s="1" t="str">
        <f>"112104418"</f>
        <v>112104418</v>
      </c>
      <c r="E1059" s="1">
        <v>66.5</v>
      </c>
      <c r="F1059" s="1">
        <v>50</v>
      </c>
      <c r="H1059" s="1">
        <v>59.9</v>
      </c>
    </row>
    <row r="1060" s="1" customFormat="1" spans="1:8">
      <c r="A1060" s="1" t="s">
        <v>17</v>
      </c>
      <c r="B1060" s="1" t="s">
        <v>18</v>
      </c>
      <c r="C1060" s="1" t="str">
        <f t="shared" si="21"/>
        <v>020094</v>
      </c>
      <c r="D1060" s="1" t="str">
        <f>"112104419"</f>
        <v>112104419</v>
      </c>
      <c r="E1060" s="1">
        <v>65</v>
      </c>
      <c r="F1060" s="1">
        <v>51.5</v>
      </c>
      <c r="H1060" s="1">
        <v>59.6</v>
      </c>
    </row>
    <row r="1061" s="1" customFormat="1" spans="1:8">
      <c r="A1061" s="1" t="s">
        <v>17</v>
      </c>
      <c r="B1061" s="1" t="s">
        <v>18</v>
      </c>
      <c r="C1061" s="1" t="str">
        <f t="shared" si="21"/>
        <v>020094</v>
      </c>
      <c r="D1061" s="1" t="str">
        <f>"112104420"</f>
        <v>112104420</v>
      </c>
      <c r="E1061" s="1">
        <v>83.5</v>
      </c>
      <c r="F1061" s="1">
        <v>63.5</v>
      </c>
      <c r="H1061" s="1">
        <v>75.5</v>
      </c>
    </row>
    <row r="1062" s="1" customFormat="1" spans="1:8">
      <c r="A1062" s="1" t="s">
        <v>17</v>
      </c>
      <c r="B1062" s="1" t="s">
        <v>18</v>
      </c>
      <c r="C1062" s="1" t="str">
        <f t="shared" si="21"/>
        <v>020094</v>
      </c>
      <c r="D1062" s="1" t="str">
        <f>"112104421"</f>
        <v>112104421</v>
      </c>
      <c r="E1062" s="1">
        <v>101</v>
      </c>
      <c r="F1062" s="1">
        <v>79.5</v>
      </c>
      <c r="H1062" s="1">
        <v>92.4</v>
      </c>
    </row>
    <row r="1063" s="1" customFormat="1" spans="1:8">
      <c r="A1063" s="1" t="s">
        <v>17</v>
      </c>
      <c r="B1063" s="1" t="s">
        <v>18</v>
      </c>
      <c r="C1063" s="1" t="str">
        <f t="shared" si="21"/>
        <v>020094</v>
      </c>
      <c r="D1063" s="1" t="str">
        <f>"112104422"</f>
        <v>112104422</v>
      </c>
      <c r="E1063" s="1">
        <v>87</v>
      </c>
      <c r="F1063" s="1">
        <v>81.5</v>
      </c>
      <c r="H1063" s="1">
        <v>84.8</v>
      </c>
    </row>
    <row r="1064" s="1" customFormat="1" spans="1:8">
      <c r="A1064" s="1" t="s">
        <v>17</v>
      </c>
      <c r="B1064" s="1" t="s">
        <v>18</v>
      </c>
      <c r="C1064" s="1" t="str">
        <f t="shared" si="21"/>
        <v>020094</v>
      </c>
      <c r="D1064" s="1" t="str">
        <f>"112104423"</f>
        <v>112104423</v>
      </c>
      <c r="E1064" s="1">
        <v>53</v>
      </c>
      <c r="F1064" s="1">
        <v>45</v>
      </c>
      <c r="H1064" s="1">
        <v>49.8</v>
      </c>
    </row>
    <row r="1065" s="1" customFormat="1" spans="1:8">
      <c r="A1065" s="1" t="s">
        <v>17</v>
      </c>
      <c r="B1065" s="1" t="s">
        <v>18</v>
      </c>
      <c r="C1065" s="1" t="str">
        <f t="shared" si="21"/>
        <v>020094</v>
      </c>
      <c r="D1065" s="1" t="str">
        <f>"112104424"</f>
        <v>112104424</v>
      </c>
      <c r="E1065" s="1">
        <v>72</v>
      </c>
      <c r="F1065" s="1">
        <v>38</v>
      </c>
      <c r="H1065" s="1">
        <v>58.4</v>
      </c>
    </row>
    <row r="1066" s="1" customFormat="1" spans="1:8">
      <c r="A1066" s="1" t="s">
        <v>17</v>
      </c>
      <c r="B1066" s="1" t="s">
        <v>18</v>
      </c>
      <c r="C1066" s="1" t="str">
        <f t="shared" si="21"/>
        <v>020094</v>
      </c>
      <c r="D1066" s="1" t="str">
        <f>"112104425"</f>
        <v>112104425</v>
      </c>
      <c r="E1066" s="1">
        <v>84</v>
      </c>
      <c r="F1066" s="1">
        <v>59</v>
      </c>
      <c r="H1066" s="1">
        <v>74</v>
      </c>
    </row>
    <row r="1067" s="1" customFormat="1" spans="1:8">
      <c r="A1067" s="1" t="s">
        <v>17</v>
      </c>
      <c r="B1067" s="1" t="s">
        <v>18</v>
      </c>
      <c r="C1067" s="1" t="str">
        <f t="shared" si="21"/>
        <v>020094</v>
      </c>
      <c r="D1067" s="1" t="str">
        <f>"112104426"</f>
        <v>112104426</v>
      </c>
      <c r="E1067" s="1">
        <v>67</v>
      </c>
      <c r="F1067" s="1">
        <v>54.5</v>
      </c>
      <c r="H1067" s="1">
        <v>62</v>
      </c>
    </row>
    <row r="1068" s="1" customFormat="1" spans="1:8">
      <c r="A1068" s="1" t="s">
        <v>17</v>
      </c>
      <c r="B1068" s="1" t="s">
        <v>18</v>
      </c>
      <c r="C1068" s="1" t="str">
        <f t="shared" si="21"/>
        <v>020094</v>
      </c>
      <c r="D1068" s="1" t="str">
        <f>"112104427"</f>
        <v>112104427</v>
      </c>
      <c r="E1068" s="1">
        <v>53.5</v>
      </c>
      <c r="F1068" s="1">
        <v>41</v>
      </c>
      <c r="H1068" s="1">
        <v>48.5</v>
      </c>
    </row>
    <row r="1069" s="1" customFormat="1" spans="1:8">
      <c r="A1069" s="1" t="s">
        <v>17</v>
      </c>
      <c r="B1069" s="1" t="s">
        <v>18</v>
      </c>
      <c r="C1069" s="1" t="str">
        <f t="shared" si="21"/>
        <v>020094</v>
      </c>
      <c r="D1069" s="1" t="str">
        <f>"112104428"</f>
        <v>112104428</v>
      </c>
      <c r="E1069" s="1">
        <v>76.5</v>
      </c>
      <c r="F1069" s="1">
        <v>48</v>
      </c>
      <c r="H1069" s="1">
        <v>65.1</v>
      </c>
    </row>
    <row r="1070" s="1" customFormat="1" spans="1:8">
      <c r="A1070" s="1" t="s">
        <v>17</v>
      </c>
      <c r="B1070" s="1" t="s">
        <v>18</v>
      </c>
      <c r="C1070" s="1" t="str">
        <f t="shared" si="21"/>
        <v>020094</v>
      </c>
      <c r="D1070" s="1" t="str">
        <f>"112104429"</f>
        <v>112104429</v>
      </c>
      <c r="E1070" s="1">
        <v>96</v>
      </c>
      <c r="F1070" s="1">
        <v>81.5</v>
      </c>
      <c r="H1070" s="1">
        <v>90.2</v>
      </c>
    </row>
    <row r="1071" s="1" customFormat="1" spans="1:8">
      <c r="A1071" s="1" t="s">
        <v>17</v>
      </c>
      <c r="B1071" s="1" t="s">
        <v>18</v>
      </c>
      <c r="C1071" s="1" t="str">
        <f t="shared" si="21"/>
        <v>020094</v>
      </c>
      <c r="D1071" s="1" t="str">
        <f>"112104430"</f>
        <v>112104430</v>
      </c>
      <c r="E1071" s="1">
        <v>62.5</v>
      </c>
      <c r="F1071" s="1">
        <v>52.5</v>
      </c>
      <c r="H1071" s="1">
        <v>58.5</v>
      </c>
    </row>
    <row r="1072" s="1" customFormat="1" spans="1:8">
      <c r="A1072" s="1" t="s">
        <v>17</v>
      </c>
      <c r="B1072" s="1" t="s">
        <v>18</v>
      </c>
      <c r="C1072" s="1" t="str">
        <f t="shared" si="21"/>
        <v>020094</v>
      </c>
      <c r="D1072" s="1" t="str">
        <f>"112104501"</f>
        <v>112104501</v>
      </c>
      <c r="E1072" s="1">
        <v>0</v>
      </c>
      <c r="F1072" s="1">
        <v>0</v>
      </c>
      <c r="H1072" s="1">
        <v>0</v>
      </c>
    </row>
    <row r="1073" s="1" customFormat="1" spans="1:8">
      <c r="A1073" s="1" t="s">
        <v>17</v>
      </c>
      <c r="B1073" s="1" t="s">
        <v>18</v>
      </c>
      <c r="C1073" s="1" t="str">
        <f t="shared" si="21"/>
        <v>020094</v>
      </c>
      <c r="D1073" s="1" t="str">
        <f>"112104502"</f>
        <v>112104502</v>
      </c>
      <c r="E1073" s="1">
        <v>90.5</v>
      </c>
      <c r="F1073" s="1">
        <v>70.5</v>
      </c>
      <c r="H1073" s="1">
        <v>82.5</v>
      </c>
    </row>
    <row r="1074" s="1" customFormat="1" spans="1:8">
      <c r="A1074" s="1" t="s">
        <v>17</v>
      </c>
      <c r="B1074" s="1" t="s">
        <v>18</v>
      </c>
      <c r="C1074" s="1" t="str">
        <f t="shared" si="21"/>
        <v>020094</v>
      </c>
      <c r="D1074" s="1" t="str">
        <f>"112104503"</f>
        <v>112104503</v>
      </c>
      <c r="E1074" s="1">
        <v>71</v>
      </c>
      <c r="F1074" s="1">
        <v>44.5</v>
      </c>
      <c r="H1074" s="1">
        <v>60.4</v>
      </c>
    </row>
    <row r="1075" s="1" customFormat="1" spans="1:8">
      <c r="A1075" s="1" t="s">
        <v>17</v>
      </c>
      <c r="B1075" s="1" t="s">
        <v>18</v>
      </c>
      <c r="C1075" s="1" t="str">
        <f t="shared" si="21"/>
        <v>020094</v>
      </c>
      <c r="D1075" s="1" t="str">
        <f>"112104504"</f>
        <v>112104504</v>
      </c>
      <c r="E1075" s="1">
        <v>91</v>
      </c>
      <c r="F1075" s="1">
        <v>88.5</v>
      </c>
      <c r="H1075" s="1">
        <v>90</v>
      </c>
    </row>
    <row r="1076" s="1" customFormat="1" spans="1:8">
      <c r="A1076" s="1" t="s">
        <v>17</v>
      </c>
      <c r="B1076" s="1" t="s">
        <v>18</v>
      </c>
      <c r="C1076" s="1" t="str">
        <f t="shared" si="21"/>
        <v>020094</v>
      </c>
      <c r="D1076" s="1" t="str">
        <f>"112104505"</f>
        <v>112104505</v>
      </c>
      <c r="E1076" s="1">
        <v>0</v>
      </c>
      <c r="F1076" s="1">
        <v>0</v>
      </c>
      <c r="H1076" s="1">
        <v>0</v>
      </c>
    </row>
    <row r="1077" s="1" customFormat="1" spans="1:8">
      <c r="A1077" s="1" t="s">
        <v>17</v>
      </c>
      <c r="B1077" s="1" t="s">
        <v>18</v>
      </c>
      <c r="C1077" s="1" t="str">
        <f t="shared" si="21"/>
        <v>020094</v>
      </c>
      <c r="D1077" s="1" t="str">
        <f>"112104506"</f>
        <v>112104506</v>
      </c>
      <c r="E1077" s="1">
        <v>73</v>
      </c>
      <c r="F1077" s="1">
        <v>51</v>
      </c>
      <c r="H1077" s="1">
        <v>64.2</v>
      </c>
    </row>
    <row r="1078" s="1" customFormat="1" spans="1:8">
      <c r="A1078" s="1" t="s">
        <v>17</v>
      </c>
      <c r="B1078" s="1" t="s">
        <v>18</v>
      </c>
      <c r="C1078" s="1" t="str">
        <f t="shared" si="21"/>
        <v>020094</v>
      </c>
      <c r="D1078" s="1" t="str">
        <f>"112104507"</f>
        <v>112104507</v>
      </c>
      <c r="E1078" s="1">
        <v>70</v>
      </c>
      <c r="F1078" s="1">
        <v>48.5</v>
      </c>
      <c r="H1078" s="1">
        <v>61.4</v>
      </c>
    </row>
    <row r="1079" s="1" customFormat="1" spans="1:8">
      <c r="A1079" s="1" t="s">
        <v>17</v>
      </c>
      <c r="B1079" s="1" t="s">
        <v>18</v>
      </c>
      <c r="C1079" s="1" t="str">
        <f t="shared" si="21"/>
        <v>020094</v>
      </c>
      <c r="D1079" s="1" t="str">
        <f>"112104508"</f>
        <v>112104508</v>
      </c>
      <c r="E1079" s="1">
        <v>80</v>
      </c>
      <c r="F1079" s="1">
        <v>64.5</v>
      </c>
      <c r="H1079" s="1">
        <v>73.8</v>
      </c>
    </row>
    <row r="1080" s="1" customFormat="1" spans="1:8">
      <c r="A1080" s="1" t="s">
        <v>17</v>
      </c>
      <c r="B1080" s="1" t="s">
        <v>18</v>
      </c>
      <c r="C1080" s="1" t="str">
        <f t="shared" si="21"/>
        <v>020094</v>
      </c>
      <c r="D1080" s="1" t="str">
        <f>"112104509"</f>
        <v>112104509</v>
      </c>
      <c r="E1080" s="1">
        <v>84</v>
      </c>
      <c r="F1080" s="1">
        <v>0</v>
      </c>
      <c r="H1080" s="1">
        <v>50.4</v>
      </c>
    </row>
    <row r="1081" s="1" customFormat="1" spans="1:8">
      <c r="A1081" s="1" t="s">
        <v>17</v>
      </c>
      <c r="B1081" s="1" t="s">
        <v>18</v>
      </c>
      <c r="C1081" s="1" t="str">
        <f t="shared" si="21"/>
        <v>020094</v>
      </c>
      <c r="D1081" s="1" t="str">
        <f>"112104510"</f>
        <v>112104510</v>
      </c>
      <c r="E1081" s="1">
        <v>0</v>
      </c>
      <c r="F1081" s="1">
        <v>0</v>
      </c>
      <c r="H1081" s="1">
        <v>0</v>
      </c>
    </row>
    <row r="1082" s="1" customFormat="1" spans="1:8">
      <c r="A1082" s="1" t="s">
        <v>17</v>
      </c>
      <c r="B1082" s="1" t="s">
        <v>18</v>
      </c>
      <c r="C1082" s="1" t="str">
        <f t="shared" si="21"/>
        <v>020094</v>
      </c>
      <c r="D1082" s="1" t="str">
        <f>"112104511"</f>
        <v>112104511</v>
      </c>
      <c r="E1082" s="1">
        <v>0</v>
      </c>
      <c r="F1082" s="1">
        <v>0</v>
      </c>
      <c r="H1082" s="1">
        <v>0</v>
      </c>
    </row>
    <row r="1083" s="1" customFormat="1" spans="1:8">
      <c r="A1083" s="1" t="s">
        <v>8</v>
      </c>
      <c r="B1083" s="1" t="s">
        <v>19</v>
      </c>
      <c r="C1083" s="1" t="str">
        <f t="shared" ref="C1083:C1146" si="22">"020058"</f>
        <v>020058</v>
      </c>
      <c r="D1083" s="1" t="str">
        <f>"112204701"</f>
        <v>112204701</v>
      </c>
      <c r="E1083" s="1">
        <v>71</v>
      </c>
      <c r="F1083" s="1">
        <v>68</v>
      </c>
      <c r="H1083" s="1">
        <v>69.8</v>
      </c>
    </row>
    <row r="1084" s="1" customFormat="1" spans="1:8">
      <c r="A1084" s="1" t="s">
        <v>8</v>
      </c>
      <c r="B1084" s="1" t="s">
        <v>19</v>
      </c>
      <c r="C1084" s="1" t="str">
        <f t="shared" si="22"/>
        <v>020058</v>
      </c>
      <c r="D1084" s="1" t="str">
        <f>"112204702"</f>
        <v>112204702</v>
      </c>
      <c r="E1084" s="1">
        <v>88.5</v>
      </c>
      <c r="F1084" s="1">
        <v>108</v>
      </c>
      <c r="H1084" s="1">
        <v>96.3</v>
      </c>
    </row>
    <row r="1085" s="1" customFormat="1" spans="1:8">
      <c r="A1085" s="1" t="s">
        <v>8</v>
      </c>
      <c r="B1085" s="1" t="s">
        <v>19</v>
      </c>
      <c r="C1085" s="1" t="str">
        <f t="shared" si="22"/>
        <v>020058</v>
      </c>
      <c r="D1085" s="1" t="str">
        <f>"112204703"</f>
        <v>112204703</v>
      </c>
      <c r="E1085" s="1">
        <v>0</v>
      </c>
      <c r="F1085" s="1">
        <v>0</v>
      </c>
      <c r="H1085" s="1">
        <v>0</v>
      </c>
    </row>
    <row r="1086" s="1" customFormat="1" spans="1:8">
      <c r="A1086" s="1" t="s">
        <v>8</v>
      </c>
      <c r="B1086" s="1" t="s">
        <v>19</v>
      </c>
      <c r="C1086" s="1" t="str">
        <f t="shared" si="22"/>
        <v>020058</v>
      </c>
      <c r="D1086" s="1" t="str">
        <f>"112204704"</f>
        <v>112204704</v>
      </c>
      <c r="E1086" s="1">
        <v>88.5</v>
      </c>
      <c r="F1086" s="1">
        <v>81.5</v>
      </c>
      <c r="H1086" s="1">
        <v>85.7</v>
      </c>
    </row>
    <row r="1087" s="1" customFormat="1" spans="1:8">
      <c r="A1087" s="1" t="s">
        <v>8</v>
      </c>
      <c r="B1087" s="1" t="s">
        <v>19</v>
      </c>
      <c r="C1087" s="1" t="str">
        <f t="shared" si="22"/>
        <v>020058</v>
      </c>
      <c r="D1087" s="1" t="str">
        <f>"112204705"</f>
        <v>112204705</v>
      </c>
      <c r="E1087" s="1">
        <v>0</v>
      </c>
      <c r="F1087" s="1">
        <v>0</v>
      </c>
      <c r="H1087" s="1">
        <v>0</v>
      </c>
    </row>
    <row r="1088" s="1" customFormat="1" spans="1:8">
      <c r="A1088" s="1" t="s">
        <v>8</v>
      </c>
      <c r="B1088" s="1" t="s">
        <v>19</v>
      </c>
      <c r="C1088" s="1" t="str">
        <f t="shared" si="22"/>
        <v>020058</v>
      </c>
      <c r="D1088" s="1" t="str">
        <f>"112204706"</f>
        <v>112204706</v>
      </c>
      <c r="E1088" s="1">
        <v>71.5</v>
      </c>
      <c r="F1088" s="1">
        <v>63</v>
      </c>
      <c r="H1088" s="1">
        <v>68.1</v>
      </c>
    </row>
    <row r="1089" s="1" customFormat="1" spans="1:8">
      <c r="A1089" s="1" t="s">
        <v>8</v>
      </c>
      <c r="B1089" s="1" t="s">
        <v>19</v>
      </c>
      <c r="C1089" s="1" t="str">
        <f t="shared" si="22"/>
        <v>020058</v>
      </c>
      <c r="D1089" s="1" t="str">
        <f>"112204707"</f>
        <v>112204707</v>
      </c>
      <c r="E1089" s="1">
        <v>66</v>
      </c>
      <c r="F1089" s="1">
        <v>51.5</v>
      </c>
      <c r="H1089" s="1">
        <v>60.2</v>
      </c>
    </row>
    <row r="1090" s="1" customFormat="1" spans="1:8">
      <c r="A1090" s="1" t="s">
        <v>8</v>
      </c>
      <c r="B1090" s="1" t="s">
        <v>19</v>
      </c>
      <c r="C1090" s="1" t="str">
        <f t="shared" si="22"/>
        <v>020058</v>
      </c>
      <c r="D1090" s="1" t="str">
        <f>"112204708"</f>
        <v>112204708</v>
      </c>
      <c r="E1090" s="1">
        <v>56.5</v>
      </c>
      <c r="F1090" s="1">
        <v>41.5</v>
      </c>
      <c r="H1090" s="1">
        <v>50.5</v>
      </c>
    </row>
    <row r="1091" s="1" customFormat="1" spans="1:8">
      <c r="A1091" s="1" t="s">
        <v>8</v>
      </c>
      <c r="B1091" s="1" t="s">
        <v>19</v>
      </c>
      <c r="C1091" s="1" t="str">
        <f t="shared" si="22"/>
        <v>020058</v>
      </c>
      <c r="D1091" s="1" t="str">
        <f>"112204709"</f>
        <v>112204709</v>
      </c>
      <c r="E1091" s="1">
        <v>0</v>
      </c>
      <c r="F1091" s="1">
        <v>0</v>
      </c>
      <c r="H1091" s="1">
        <v>0</v>
      </c>
    </row>
    <row r="1092" s="1" customFormat="1" spans="1:8">
      <c r="A1092" s="1" t="s">
        <v>8</v>
      </c>
      <c r="B1092" s="1" t="s">
        <v>19</v>
      </c>
      <c r="C1092" s="1" t="str">
        <f t="shared" si="22"/>
        <v>020058</v>
      </c>
      <c r="D1092" s="1" t="str">
        <f>"112204710"</f>
        <v>112204710</v>
      </c>
      <c r="E1092" s="1">
        <v>61.5</v>
      </c>
      <c r="F1092" s="1">
        <v>0</v>
      </c>
      <c r="H1092" s="1">
        <v>36.9</v>
      </c>
    </row>
    <row r="1093" s="1" customFormat="1" spans="1:8">
      <c r="A1093" s="1" t="s">
        <v>8</v>
      </c>
      <c r="B1093" s="1" t="s">
        <v>19</v>
      </c>
      <c r="C1093" s="1" t="str">
        <f t="shared" si="22"/>
        <v>020058</v>
      </c>
      <c r="D1093" s="1" t="str">
        <f>"112204711"</f>
        <v>112204711</v>
      </c>
      <c r="E1093" s="1">
        <v>58.5</v>
      </c>
      <c r="F1093" s="1">
        <v>58.5</v>
      </c>
      <c r="H1093" s="1">
        <v>58.5</v>
      </c>
    </row>
    <row r="1094" s="1" customFormat="1" spans="1:8">
      <c r="A1094" s="1" t="s">
        <v>8</v>
      </c>
      <c r="B1094" s="1" t="s">
        <v>19</v>
      </c>
      <c r="C1094" s="1" t="str">
        <f t="shared" si="22"/>
        <v>020058</v>
      </c>
      <c r="D1094" s="1" t="str">
        <f>"112204712"</f>
        <v>112204712</v>
      </c>
      <c r="E1094" s="1">
        <v>68.5</v>
      </c>
      <c r="F1094" s="1">
        <v>52.5</v>
      </c>
      <c r="H1094" s="1">
        <v>62.1</v>
      </c>
    </row>
    <row r="1095" s="1" customFormat="1" spans="1:8">
      <c r="A1095" s="1" t="s">
        <v>8</v>
      </c>
      <c r="B1095" s="1" t="s">
        <v>19</v>
      </c>
      <c r="C1095" s="1" t="str">
        <f t="shared" si="22"/>
        <v>020058</v>
      </c>
      <c r="D1095" s="1" t="str">
        <f>"112204713"</f>
        <v>112204713</v>
      </c>
      <c r="E1095" s="1">
        <v>66.5</v>
      </c>
      <c r="F1095" s="1">
        <v>64</v>
      </c>
      <c r="H1095" s="1">
        <v>65.5</v>
      </c>
    </row>
    <row r="1096" s="1" customFormat="1" spans="1:8">
      <c r="A1096" s="1" t="s">
        <v>8</v>
      </c>
      <c r="B1096" s="1" t="s">
        <v>19</v>
      </c>
      <c r="C1096" s="1" t="str">
        <f t="shared" si="22"/>
        <v>020058</v>
      </c>
      <c r="D1096" s="1" t="str">
        <f>"112204714"</f>
        <v>112204714</v>
      </c>
      <c r="E1096" s="1">
        <v>80</v>
      </c>
      <c r="F1096" s="1">
        <v>75.5</v>
      </c>
      <c r="H1096" s="1">
        <v>78.2</v>
      </c>
    </row>
    <row r="1097" s="1" customFormat="1" spans="1:8">
      <c r="A1097" s="1" t="s">
        <v>8</v>
      </c>
      <c r="B1097" s="1" t="s">
        <v>19</v>
      </c>
      <c r="C1097" s="1" t="str">
        <f t="shared" si="22"/>
        <v>020058</v>
      </c>
      <c r="D1097" s="1" t="str">
        <f>"112204715"</f>
        <v>112204715</v>
      </c>
      <c r="E1097" s="1">
        <v>65.5</v>
      </c>
      <c r="F1097" s="1">
        <v>50</v>
      </c>
      <c r="H1097" s="1">
        <v>59.3</v>
      </c>
    </row>
    <row r="1098" s="1" customFormat="1" spans="1:8">
      <c r="A1098" s="1" t="s">
        <v>8</v>
      </c>
      <c r="B1098" s="1" t="s">
        <v>19</v>
      </c>
      <c r="C1098" s="1" t="str">
        <f t="shared" si="22"/>
        <v>020058</v>
      </c>
      <c r="D1098" s="1" t="str">
        <f>"112204716"</f>
        <v>112204716</v>
      </c>
      <c r="E1098" s="1">
        <v>77.5</v>
      </c>
      <c r="F1098" s="1">
        <v>64</v>
      </c>
      <c r="H1098" s="1">
        <v>72.1</v>
      </c>
    </row>
    <row r="1099" s="1" customFormat="1" spans="1:8">
      <c r="A1099" s="1" t="s">
        <v>8</v>
      </c>
      <c r="B1099" s="1" t="s">
        <v>19</v>
      </c>
      <c r="C1099" s="1" t="str">
        <f t="shared" si="22"/>
        <v>020058</v>
      </c>
      <c r="D1099" s="1" t="str">
        <f>"112204717"</f>
        <v>112204717</v>
      </c>
      <c r="E1099" s="1">
        <v>80</v>
      </c>
      <c r="F1099" s="1">
        <v>63</v>
      </c>
      <c r="H1099" s="1">
        <v>73.2</v>
      </c>
    </row>
    <row r="1100" s="1" customFormat="1" spans="1:8">
      <c r="A1100" s="1" t="s">
        <v>8</v>
      </c>
      <c r="B1100" s="1" t="s">
        <v>19</v>
      </c>
      <c r="C1100" s="1" t="str">
        <f t="shared" si="22"/>
        <v>020058</v>
      </c>
      <c r="D1100" s="1" t="str">
        <f>"112204718"</f>
        <v>112204718</v>
      </c>
      <c r="E1100" s="1">
        <v>77.5</v>
      </c>
      <c r="F1100" s="1">
        <v>78.5</v>
      </c>
      <c r="H1100" s="1">
        <v>77.9</v>
      </c>
    </row>
    <row r="1101" s="1" customFormat="1" spans="1:8">
      <c r="A1101" s="1" t="s">
        <v>8</v>
      </c>
      <c r="B1101" s="1" t="s">
        <v>19</v>
      </c>
      <c r="C1101" s="1" t="str">
        <f t="shared" si="22"/>
        <v>020058</v>
      </c>
      <c r="D1101" s="1" t="str">
        <f>"112204719"</f>
        <v>112204719</v>
      </c>
      <c r="E1101" s="1">
        <v>58</v>
      </c>
      <c r="F1101" s="1">
        <v>55.5</v>
      </c>
      <c r="H1101" s="1">
        <v>57</v>
      </c>
    </row>
    <row r="1102" s="1" customFormat="1" spans="1:8">
      <c r="A1102" s="1" t="s">
        <v>8</v>
      </c>
      <c r="B1102" s="1" t="s">
        <v>19</v>
      </c>
      <c r="C1102" s="1" t="str">
        <f t="shared" si="22"/>
        <v>020058</v>
      </c>
      <c r="D1102" s="1" t="str">
        <f>"112204720"</f>
        <v>112204720</v>
      </c>
      <c r="E1102" s="1">
        <v>82.5</v>
      </c>
      <c r="F1102" s="1">
        <v>82.5</v>
      </c>
      <c r="H1102" s="1">
        <v>82.5</v>
      </c>
    </row>
    <row r="1103" s="1" customFormat="1" spans="1:8">
      <c r="A1103" s="1" t="s">
        <v>8</v>
      </c>
      <c r="B1103" s="1" t="s">
        <v>19</v>
      </c>
      <c r="C1103" s="1" t="str">
        <f t="shared" si="22"/>
        <v>020058</v>
      </c>
      <c r="D1103" s="1" t="str">
        <f>"112204721"</f>
        <v>112204721</v>
      </c>
      <c r="E1103" s="1">
        <v>0</v>
      </c>
      <c r="F1103" s="1">
        <v>0</v>
      </c>
      <c r="H1103" s="1">
        <v>0</v>
      </c>
    </row>
    <row r="1104" s="1" customFormat="1" spans="1:8">
      <c r="A1104" s="1" t="s">
        <v>8</v>
      </c>
      <c r="B1104" s="1" t="s">
        <v>19</v>
      </c>
      <c r="C1104" s="1" t="str">
        <f t="shared" si="22"/>
        <v>020058</v>
      </c>
      <c r="D1104" s="1" t="str">
        <f>"112204722"</f>
        <v>112204722</v>
      </c>
      <c r="E1104" s="1">
        <v>0</v>
      </c>
      <c r="F1104" s="1">
        <v>0</v>
      </c>
      <c r="H1104" s="1">
        <v>0</v>
      </c>
    </row>
    <row r="1105" s="1" customFormat="1" spans="1:8">
      <c r="A1105" s="1" t="s">
        <v>8</v>
      </c>
      <c r="B1105" s="1" t="s">
        <v>19</v>
      </c>
      <c r="C1105" s="1" t="str">
        <f t="shared" si="22"/>
        <v>020058</v>
      </c>
      <c r="D1105" s="1" t="str">
        <f>"112204723"</f>
        <v>112204723</v>
      </c>
      <c r="E1105" s="1">
        <v>69</v>
      </c>
      <c r="F1105" s="1">
        <v>73.5</v>
      </c>
      <c r="H1105" s="1">
        <v>70.8</v>
      </c>
    </row>
    <row r="1106" s="1" customFormat="1" spans="1:8">
      <c r="A1106" s="1" t="s">
        <v>8</v>
      </c>
      <c r="B1106" s="1" t="s">
        <v>19</v>
      </c>
      <c r="C1106" s="1" t="str">
        <f t="shared" si="22"/>
        <v>020058</v>
      </c>
      <c r="D1106" s="1" t="str">
        <f>"112204724"</f>
        <v>112204724</v>
      </c>
      <c r="E1106" s="1">
        <v>80</v>
      </c>
      <c r="F1106" s="1">
        <v>73</v>
      </c>
      <c r="H1106" s="1">
        <v>77.2</v>
      </c>
    </row>
    <row r="1107" s="1" customFormat="1" spans="1:8">
      <c r="A1107" s="1" t="s">
        <v>8</v>
      </c>
      <c r="B1107" s="1" t="s">
        <v>19</v>
      </c>
      <c r="C1107" s="1" t="str">
        <f t="shared" si="22"/>
        <v>020058</v>
      </c>
      <c r="D1107" s="1" t="str">
        <f>"112204725"</f>
        <v>112204725</v>
      </c>
      <c r="E1107" s="1">
        <v>64</v>
      </c>
      <c r="F1107" s="1">
        <v>89.5</v>
      </c>
      <c r="H1107" s="1">
        <v>74.2</v>
      </c>
    </row>
    <row r="1108" s="1" customFormat="1" spans="1:8">
      <c r="A1108" s="1" t="s">
        <v>8</v>
      </c>
      <c r="B1108" s="1" t="s">
        <v>19</v>
      </c>
      <c r="C1108" s="1" t="str">
        <f t="shared" si="22"/>
        <v>020058</v>
      </c>
      <c r="D1108" s="1" t="str">
        <f>"112204726"</f>
        <v>112204726</v>
      </c>
      <c r="E1108" s="1">
        <v>0</v>
      </c>
      <c r="F1108" s="1">
        <v>0</v>
      </c>
      <c r="H1108" s="1">
        <v>0</v>
      </c>
    </row>
    <row r="1109" s="1" customFormat="1" spans="1:8">
      <c r="A1109" s="1" t="s">
        <v>8</v>
      </c>
      <c r="B1109" s="1" t="s">
        <v>19</v>
      </c>
      <c r="C1109" s="1" t="str">
        <f t="shared" si="22"/>
        <v>020058</v>
      </c>
      <c r="D1109" s="1" t="str">
        <f>"112204727"</f>
        <v>112204727</v>
      </c>
      <c r="E1109" s="1">
        <v>54.5</v>
      </c>
      <c r="F1109" s="1">
        <v>81.5</v>
      </c>
      <c r="H1109" s="1">
        <v>65.3</v>
      </c>
    </row>
    <row r="1110" s="1" customFormat="1" spans="1:8">
      <c r="A1110" s="1" t="s">
        <v>8</v>
      </c>
      <c r="B1110" s="1" t="s">
        <v>19</v>
      </c>
      <c r="C1110" s="1" t="str">
        <f t="shared" si="22"/>
        <v>020058</v>
      </c>
      <c r="D1110" s="1" t="str">
        <f>"112204728"</f>
        <v>112204728</v>
      </c>
      <c r="E1110" s="1">
        <v>68</v>
      </c>
      <c r="F1110" s="1">
        <v>54.5</v>
      </c>
      <c r="H1110" s="1">
        <v>62.6</v>
      </c>
    </row>
    <row r="1111" s="1" customFormat="1" spans="1:8">
      <c r="A1111" s="1" t="s">
        <v>8</v>
      </c>
      <c r="B1111" s="1" t="s">
        <v>19</v>
      </c>
      <c r="C1111" s="1" t="str">
        <f t="shared" si="22"/>
        <v>020058</v>
      </c>
      <c r="D1111" s="1" t="str">
        <f>"112204729"</f>
        <v>112204729</v>
      </c>
      <c r="E1111" s="1">
        <v>83.5</v>
      </c>
      <c r="F1111" s="1">
        <v>74.5</v>
      </c>
      <c r="H1111" s="1">
        <v>79.9</v>
      </c>
    </row>
    <row r="1112" s="1" customFormat="1" spans="1:8">
      <c r="A1112" s="1" t="s">
        <v>8</v>
      </c>
      <c r="B1112" s="1" t="s">
        <v>19</v>
      </c>
      <c r="C1112" s="1" t="str">
        <f t="shared" si="22"/>
        <v>020058</v>
      </c>
      <c r="D1112" s="1" t="str">
        <f>"112204730"</f>
        <v>112204730</v>
      </c>
      <c r="E1112" s="1">
        <v>0</v>
      </c>
      <c r="F1112" s="1">
        <v>0</v>
      </c>
      <c r="H1112" s="1">
        <v>0</v>
      </c>
    </row>
    <row r="1113" s="1" customFormat="1" spans="1:8">
      <c r="A1113" s="1" t="s">
        <v>8</v>
      </c>
      <c r="B1113" s="1" t="s">
        <v>19</v>
      </c>
      <c r="C1113" s="1" t="str">
        <f t="shared" si="22"/>
        <v>020058</v>
      </c>
      <c r="D1113" s="1" t="str">
        <f>"112204801"</f>
        <v>112204801</v>
      </c>
      <c r="E1113" s="1">
        <v>67</v>
      </c>
      <c r="F1113" s="1">
        <v>52.5</v>
      </c>
      <c r="H1113" s="1">
        <v>61.2</v>
      </c>
    </row>
    <row r="1114" s="1" customFormat="1" spans="1:8">
      <c r="A1114" s="1" t="s">
        <v>8</v>
      </c>
      <c r="B1114" s="1" t="s">
        <v>19</v>
      </c>
      <c r="C1114" s="1" t="str">
        <f t="shared" si="22"/>
        <v>020058</v>
      </c>
      <c r="D1114" s="1" t="str">
        <f>"112204802"</f>
        <v>112204802</v>
      </c>
      <c r="E1114" s="1">
        <v>71</v>
      </c>
      <c r="F1114" s="1">
        <v>58</v>
      </c>
      <c r="H1114" s="1">
        <v>65.8</v>
      </c>
    </row>
    <row r="1115" s="1" customFormat="1" spans="1:8">
      <c r="A1115" s="1" t="s">
        <v>8</v>
      </c>
      <c r="B1115" s="1" t="s">
        <v>19</v>
      </c>
      <c r="C1115" s="1" t="str">
        <f t="shared" si="22"/>
        <v>020058</v>
      </c>
      <c r="D1115" s="1" t="str">
        <f>"112204803"</f>
        <v>112204803</v>
      </c>
      <c r="E1115" s="1">
        <v>57</v>
      </c>
      <c r="F1115" s="1">
        <v>65</v>
      </c>
      <c r="H1115" s="1">
        <v>60.2</v>
      </c>
    </row>
    <row r="1116" s="1" customFormat="1" spans="1:8">
      <c r="A1116" s="1" t="s">
        <v>8</v>
      </c>
      <c r="B1116" s="1" t="s">
        <v>19</v>
      </c>
      <c r="C1116" s="1" t="str">
        <f t="shared" si="22"/>
        <v>020058</v>
      </c>
      <c r="D1116" s="1" t="str">
        <f>"112204804"</f>
        <v>112204804</v>
      </c>
      <c r="E1116" s="1">
        <v>79</v>
      </c>
      <c r="F1116" s="1">
        <v>94.5</v>
      </c>
      <c r="H1116" s="1">
        <v>85.2</v>
      </c>
    </row>
    <row r="1117" s="1" customFormat="1" spans="1:8">
      <c r="A1117" s="1" t="s">
        <v>8</v>
      </c>
      <c r="B1117" s="1" t="s">
        <v>19</v>
      </c>
      <c r="C1117" s="1" t="str">
        <f t="shared" si="22"/>
        <v>020058</v>
      </c>
      <c r="D1117" s="1" t="str">
        <f>"112204805"</f>
        <v>112204805</v>
      </c>
      <c r="E1117" s="1">
        <v>86</v>
      </c>
      <c r="F1117" s="1">
        <v>67</v>
      </c>
      <c r="H1117" s="1">
        <v>78.4</v>
      </c>
    </row>
    <row r="1118" s="1" customFormat="1" spans="1:8">
      <c r="A1118" s="1" t="s">
        <v>8</v>
      </c>
      <c r="B1118" s="1" t="s">
        <v>19</v>
      </c>
      <c r="C1118" s="1" t="str">
        <f t="shared" si="22"/>
        <v>020058</v>
      </c>
      <c r="D1118" s="1" t="str">
        <f>"112204806"</f>
        <v>112204806</v>
      </c>
      <c r="E1118" s="1">
        <v>73</v>
      </c>
      <c r="F1118" s="1">
        <v>69</v>
      </c>
      <c r="H1118" s="1">
        <v>71.4</v>
      </c>
    </row>
    <row r="1119" s="1" customFormat="1" spans="1:8">
      <c r="A1119" s="1" t="s">
        <v>8</v>
      </c>
      <c r="B1119" s="1" t="s">
        <v>19</v>
      </c>
      <c r="C1119" s="1" t="str">
        <f t="shared" si="22"/>
        <v>020058</v>
      </c>
      <c r="D1119" s="1" t="str">
        <f>"112204807"</f>
        <v>112204807</v>
      </c>
      <c r="E1119" s="1">
        <v>72.5</v>
      </c>
      <c r="F1119" s="1">
        <v>74.5</v>
      </c>
      <c r="H1119" s="1">
        <v>73.3</v>
      </c>
    </row>
    <row r="1120" s="1" customFormat="1" spans="1:8">
      <c r="A1120" s="1" t="s">
        <v>8</v>
      </c>
      <c r="B1120" s="1" t="s">
        <v>19</v>
      </c>
      <c r="C1120" s="1" t="str">
        <f t="shared" si="22"/>
        <v>020058</v>
      </c>
      <c r="D1120" s="1" t="str">
        <f>"112204808"</f>
        <v>112204808</v>
      </c>
      <c r="E1120" s="1">
        <v>73.5</v>
      </c>
      <c r="F1120" s="1">
        <v>58.5</v>
      </c>
      <c r="H1120" s="1">
        <v>67.5</v>
      </c>
    </row>
    <row r="1121" s="1" customFormat="1" spans="1:8">
      <c r="A1121" s="1" t="s">
        <v>8</v>
      </c>
      <c r="B1121" s="1" t="s">
        <v>19</v>
      </c>
      <c r="C1121" s="1" t="str">
        <f t="shared" si="22"/>
        <v>020058</v>
      </c>
      <c r="D1121" s="1" t="str">
        <f>"112204809"</f>
        <v>112204809</v>
      </c>
      <c r="E1121" s="1">
        <v>75.5</v>
      </c>
      <c r="F1121" s="1">
        <v>57</v>
      </c>
      <c r="H1121" s="1">
        <v>68.1</v>
      </c>
    </row>
    <row r="1122" s="1" customFormat="1" spans="1:8">
      <c r="A1122" s="1" t="s">
        <v>8</v>
      </c>
      <c r="B1122" s="1" t="s">
        <v>19</v>
      </c>
      <c r="C1122" s="1" t="str">
        <f t="shared" si="22"/>
        <v>020058</v>
      </c>
      <c r="D1122" s="1" t="str">
        <f>"112204810"</f>
        <v>112204810</v>
      </c>
      <c r="E1122" s="1">
        <v>61</v>
      </c>
      <c r="F1122" s="1">
        <v>54.5</v>
      </c>
      <c r="H1122" s="1">
        <v>58.4</v>
      </c>
    </row>
    <row r="1123" s="1" customFormat="1" spans="1:8">
      <c r="A1123" s="1" t="s">
        <v>8</v>
      </c>
      <c r="B1123" s="1" t="s">
        <v>19</v>
      </c>
      <c r="C1123" s="1" t="str">
        <f t="shared" si="22"/>
        <v>020058</v>
      </c>
      <c r="D1123" s="1" t="str">
        <f>"112204811"</f>
        <v>112204811</v>
      </c>
      <c r="E1123" s="1">
        <v>62.5</v>
      </c>
      <c r="F1123" s="1">
        <v>74</v>
      </c>
      <c r="H1123" s="1">
        <v>67.1</v>
      </c>
    </row>
    <row r="1124" s="1" customFormat="1" spans="1:8">
      <c r="A1124" s="1" t="s">
        <v>8</v>
      </c>
      <c r="B1124" s="1" t="s">
        <v>19</v>
      </c>
      <c r="C1124" s="1" t="str">
        <f t="shared" si="22"/>
        <v>020058</v>
      </c>
      <c r="D1124" s="1" t="str">
        <f>"112204812"</f>
        <v>112204812</v>
      </c>
      <c r="E1124" s="1">
        <v>81</v>
      </c>
      <c r="F1124" s="1">
        <v>57</v>
      </c>
      <c r="H1124" s="1">
        <v>71.4</v>
      </c>
    </row>
    <row r="1125" s="1" customFormat="1" spans="1:8">
      <c r="A1125" s="1" t="s">
        <v>8</v>
      </c>
      <c r="B1125" s="1" t="s">
        <v>19</v>
      </c>
      <c r="C1125" s="1" t="str">
        <f t="shared" si="22"/>
        <v>020058</v>
      </c>
      <c r="D1125" s="1" t="str">
        <f>"112204813"</f>
        <v>112204813</v>
      </c>
      <c r="E1125" s="1">
        <v>63.5</v>
      </c>
      <c r="F1125" s="1">
        <v>79.5</v>
      </c>
      <c r="H1125" s="1">
        <v>69.9</v>
      </c>
    </row>
    <row r="1126" s="1" customFormat="1" spans="1:8">
      <c r="A1126" s="1" t="s">
        <v>8</v>
      </c>
      <c r="B1126" s="1" t="s">
        <v>19</v>
      </c>
      <c r="C1126" s="1" t="str">
        <f t="shared" si="22"/>
        <v>020058</v>
      </c>
      <c r="D1126" s="1" t="str">
        <f>"112204814"</f>
        <v>112204814</v>
      </c>
      <c r="E1126" s="1">
        <v>0</v>
      </c>
      <c r="F1126" s="1">
        <v>0</v>
      </c>
      <c r="H1126" s="1">
        <v>0</v>
      </c>
    </row>
    <row r="1127" s="1" customFormat="1" spans="1:8">
      <c r="A1127" s="1" t="s">
        <v>8</v>
      </c>
      <c r="B1127" s="1" t="s">
        <v>19</v>
      </c>
      <c r="C1127" s="1" t="str">
        <f t="shared" si="22"/>
        <v>020058</v>
      </c>
      <c r="D1127" s="1" t="str">
        <f>"112204815"</f>
        <v>112204815</v>
      </c>
      <c r="E1127" s="1">
        <v>85</v>
      </c>
      <c r="F1127" s="1">
        <v>101.5</v>
      </c>
      <c r="H1127" s="1">
        <v>91.6</v>
      </c>
    </row>
    <row r="1128" s="1" customFormat="1" spans="1:8">
      <c r="A1128" s="1" t="s">
        <v>8</v>
      </c>
      <c r="B1128" s="1" t="s">
        <v>19</v>
      </c>
      <c r="C1128" s="1" t="str">
        <f t="shared" si="22"/>
        <v>020058</v>
      </c>
      <c r="D1128" s="1" t="str">
        <f>"112204816"</f>
        <v>112204816</v>
      </c>
      <c r="E1128" s="1">
        <v>77.5</v>
      </c>
      <c r="F1128" s="1">
        <v>71</v>
      </c>
      <c r="H1128" s="1">
        <v>74.9</v>
      </c>
    </row>
    <row r="1129" s="1" customFormat="1" spans="1:8">
      <c r="A1129" s="1" t="s">
        <v>8</v>
      </c>
      <c r="B1129" s="1" t="s">
        <v>19</v>
      </c>
      <c r="C1129" s="1" t="str">
        <f t="shared" si="22"/>
        <v>020058</v>
      </c>
      <c r="D1129" s="1" t="str">
        <f>"112204817"</f>
        <v>112204817</v>
      </c>
      <c r="E1129" s="1">
        <v>73.5</v>
      </c>
      <c r="F1129" s="1">
        <v>76</v>
      </c>
      <c r="H1129" s="1">
        <v>74.5</v>
      </c>
    </row>
    <row r="1130" s="1" customFormat="1" spans="1:8">
      <c r="A1130" s="1" t="s">
        <v>8</v>
      </c>
      <c r="B1130" s="1" t="s">
        <v>19</v>
      </c>
      <c r="C1130" s="1" t="str">
        <f t="shared" si="22"/>
        <v>020058</v>
      </c>
      <c r="D1130" s="1" t="str">
        <f>"112204818"</f>
        <v>112204818</v>
      </c>
      <c r="E1130" s="1">
        <v>69</v>
      </c>
      <c r="F1130" s="1">
        <v>58.5</v>
      </c>
      <c r="H1130" s="1">
        <v>64.8</v>
      </c>
    </row>
    <row r="1131" s="1" customFormat="1" spans="1:8">
      <c r="A1131" s="1" t="s">
        <v>8</v>
      </c>
      <c r="B1131" s="1" t="s">
        <v>19</v>
      </c>
      <c r="C1131" s="1" t="str">
        <f t="shared" si="22"/>
        <v>020058</v>
      </c>
      <c r="D1131" s="1" t="str">
        <f>"112204819"</f>
        <v>112204819</v>
      </c>
      <c r="E1131" s="1">
        <v>59.5</v>
      </c>
      <c r="F1131" s="1">
        <v>51.5</v>
      </c>
      <c r="H1131" s="1">
        <v>56.3</v>
      </c>
    </row>
    <row r="1132" s="1" customFormat="1" spans="1:8">
      <c r="A1132" s="1" t="s">
        <v>8</v>
      </c>
      <c r="B1132" s="1" t="s">
        <v>19</v>
      </c>
      <c r="C1132" s="1" t="str">
        <f t="shared" si="22"/>
        <v>020058</v>
      </c>
      <c r="D1132" s="1" t="str">
        <f>"112204820"</f>
        <v>112204820</v>
      </c>
      <c r="E1132" s="1">
        <v>73</v>
      </c>
      <c r="F1132" s="1">
        <v>91</v>
      </c>
      <c r="H1132" s="1">
        <v>80.2</v>
      </c>
    </row>
    <row r="1133" s="1" customFormat="1" spans="1:8">
      <c r="A1133" s="1" t="s">
        <v>8</v>
      </c>
      <c r="B1133" s="1" t="s">
        <v>19</v>
      </c>
      <c r="C1133" s="1" t="str">
        <f t="shared" si="22"/>
        <v>020058</v>
      </c>
      <c r="D1133" s="1" t="str">
        <f>"112204821"</f>
        <v>112204821</v>
      </c>
      <c r="E1133" s="1">
        <v>70.5</v>
      </c>
      <c r="F1133" s="1">
        <v>60</v>
      </c>
      <c r="H1133" s="1">
        <v>66.3</v>
      </c>
    </row>
    <row r="1134" s="1" customFormat="1" spans="1:8">
      <c r="A1134" s="1" t="s">
        <v>8</v>
      </c>
      <c r="B1134" s="1" t="s">
        <v>19</v>
      </c>
      <c r="C1134" s="1" t="str">
        <f t="shared" si="22"/>
        <v>020058</v>
      </c>
      <c r="D1134" s="1" t="str">
        <f>"112204822"</f>
        <v>112204822</v>
      </c>
      <c r="E1134" s="1">
        <v>0</v>
      </c>
      <c r="F1134" s="1">
        <v>0</v>
      </c>
      <c r="H1134" s="1">
        <v>0</v>
      </c>
    </row>
    <row r="1135" s="1" customFormat="1" spans="1:8">
      <c r="A1135" s="1" t="s">
        <v>8</v>
      </c>
      <c r="B1135" s="1" t="s">
        <v>19</v>
      </c>
      <c r="C1135" s="1" t="str">
        <f t="shared" si="22"/>
        <v>020058</v>
      </c>
      <c r="D1135" s="1" t="str">
        <f>"112204823"</f>
        <v>112204823</v>
      </c>
      <c r="E1135" s="1">
        <v>49.5</v>
      </c>
      <c r="F1135" s="1">
        <v>31</v>
      </c>
      <c r="H1135" s="1">
        <v>42.1</v>
      </c>
    </row>
    <row r="1136" s="1" customFormat="1" spans="1:8">
      <c r="A1136" s="1" t="s">
        <v>8</v>
      </c>
      <c r="B1136" s="1" t="s">
        <v>19</v>
      </c>
      <c r="C1136" s="1" t="str">
        <f t="shared" si="22"/>
        <v>020058</v>
      </c>
      <c r="D1136" s="1" t="str">
        <f>"112204824"</f>
        <v>112204824</v>
      </c>
      <c r="E1136" s="1">
        <v>57</v>
      </c>
      <c r="F1136" s="1">
        <v>61.5</v>
      </c>
      <c r="H1136" s="1">
        <v>58.8</v>
      </c>
    </row>
    <row r="1137" s="1" customFormat="1" spans="1:8">
      <c r="A1137" s="1" t="s">
        <v>8</v>
      </c>
      <c r="B1137" s="1" t="s">
        <v>19</v>
      </c>
      <c r="C1137" s="1" t="str">
        <f t="shared" si="22"/>
        <v>020058</v>
      </c>
      <c r="D1137" s="1" t="str">
        <f>"112204825"</f>
        <v>112204825</v>
      </c>
      <c r="E1137" s="1">
        <v>0</v>
      </c>
      <c r="F1137" s="1">
        <v>0</v>
      </c>
      <c r="H1137" s="1">
        <v>0</v>
      </c>
    </row>
    <row r="1138" s="1" customFormat="1" spans="1:8">
      <c r="A1138" s="1" t="s">
        <v>8</v>
      </c>
      <c r="B1138" s="1" t="s">
        <v>19</v>
      </c>
      <c r="C1138" s="1" t="str">
        <f t="shared" si="22"/>
        <v>020058</v>
      </c>
      <c r="D1138" s="1" t="str">
        <f>"112204826"</f>
        <v>112204826</v>
      </c>
      <c r="E1138" s="1">
        <v>66</v>
      </c>
      <c r="F1138" s="1">
        <v>68</v>
      </c>
      <c r="H1138" s="1">
        <v>66.8</v>
      </c>
    </row>
    <row r="1139" s="1" customFormat="1" spans="1:8">
      <c r="A1139" s="1" t="s">
        <v>8</v>
      </c>
      <c r="B1139" s="1" t="s">
        <v>19</v>
      </c>
      <c r="C1139" s="1" t="str">
        <f t="shared" si="22"/>
        <v>020058</v>
      </c>
      <c r="D1139" s="1" t="str">
        <f>"112204827"</f>
        <v>112204827</v>
      </c>
      <c r="E1139" s="1">
        <v>66</v>
      </c>
      <c r="F1139" s="1">
        <v>57</v>
      </c>
      <c r="H1139" s="1">
        <v>62.4</v>
      </c>
    </row>
    <row r="1140" s="1" customFormat="1" spans="1:8">
      <c r="A1140" s="1" t="s">
        <v>8</v>
      </c>
      <c r="B1140" s="1" t="s">
        <v>19</v>
      </c>
      <c r="C1140" s="1" t="str">
        <f t="shared" si="22"/>
        <v>020058</v>
      </c>
      <c r="D1140" s="1" t="str">
        <f>"112204828"</f>
        <v>112204828</v>
      </c>
      <c r="E1140" s="1">
        <v>0</v>
      </c>
      <c r="F1140" s="1">
        <v>0</v>
      </c>
      <c r="H1140" s="1">
        <v>0</v>
      </c>
    </row>
    <row r="1141" s="1" customFormat="1" spans="1:8">
      <c r="A1141" s="1" t="s">
        <v>8</v>
      </c>
      <c r="B1141" s="1" t="s">
        <v>19</v>
      </c>
      <c r="C1141" s="1" t="str">
        <f t="shared" si="22"/>
        <v>020058</v>
      </c>
      <c r="D1141" s="1" t="str">
        <f>"112204829"</f>
        <v>112204829</v>
      </c>
      <c r="E1141" s="1">
        <v>86.5</v>
      </c>
      <c r="F1141" s="1">
        <v>92.5</v>
      </c>
      <c r="H1141" s="1">
        <v>88.9</v>
      </c>
    </row>
    <row r="1142" s="1" customFormat="1" spans="1:8">
      <c r="A1142" s="1" t="s">
        <v>8</v>
      </c>
      <c r="B1142" s="1" t="s">
        <v>19</v>
      </c>
      <c r="C1142" s="1" t="str">
        <f t="shared" si="22"/>
        <v>020058</v>
      </c>
      <c r="D1142" s="1" t="str">
        <f>"112204830"</f>
        <v>112204830</v>
      </c>
      <c r="E1142" s="1">
        <v>0</v>
      </c>
      <c r="F1142" s="1">
        <v>0</v>
      </c>
      <c r="H1142" s="1">
        <v>0</v>
      </c>
    </row>
    <row r="1143" s="1" customFormat="1" spans="1:8">
      <c r="A1143" s="1" t="s">
        <v>8</v>
      </c>
      <c r="B1143" s="1" t="s">
        <v>19</v>
      </c>
      <c r="C1143" s="1" t="str">
        <f t="shared" si="22"/>
        <v>020058</v>
      </c>
      <c r="D1143" s="1" t="str">
        <f>"112204901"</f>
        <v>112204901</v>
      </c>
      <c r="E1143" s="1">
        <v>0</v>
      </c>
      <c r="F1143" s="1">
        <v>0</v>
      </c>
      <c r="H1143" s="1">
        <v>0</v>
      </c>
    </row>
    <row r="1144" s="1" customFormat="1" spans="1:8">
      <c r="A1144" s="1" t="s">
        <v>8</v>
      </c>
      <c r="B1144" s="1" t="s">
        <v>19</v>
      </c>
      <c r="C1144" s="1" t="str">
        <f t="shared" si="22"/>
        <v>020058</v>
      </c>
      <c r="D1144" s="1" t="str">
        <f>"112204902"</f>
        <v>112204902</v>
      </c>
      <c r="E1144" s="1">
        <v>0</v>
      </c>
      <c r="F1144" s="1">
        <v>0</v>
      </c>
      <c r="H1144" s="1">
        <v>0</v>
      </c>
    </row>
    <row r="1145" s="1" customFormat="1" spans="1:8">
      <c r="A1145" s="1" t="s">
        <v>8</v>
      </c>
      <c r="B1145" s="1" t="s">
        <v>19</v>
      </c>
      <c r="C1145" s="1" t="str">
        <f t="shared" si="22"/>
        <v>020058</v>
      </c>
      <c r="D1145" s="1" t="str">
        <f>"112204903"</f>
        <v>112204903</v>
      </c>
      <c r="E1145" s="1">
        <v>0</v>
      </c>
      <c r="F1145" s="1">
        <v>0</v>
      </c>
      <c r="H1145" s="1">
        <v>0</v>
      </c>
    </row>
    <row r="1146" s="1" customFormat="1" spans="1:8">
      <c r="A1146" s="1" t="s">
        <v>8</v>
      </c>
      <c r="B1146" s="1" t="s">
        <v>19</v>
      </c>
      <c r="C1146" s="1" t="str">
        <f t="shared" si="22"/>
        <v>020058</v>
      </c>
      <c r="D1146" s="1" t="str">
        <f>"112204904"</f>
        <v>112204904</v>
      </c>
      <c r="E1146" s="1">
        <v>79</v>
      </c>
      <c r="F1146" s="1">
        <v>90.5</v>
      </c>
      <c r="H1146" s="1">
        <v>83.6</v>
      </c>
    </row>
    <row r="1147" s="1" customFormat="1" spans="1:8">
      <c r="A1147" s="1" t="s">
        <v>8</v>
      </c>
      <c r="B1147" s="1" t="s">
        <v>19</v>
      </c>
      <c r="C1147" s="1" t="str">
        <f t="shared" ref="C1147:C1184" si="23">"020058"</f>
        <v>020058</v>
      </c>
      <c r="D1147" s="1" t="str">
        <f>"112204905"</f>
        <v>112204905</v>
      </c>
      <c r="E1147" s="1">
        <v>77</v>
      </c>
      <c r="F1147" s="1">
        <v>74.5</v>
      </c>
      <c r="H1147" s="1">
        <v>76</v>
      </c>
    </row>
    <row r="1148" s="1" customFormat="1" spans="1:8">
      <c r="A1148" s="1" t="s">
        <v>8</v>
      </c>
      <c r="B1148" s="1" t="s">
        <v>19</v>
      </c>
      <c r="C1148" s="1" t="str">
        <f t="shared" si="23"/>
        <v>020058</v>
      </c>
      <c r="D1148" s="1" t="str">
        <f>"112204906"</f>
        <v>112204906</v>
      </c>
      <c r="E1148" s="1">
        <v>88.5</v>
      </c>
      <c r="F1148" s="1">
        <v>69.5</v>
      </c>
      <c r="H1148" s="1">
        <v>80.9</v>
      </c>
    </row>
    <row r="1149" s="1" customFormat="1" spans="1:8">
      <c r="A1149" s="1" t="s">
        <v>8</v>
      </c>
      <c r="B1149" s="1" t="s">
        <v>19</v>
      </c>
      <c r="C1149" s="1" t="str">
        <f t="shared" si="23"/>
        <v>020058</v>
      </c>
      <c r="D1149" s="1" t="str">
        <f>"112204907"</f>
        <v>112204907</v>
      </c>
      <c r="E1149" s="1">
        <v>70</v>
      </c>
      <c r="F1149" s="1">
        <v>42</v>
      </c>
      <c r="H1149" s="1">
        <v>58.8</v>
      </c>
    </row>
    <row r="1150" s="1" customFormat="1" spans="1:8">
      <c r="A1150" s="1" t="s">
        <v>8</v>
      </c>
      <c r="B1150" s="1" t="s">
        <v>19</v>
      </c>
      <c r="C1150" s="1" t="str">
        <f t="shared" si="23"/>
        <v>020058</v>
      </c>
      <c r="D1150" s="1" t="str">
        <f>"112204908"</f>
        <v>112204908</v>
      </c>
      <c r="E1150" s="1">
        <v>51.5</v>
      </c>
      <c r="F1150" s="1">
        <v>61</v>
      </c>
      <c r="H1150" s="1">
        <v>55.3</v>
      </c>
    </row>
    <row r="1151" s="1" customFormat="1" spans="1:8">
      <c r="A1151" s="1" t="s">
        <v>8</v>
      </c>
      <c r="B1151" s="1" t="s">
        <v>19</v>
      </c>
      <c r="C1151" s="1" t="str">
        <f t="shared" si="23"/>
        <v>020058</v>
      </c>
      <c r="D1151" s="1" t="str">
        <f>"112204909"</f>
        <v>112204909</v>
      </c>
      <c r="E1151" s="1">
        <v>80</v>
      </c>
      <c r="F1151" s="1">
        <v>81.5</v>
      </c>
      <c r="H1151" s="1">
        <v>80.6</v>
      </c>
    </row>
    <row r="1152" s="1" customFormat="1" spans="1:8">
      <c r="A1152" s="1" t="s">
        <v>8</v>
      </c>
      <c r="B1152" s="1" t="s">
        <v>19</v>
      </c>
      <c r="C1152" s="1" t="str">
        <f t="shared" si="23"/>
        <v>020058</v>
      </c>
      <c r="D1152" s="1" t="str">
        <f>"112204910"</f>
        <v>112204910</v>
      </c>
      <c r="E1152" s="1">
        <v>0</v>
      </c>
      <c r="F1152" s="1">
        <v>0</v>
      </c>
      <c r="H1152" s="1">
        <v>0</v>
      </c>
    </row>
    <row r="1153" s="1" customFormat="1" spans="1:8">
      <c r="A1153" s="1" t="s">
        <v>8</v>
      </c>
      <c r="B1153" s="1" t="s">
        <v>19</v>
      </c>
      <c r="C1153" s="1" t="str">
        <f t="shared" si="23"/>
        <v>020058</v>
      </c>
      <c r="D1153" s="1" t="str">
        <f>"112204911"</f>
        <v>112204911</v>
      </c>
      <c r="E1153" s="1">
        <v>0</v>
      </c>
      <c r="F1153" s="1">
        <v>0</v>
      </c>
      <c r="H1153" s="1">
        <v>0</v>
      </c>
    </row>
    <row r="1154" s="1" customFormat="1" spans="1:8">
      <c r="A1154" s="1" t="s">
        <v>8</v>
      </c>
      <c r="B1154" s="1" t="s">
        <v>19</v>
      </c>
      <c r="C1154" s="1" t="str">
        <f t="shared" si="23"/>
        <v>020058</v>
      </c>
      <c r="D1154" s="1" t="str">
        <f>"112204912"</f>
        <v>112204912</v>
      </c>
      <c r="E1154" s="1">
        <v>64</v>
      </c>
      <c r="F1154" s="1">
        <v>52</v>
      </c>
      <c r="H1154" s="1">
        <v>59.2</v>
      </c>
    </row>
    <row r="1155" s="1" customFormat="1" spans="1:8">
      <c r="A1155" s="1" t="s">
        <v>8</v>
      </c>
      <c r="B1155" s="1" t="s">
        <v>19</v>
      </c>
      <c r="C1155" s="1" t="str">
        <f t="shared" si="23"/>
        <v>020058</v>
      </c>
      <c r="D1155" s="1" t="str">
        <f>"112204913"</f>
        <v>112204913</v>
      </c>
      <c r="E1155" s="1">
        <v>65.5</v>
      </c>
      <c r="F1155" s="1">
        <v>70</v>
      </c>
      <c r="H1155" s="1">
        <v>67.3</v>
      </c>
    </row>
    <row r="1156" s="1" customFormat="1" spans="1:8">
      <c r="A1156" s="1" t="s">
        <v>8</v>
      </c>
      <c r="B1156" s="1" t="s">
        <v>19</v>
      </c>
      <c r="C1156" s="1" t="str">
        <f t="shared" si="23"/>
        <v>020058</v>
      </c>
      <c r="D1156" s="1" t="str">
        <f>"112204914"</f>
        <v>112204914</v>
      </c>
      <c r="E1156" s="1">
        <v>73</v>
      </c>
      <c r="F1156" s="1">
        <v>83.5</v>
      </c>
      <c r="H1156" s="1">
        <v>77.2</v>
      </c>
    </row>
    <row r="1157" s="1" customFormat="1" spans="1:8">
      <c r="A1157" s="1" t="s">
        <v>8</v>
      </c>
      <c r="B1157" s="1" t="s">
        <v>19</v>
      </c>
      <c r="C1157" s="1" t="str">
        <f t="shared" si="23"/>
        <v>020058</v>
      </c>
      <c r="D1157" s="1" t="str">
        <f>"112204915"</f>
        <v>112204915</v>
      </c>
      <c r="E1157" s="1">
        <v>80</v>
      </c>
      <c r="F1157" s="1">
        <v>69.5</v>
      </c>
      <c r="H1157" s="1">
        <v>75.8</v>
      </c>
    </row>
    <row r="1158" s="1" customFormat="1" spans="1:8">
      <c r="A1158" s="1" t="s">
        <v>8</v>
      </c>
      <c r="B1158" s="1" t="s">
        <v>19</v>
      </c>
      <c r="C1158" s="1" t="str">
        <f t="shared" si="23"/>
        <v>020058</v>
      </c>
      <c r="D1158" s="1" t="str">
        <f>"112204916"</f>
        <v>112204916</v>
      </c>
      <c r="E1158" s="1">
        <v>62.5</v>
      </c>
      <c r="F1158" s="1">
        <v>62.5</v>
      </c>
      <c r="H1158" s="1">
        <v>62.5</v>
      </c>
    </row>
    <row r="1159" s="1" customFormat="1" spans="1:8">
      <c r="A1159" s="1" t="s">
        <v>8</v>
      </c>
      <c r="B1159" s="1" t="s">
        <v>19</v>
      </c>
      <c r="C1159" s="1" t="str">
        <f t="shared" si="23"/>
        <v>020058</v>
      </c>
      <c r="D1159" s="1" t="str">
        <f>"112204917"</f>
        <v>112204917</v>
      </c>
      <c r="E1159" s="1">
        <v>0</v>
      </c>
      <c r="F1159" s="1">
        <v>0</v>
      </c>
      <c r="H1159" s="1">
        <v>0</v>
      </c>
    </row>
    <row r="1160" s="1" customFormat="1" spans="1:8">
      <c r="A1160" s="1" t="s">
        <v>8</v>
      </c>
      <c r="B1160" s="1" t="s">
        <v>19</v>
      </c>
      <c r="C1160" s="1" t="str">
        <f t="shared" si="23"/>
        <v>020058</v>
      </c>
      <c r="D1160" s="1" t="str">
        <f>"112204918"</f>
        <v>112204918</v>
      </c>
      <c r="E1160" s="1">
        <v>90.5</v>
      </c>
      <c r="F1160" s="1">
        <v>94</v>
      </c>
      <c r="H1160" s="1">
        <v>91.9</v>
      </c>
    </row>
    <row r="1161" s="1" customFormat="1" spans="1:8">
      <c r="A1161" s="1" t="s">
        <v>8</v>
      </c>
      <c r="B1161" s="1" t="s">
        <v>19</v>
      </c>
      <c r="C1161" s="1" t="str">
        <f t="shared" si="23"/>
        <v>020058</v>
      </c>
      <c r="D1161" s="1" t="str">
        <f>"112204919"</f>
        <v>112204919</v>
      </c>
      <c r="E1161" s="1">
        <v>0</v>
      </c>
      <c r="F1161" s="1">
        <v>0</v>
      </c>
      <c r="H1161" s="1">
        <v>0</v>
      </c>
    </row>
    <row r="1162" s="1" customFormat="1" spans="1:8">
      <c r="A1162" s="1" t="s">
        <v>8</v>
      </c>
      <c r="B1162" s="1" t="s">
        <v>19</v>
      </c>
      <c r="C1162" s="1" t="str">
        <f t="shared" si="23"/>
        <v>020058</v>
      </c>
      <c r="D1162" s="1" t="str">
        <f>"112204920"</f>
        <v>112204920</v>
      </c>
      <c r="E1162" s="1">
        <v>82</v>
      </c>
      <c r="F1162" s="1">
        <v>94.5</v>
      </c>
      <c r="H1162" s="1">
        <v>87</v>
      </c>
    </row>
    <row r="1163" s="1" customFormat="1" spans="1:8">
      <c r="A1163" s="1" t="s">
        <v>8</v>
      </c>
      <c r="B1163" s="1" t="s">
        <v>19</v>
      </c>
      <c r="C1163" s="1" t="str">
        <f t="shared" si="23"/>
        <v>020058</v>
      </c>
      <c r="D1163" s="1" t="str">
        <f>"112204921"</f>
        <v>112204921</v>
      </c>
      <c r="E1163" s="1">
        <v>0</v>
      </c>
      <c r="F1163" s="1">
        <v>0</v>
      </c>
      <c r="H1163" s="1">
        <v>0</v>
      </c>
    </row>
    <row r="1164" s="1" customFormat="1" spans="1:8">
      <c r="A1164" s="1" t="s">
        <v>8</v>
      </c>
      <c r="B1164" s="1" t="s">
        <v>19</v>
      </c>
      <c r="C1164" s="1" t="str">
        <f t="shared" si="23"/>
        <v>020058</v>
      </c>
      <c r="D1164" s="1" t="str">
        <f>"112204922"</f>
        <v>112204922</v>
      </c>
      <c r="E1164" s="1">
        <v>77</v>
      </c>
      <c r="F1164" s="1">
        <v>76.5</v>
      </c>
      <c r="H1164" s="1">
        <v>76.8</v>
      </c>
    </row>
    <row r="1165" s="1" customFormat="1" spans="1:8">
      <c r="A1165" s="1" t="s">
        <v>8</v>
      </c>
      <c r="B1165" s="1" t="s">
        <v>19</v>
      </c>
      <c r="C1165" s="1" t="str">
        <f t="shared" si="23"/>
        <v>020058</v>
      </c>
      <c r="D1165" s="1" t="str">
        <f>"112204923"</f>
        <v>112204923</v>
      </c>
      <c r="E1165" s="1">
        <v>79</v>
      </c>
      <c r="F1165" s="1">
        <v>81</v>
      </c>
      <c r="H1165" s="1">
        <v>79.8</v>
      </c>
    </row>
    <row r="1166" s="1" customFormat="1" spans="1:8">
      <c r="A1166" s="1" t="s">
        <v>8</v>
      </c>
      <c r="B1166" s="1" t="s">
        <v>19</v>
      </c>
      <c r="C1166" s="1" t="str">
        <f t="shared" si="23"/>
        <v>020058</v>
      </c>
      <c r="D1166" s="1" t="str">
        <f>"112204924"</f>
        <v>112204924</v>
      </c>
      <c r="E1166" s="1">
        <v>66.5</v>
      </c>
      <c r="F1166" s="1">
        <v>65.5</v>
      </c>
      <c r="H1166" s="1">
        <v>66.1</v>
      </c>
    </row>
    <row r="1167" s="1" customFormat="1" spans="1:8">
      <c r="A1167" s="1" t="s">
        <v>8</v>
      </c>
      <c r="B1167" s="1" t="s">
        <v>19</v>
      </c>
      <c r="C1167" s="1" t="str">
        <f t="shared" si="23"/>
        <v>020058</v>
      </c>
      <c r="D1167" s="1" t="str">
        <f>"112204925"</f>
        <v>112204925</v>
      </c>
      <c r="E1167" s="1">
        <v>80.5</v>
      </c>
      <c r="F1167" s="1">
        <v>59</v>
      </c>
      <c r="H1167" s="1">
        <v>71.9</v>
      </c>
    </row>
    <row r="1168" s="1" customFormat="1" spans="1:8">
      <c r="A1168" s="1" t="s">
        <v>8</v>
      </c>
      <c r="B1168" s="1" t="s">
        <v>19</v>
      </c>
      <c r="C1168" s="1" t="str">
        <f t="shared" si="23"/>
        <v>020058</v>
      </c>
      <c r="D1168" s="1" t="str">
        <f>"112204926"</f>
        <v>112204926</v>
      </c>
      <c r="E1168" s="1">
        <v>65</v>
      </c>
      <c r="F1168" s="1">
        <v>65.5</v>
      </c>
      <c r="H1168" s="1">
        <v>65.2</v>
      </c>
    </row>
    <row r="1169" s="1" customFormat="1" spans="1:8">
      <c r="A1169" s="1" t="s">
        <v>8</v>
      </c>
      <c r="B1169" s="1" t="s">
        <v>19</v>
      </c>
      <c r="C1169" s="1" t="str">
        <f t="shared" si="23"/>
        <v>020058</v>
      </c>
      <c r="D1169" s="1" t="str">
        <f>"112204927"</f>
        <v>112204927</v>
      </c>
      <c r="E1169" s="1">
        <v>62</v>
      </c>
      <c r="F1169" s="1">
        <v>42.5</v>
      </c>
      <c r="H1169" s="1">
        <v>54.2</v>
      </c>
    </row>
    <row r="1170" s="1" customFormat="1" spans="1:8">
      <c r="A1170" s="1" t="s">
        <v>8</v>
      </c>
      <c r="B1170" s="1" t="s">
        <v>19</v>
      </c>
      <c r="C1170" s="1" t="str">
        <f t="shared" si="23"/>
        <v>020058</v>
      </c>
      <c r="D1170" s="1" t="str">
        <f>"112204928"</f>
        <v>112204928</v>
      </c>
      <c r="E1170" s="1">
        <v>0</v>
      </c>
      <c r="F1170" s="1">
        <v>0</v>
      </c>
      <c r="H1170" s="1">
        <v>0</v>
      </c>
    </row>
    <row r="1171" s="1" customFormat="1" spans="1:8">
      <c r="A1171" s="1" t="s">
        <v>8</v>
      </c>
      <c r="B1171" s="1" t="s">
        <v>19</v>
      </c>
      <c r="C1171" s="1" t="str">
        <f t="shared" si="23"/>
        <v>020058</v>
      </c>
      <c r="D1171" s="1" t="str">
        <f>"112204929"</f>
        <v>112204929</v>
      </c>
      <c r="E1171" s="1">
        <v>75.5</v>
      </c>
      <c r="F1171" s="1">
        <v>55</v>
      </c>
      <c r="H1171" s="1">
        <v>67.3</v>
      </c>
    </row>
    <row r="1172" s="1" customFormat="1" spans="1:8">
      <c r="A1172" s="1" t="s">
        <v>8</v>
      </c>
      <c r="B1172" s="1" t="s">
        <v>19</v>
      </c>
      <c r="C1172" s="1" t="str">
        <f t="shared" si="23"/>
        <v>020058</v>
      </c>
      <c r="D1172" s="1" t="str">
        <f>"112204930"</f>
        <v>112204930</v>
      </c>
      <c r="E1172" s="1">
        <v>67.5</v>
      </c>
      <c r="F1172" s="1">
        <v>75</v>
      </c>
      <c r="H1172" s="1">
        <v>70.5</v>
      </c>
    </row>
    <row r="1173" s="1" customFormat="1" spans="1:8">
      <c r="A1173" s="1" t="s">
        <v>8</v>
      </c>
      <c r="B1173" s="1" t="s">
        <v>19</v>
      </c>
      <c r="C1173" s="1" t="str">
        <f t="shared" si="23"/>
        <v>020058</v>
      </c>
      <c r="D1173" s="1" t="str">
        <f>"112205001"</f>
        <v>112205001</v>
      </c>
      <c r="E1173" s="1">
        <v>0</v>
      </c>
      <c r="F1173" s="1">
        <v>0</v>
      </c>
      <c r="H1173" s="1">
        <v>0</v>
      </c>
    </row>
    <row r="1174" s="1" customFormat="1" spans="1:8">
      <c r="A1174" s="1" t="s">
        <v>8</v>
      </c>
      <c r="B1174" s="1" t="s">
        <v>19</v>
      </c>
      <c r="C1174" s="1" t="str">
        <f t="shared" si="23"/>
        <v>020058</v>
      </c>
      <c r="D1174" s="1" t="str">
        <f>"112205002"</f>
        <v>112205002</v>
      </c>
      <c r="E1174" s="1">
        <v>77.5</v>
      </c>
      <c r="F1174" s="1">
        <v>56</v>
      </c>
      <c r="H1174" s="1">
        <v>68.9</v>
      </c>
    </row>
    <row r="1175" s="1" customFormat="1" spans="1:8">
      <c r="A1175" s="1" t="s">
        <v>8</v>
      </c>
      <c r="B1175" s="1" t="s">
        <v>19</v>
      </c>
      <c r="C1175" s="1" t="str">
        <f t="shared" si="23"/>
        <v>020058</v>
      </c>
      <c r="D1175" s="1" t="str">
        <f>"112205003"</f>
        <v>112205003</v>
      </c>
      <c r="E1175" s="1">
        <v>0</v>
      </c>
      <c r="F1175" s="1">
        <v>0</v>
      </c>
      <c r="H1175" s="1">
        <v>0</v>
      </c>
    </row>
    <row r="1176" s="1" customFormat="1" spans="1:8">
      <c r="A1176" s="1" t="s">
        <v>8</v>
      </c>
      <c r="B1176" s="1" t="s">
        <v>19</v>
      </c>
      <c r="C1176" s="1" t="str">
        <f t="shared" si="23"/>
        <v>020058</v>
      </c>
      <c r="D1176" s="1" t="str">
        <f>"112205004"</f>
        <v>112205004</v>
      </c>
      <c r="E1176" s="1">
        <v>59.5</v>
      </c>
      <c r="F1176" s="1">
        <v>57.5</v>
      </c>
      <c r="H1176" s="1">
        <v>58.7</v>
      </c>
    </row>
    <row r="1177" s="1" customFormat="1" spans="1:8">
      <c r="A1177" s="1" t="s">
        <v>8</v>
      </c>
      <c r="B1177" s="1" t="s">
        <v>19</v>
      </c>
      <c r="C1177" s="1" t="str">
        <f t="shared" si="23"/>
        <v>020058</v>
      </c>
      <c r="D1177" s="1" t="str">
        <f>"112205005"</f>
        <v>112205005</v>
      </c>
      <c r="E1177" s="1">
        <v>53.5</v>
      </c>
      <c r="F1177" s="1">
        <v>75</v>
      </c>
      <c r="H1177" s="1">
        <v>62.1</v>
      </c>
    </row>
    <row r="1178" s="1" customFormat="1" spans="1:8">
      <c r="A1178" s="1" t="s">
        <v>8</v>
      </c>
      <c r="B1178" s="1" t="s">
        <v>19</v>
      </c>
      <c r="C1178" s="1" t="str">
        <f t="shared" si="23"/>
        <v>020058</v>
      </c>
      <c r="D1178" s="1" t="str">
        <f>"112205006"</f>
        <v>112205006</v>
      </c>
      <c r="E1178" s="1">
        <v>63.5</v>
      </c>
      <c r="F1178" s="1">
        <v>54</v>
      </c>
      <c r="H1178" s="1">
        <v>59.7</v>
      </c>
    </row>
    <row r="1179" s="1" customFormat="1" spans="1:8">
      <c r="A1179" s="1" t="s">
        <v>8</v>
      </c>
      <c r="B1179" s="1" t="s">
        <v>19</v>
      </c>
      <c r="C1179" s="1" t="str">
        <f t="shared" si="23"/>
        <v>020058</v>
      </c>
      <c r="D1179" s="1" t="str">
        <f>"112205007"</f>
        <v>112205007</v>
      </c>
      <c r="E1179" s="1">
        <v>73.5</v>
      </c>
      <c r="F1179" s="1">
        <v>67.5</v>
      </c>
      <c r="H1179" s="1">
        <v>71.1</v>
      </c>
    </row>
    <row r="1180" s="1" customFormat="1" spans="1:8">
      <c r="A1180" s="1" t="s">
        <v>8</v>
      </c>
      <c r="B1180" s="1" t="s">
        <v>19</v>
      </c>
      <c r="C1180" s="1" t="str">
        <f t="shared" si="23"/>
        <v>020058</v>
      </c>
      <c r="D1180" s="1" t="str">
        <f>"112205008"</f>
        <v>112205008</v>
      </c>
      <c r="E1180" s="1">
        <v>71.5</v>
      </c>
      <c r="F1180" s="1">
        <v>66</v>
      </c>
      <c r="H1180" s="1">
        <v>69.3</v>
      </c>
    </row>
    <row r="1181" s="1" customFormat="1" spans="1:8">
      <c r="A1181" s="1" t="s">
        <v>8</v>
      </c>
      <c r="B1181" s="1" t="s">
        <v>19</v>
      </c>
      <c r="C1181" s="1" t="str">
        <f t="shared" si="23"/>
        <v>020058</v>
      </c>
      <c r="D1181" s="1" t="str">
        <f>"112205009"</f>
        <v>112205009</v>
      </c>
      <c r="E1181" s="1">
        <v>0</v>
      </c>
      <c r="F1181" s="1">
        <v>0</v>
      </c>
      <c r="H1181" s="1">
        <v>0</v>
      </c>
    </row>
    <row r="1182" s="1" customFormat="1" spans="1:8">
      <c r="A1182" s="1" t="s">
        <v>8</v>
      </c>
      <c r="B1182" s="1" t="s">
        <v>19</v>
      </c>
      <c r="C1182" s="1" t="str">
        <f t="shared" si="23"/>
        <v>020058</v>
      </c>
      <c r="D1182" s="1" t="str">
        <f>"112205010"</f>
        <v>112205010</v>
      </c>
      <c r="E1182" s="1">
        <v>53.5</v>
      </c>
      <c r="F1182" s="1">
        <v>51.5</v>
      </c>
      <c r="H1182" s="1">
        <v>52.7</v>
      </c>
    </row>
    <row r="1183" s="1" customFormat="1" spans="1:8">
      <c r="A1183" s="1" t="s">
        <v>8</v>
      </c>
      <c r="B1183" s="1" t="s">
        <v>19</v>
      </c>
      <c r="C1183" s="1" t="str">
        <f t="shared" si="23"/>
        <v>020058</v>
      </c>
      <c r="D1183" s="1" t="str">
        <f>"112205011"</f>
        <v>112205011</v>
      </c>
      <c r="E1183" s="1">
        <v>77.5</v>
      </c>
      <c r="F1183" s="1">
        <v>76.5</v>
      </c>
      <c r="H1183" s="1">
        <v>77.1</v>
      </c>
    </row>
    <row r="1184" s="1" customFormat="1" spans="1:8">
      <c r="A1184" s="1" t="s">
        <v>8</v>
      </c>
      <c r="B1184" s="1" t="s">
        <v>19</v>
      </c>
      <c r="C1184" s="1" t="str">
        <f t="shared" si="23"/>
        <v>020058</v>
      </c>
      <c r="D1184" s="1" t="str">
        <f>"112205012"</f>
        <v>112205012</v>
      </c>
      <c r="E1184" s="1">
        <v>55</v>
      </c>
      <c r="F1184" s="1">
        <v>61.5</v>
      </c>
      <c r="H1184" s="1">
        <v>57.6</v>
      </c>
    </row>
    <row r="1185" s="1" customFormat="1" spans="1:8">
      <c r="A1185" s="1" t="s">
        <v>10</v>
      </c>
      <c r="B1185" s="1" t="s">
        <v>19</v>
      </c>
      <c r="C1185" s="1" t="str">
        <f t="shared" ref="C1185:C1248" si="24">"020063"</f>
        <v>020063</v>
      </c>
      <c r="D1185" s="1" t="str">
        <f>"112205013"</f>
        <v>112205013</v>
      </c>
      <c r="E1185" s="1">
        <v>58</v>
      </c>
      <c r="F1185" s="1">
        <v>49.5</v>
      </c>
      <c r="H1185" s="1">
        <v>54.6</v>
      </c>
    </row>
    <row r="1186" s="1" customFormat="1" spans="1:8">
      <c r="A1186" s="1" t="s">
        <v>10</v>
      </c>
      <c r="B1186" s="1" t="s">
        <v>19</v>
      </c>
      <c r="C1186" s="1" t="str">
        <f t="shared" si="24"/>
        <v>020063</v>
      </c>
      <c r="D1186" s="1" t="str">
        <f>"112205014"</f>
        <v>112205014</v>
      </c>
      <c r="E1186" s="1">
        <v>71.5</v>
      </c>
      <c r="F1186" s="1">
        <v>73</v>
      </c>
      <c r="H1186" s="1">
        <v>72.1</v>
      </c>
    </row>
    <row r="1187" s="1" customFormat="1" spans="1:8">
      <c r="A1187" s="1" t="s">
        <v>10</v>
      </c>
      <c r="B1187" s="1" t="s">
        <v>19</v>
      </c>
      <c r="C1187" s="1" t="str">
        <f t="shared" si="24"/>
        <v>020063</v>
      </c>
      <c r="D1187" s="1" t="str">
        <f>"112205015"</f>
        <v>112205015</v>
      </c>
      <c r="E1187" s="1">
        <v>73</v>
      </c>
      <c r="F1187" s="1">
        <v>68.5</v>
      </c>
      <c r="H1187" s="1">
        <v>71.2</v>
      </c>
    </row>
    <row r="1188" s="1" customFormat="1" spans="1:8">
      <c r="A1188" s="1" t="s">
        <v>10</v>
      </c>
      <c r="B1188" s="1" t="s">
        <v>19</v>
      </c>
      <c r="C1188" s="1" t="str">
        <f t="shared" si="24"/>
        <v>020063</v>
      </c>
      <c r="D1188" s="1" t="str">
        <f>"112205016"</f>
        <v>112205016</v>
      </c>
      <c r="E1188" s="1">
        <v>77</v>
      </c>
      <c r="F1188" s="1">
        <v>61</v>
      </c>
      <c r="H1188" s="1">
        <v>70.6</v>
      </c>
    </row>
    <row r="1189" s="1" customFormat="1" spans="1:8">
      <c r="A1189" s="1" t="s">
        <v>10</v>
      </c>
      <c r="B1189" s="1" t="s">
        <v>19</v>
      </c>
      <c r="C1189" s="1" t="str">
        <f t="shared" si="24"/>
        <v>020063</v>
      </c>
      <c r="D1189" s="1" t="str">
        <f>"112205017"</f>
        <v>112205017</v>
      </c>
      <c r="E1189" s="1">
        <v>68</v>
      </c>
      <c r="F1189" s="1">
        <v>63</v>
      </c>
      <c r="H1189" s="1">
        <v>66</v>
      </c>
    </row>
    <row r="1190" s="1" customFormat="1" spans="1:8">
      <c r="A1190" s="1" t="s">
        <v>10</v>
      </c>
      <c r="B1190" s="1" t="s">
        <v>19</v>
      </c>
      <c r="C1190" s="1" t="str">
        <f t="shared" si="24"/>
        <v>020063</v>
      </c>
      <c r="D1190" s="1" t="str">
        <f>"112205018"</f>
        <v>112205018</v>
      </c>
      <c r="E1190" s="1">
        <v>0</v>
      </c>
      <c r="F1190" s="1">
        <v>0</v>
      </c>
      <c r="H1190" s="1">
        <v>0</v>
      </c>
    </row>
    <row r="1191" s="1" customFormat="1" spans="1:8">
      <c r="A1191" s="1" t="s">
        <v>10</v>
      </c>
      <c r="B1191" s="1" t="s">
        <v>19</v>
      </c>
      <c r="C1191" s="1" t="str">
        <f t="shared" si="24"/>
        <v>020063</v>
      </c>
      <c r="D1191" s="1" t="str">
        <f>"112205019"</f>
        <v>112205019</v>
      </c>
      <c r="E1191" s="1">
        <v>63.5</v>
      </c>
      <c r="F1191" s="1">
        <v>56.5</v>
      </c>
      <c r="H1191" s="1">
        <v>60.7</v>
      </c>
    </row>
    <row r="1192" s="1" customFormat="1" spans="1:8">
      <c r="A1192" s="1" t="s">
        <v>10</v>
      </c>
      <c r="B1192" s="1" t="s">
        <v>19</v>
      </c>
      <c r="C1192" s="1" t="str">
        <f t="shared" si="24"/>
        <v>020063</v>
      </c>
      <c r="D1192" s="1" t="str">
        <f>"112205020"</f>
        <v>112205020</v>
      </c>
      <c r="E1192" s="1">
        <v>58</v>
      </c>
      <c r="F1192" s="1">
        <v>61</v>
      </c>
      <c r="H1192" s="1">
        <v>59.2</v>
      </c>
    </row>
    <row r="1193" s="1" customFormat="1" spans="1:8">
      <c r="A1193" s="1" t="s">
        <v>10</v>
      </c>
      <c r="B1193" s="1" t="s">
        <v>19</v>
      </c>
      <c r="C1193" s="1" t="str">
        <f t="shared" si="24"/>
        <v>020063</v>
      </c>
      <c r="D1193" s="1" t="str">
        <f>"112205021"</f>
        <v>112205021</v>
      </c>
      <c r="E1193" s="1">
        <v>81.5</v>
      </c>
      <c r="F1193" s="1">
        <v>90.5</v>
      </c>
      <c r="H1193" s="1">
        <v>85.1</v>
      </c>
    </row>
    <row r="1194" s="1" customFormat="1" spans="1:8">
      <c r="A1194" s="1" t="s">
        <v>10</v>
      </c>
      <c r="B1194" s="1" t="s">
        <v>19</v>
      </c>
      <c r="C1194" s="1" t="str">
        <f t="shared" si="24"/>
        <v>020063</v>
      </c>
      <c r="D1194" s="1" t="str">
        <f>"112205022"</f>
        <v>112205022</v>
      </c>
      <c r="E1194" s="1">
        <v>75</v>
      </c>
      <c r="F1194" s="1">
        <v>85</v>
      </c>
      <c r="H1194" s="1">
        <v>79</v>
      </c>
    </row>
    <row r="1195" s="1" customFormat="1" spans="1:8">
      <c r="A1195" s="1" t="s">
        <v>10</v>
      </c>
      <c r="B1195" s="1" t="s">
        <v>19</v>
      </c>
      <c r="C1195" s="1" t="str">
        <f t="shared" si="24"/>
        <v>020063</v>
      </c>
      <c r="D1195" s="1" t="str">
        <f>"112205023"</f>
        <v>112205023</v>
      </c>
      <c r="E1195" s="1">
        <v>66</v>
      </c>
      <c r="F1195" s="1">
        <v>86.5</v>
      </c>
      <c r="H1195" s="1">
        <v>74.2</v>
      </c>
    </row>
    <row r="1196" s="1" customFormat="1" spans="1:8">
      <c r="A1196" s="1" t="s">
        <v>10</v>
      </c>
      <c r="B1196" s="1" t="s">
        <v>19</v>
      </c>
      <c r="C1196" s="1" t="str">
        <f t="shared" si="24"/>
        <v>020063</v>
      </c>
      <c r="D1196" s="1" t="str">
        <f>"112205024"</f>
        <v>112205024</v>
      </c>
      <c r="E1196" s="1">
        <v>81.5</v>
      </c>
      <c r="F1196" s="1">
        <v>88.5</v>
      </c>
      <c r="H1196" s="1">
        <v>84.3</v>
      </c>
    </row>
    <row r="1197" s="1" customFormat="1" spans="1:8">
      <c r="A1197" s="1" t="s">
        <v>10</v>
      </c>
      <c r="B1197" s="1" t="s">
        <v>19</v>
      </c>
      <c r="C1197" s="1" t="str">
        <f t="shared" si="24"/>
        <v>020063</v>
      </c>
      <c r="D1197" s="1" t="str">
        <f>"112205025"</f>
        <v>112205025</v>
      </c>
      <c r="E1197" s="1">
        <v>70</v>
      </c>
      <c r="F1197" s="1">
        <v>0</v>
      </c>
      <c r="H1197" s="1">
        <v>42</v>
      </c>
    </row>
    <row r="1198" s="1" customFormat="1" spans="1:8">
      <c r="A1198" s="1" t="s">
        <v>10</v>
      </c>
      <c r="B1198" s="1" t="s">
        <v>19</v>
      </c>
      <c r="C1198" s="1" t="str">
        <f t="shared" si="24"/>
        <v>020063</v>
      </c>
      <c r="D1198" s="1" t="str">
        <f>"112205026"</f>
        <v>112205026</v>
      </c>
      <c r="E1198" s="1">
        <v>50.5</v>
      </c>
      <c r="F1198" s="1">
        <v>65.5</v>
      </c>
      <c r="H1198" s="1">
        <v>56.5</v>
      </c>
    </row>
    <row r="1199" s="1" customFormat="1" spans="1:8">
      <c r="A1199" s="1" t="s">
        <v>10</v>
      </c>
      <c r="B1199" s="1" t="s">
        <v>19</v>
      </c>
      <c r="C1199" s="1" t="str">
        <f t="shared" si="24"/>
        <v>020063</v>
      </c>
      <c r="D1199" s="1" t="str">
        <f>"112205027"</f>
        <v>112205027</v>
      </c>
      <c r="E1199" s="1">
        <v>80</v>
      </c>
      <c r="F1199" s="1">
        <v>51.5</v>
      </c>
      <c r="H1199" s="1">
        <v>68.6</v>
      </c>
    </row>
    <row r="1200" s="1" customFormat="1" spans="1:8">
      <c r="A1200" s="1" t="s">
        <v>10</v>
      </c>
      <c r="B1200" s="1" t="s">
        <v>19</v>
      </c>
      <c r="C1200" s="1" t="str">
        <f t="shared" si="24"/>
        <v>020063</v>
      </c>
      <c r="D1200" s="1" t="str">
        <f>"112205028"</f>
        <v>112205028</v>
      </c>
      <c r="E1200" s="1">
        <v>66.5</v>
      </c>
      <c r="F1200" s="1">
        <v>62.5</v>
      </c>
      <c r="H1200" s="1">
        <v>64.9</v>
      </c>
    </row>
    <row r="1201" s="1" customFormat="1" spans="1:8">
      <c r="A1201" s="1" t="s">
        <v>10</v>
      </c>
      <c r="B1201" s="1" t="s">
        <v>19</v>
      </c>
      <c r="C1201" s="1" t="str">
        <f t="shared" si="24"/>
        <v>020063</v>
      </c>
      <c r="D1201" s="1" t="str">
        <f>"112205029"</f>
        <v>112205029</v>
      </c>
      <c r="E1201" s="1">
        <v>89</v>
      </c>
      <c r="F1201" s="1">
        <v>95</v>
      </c>
      <c r="H1201" s="1">
        <v>91.4</v>
      </c>
    </row>
    <row r="1202" s="1" customFormat="1" spans="1:8">
      <c r="A1202" s="1" t="s">
        <v>10</v>
      </c>
      <c r="B1202" s="1" t="s">
        <v>19</v>
      </c>
      <c r="C1202" s="1" t="str">
        <f t="shared" si="24"/>
        <v>020063</v>
      </c>
      <c r="D1202" s="1" t="str">
        <f>"112205030"</f>
        <v>112205030</v>
      </c>
      <c r="E1202" s="1">
        <v>71.5</v>
      </c>
      <c r="F1202" s="1">
        <v>59</v>
      </c>
      <c r="H1202" s="1">
        <v>66.5</v>
      </c>
    </row>
    <row r="1203" s="1" customFormat="1" spans="1:8">
      <c r="A1203" s="1" t="s">
        <v>10</v>
      </c>
      <c r="B1203" s="1" t="s">
        <v>19</v>
      </c>
      <c r="C1203" s="1" t="str">
        <f t="shared" si="24"/>
        <v>020063</v>
      </c>
      <c r="D1203" s="1" t="str">
        <f>"112205101"</f>
        <v>112205101</v>
      </c>
      <c r="E1203" s="1">
        <v>77</v>
      </c>
      <c r="F1203" s="1">
        <v>60</v>
      </c>
      <c r="H1203" s="1">
        <v>70.2</v>
      </c>
    </row>
    <row r="1204" s="1" customFormat="1" spans="1:8">
      <c r="A1204" s="1" t="s">
        <v>10</v>
      </c>
      <c r="B1204" s="1" t="s">
        <v>19</v>
      </c>
      <c r="C1204" s="1" t="str">
        <f t="shared" si="24"/>
        <v>020063</v>
      </c>
      <c r="D1204" s="1" t="str">
        <f>"112205102"</f>
        <v>112205102</v>
      </c>
      <c r="E1204" s="1">
        <v>73</v>
      </c>
      <c r="F1204" s="1">
        <v>87</v>
      </c>
      <c r="H1204" s="1">
        <v>78.6</v>
      </c>
    </row>
    <row r="1205" s="1" customFormat="1" spans="1:8">
      <c r="A1205" s="1" t="s">
        <v>10</v>
      </c>
      <c r="B1205" s="1" t="s">
        <v>19</v>
      </c>
      <c r="C1205" s="1" t="str">
        <f t="shared" si="24"/>
        <v>020063</v>
      </c>
      <c r="D1205" s="1" t="str">
        <f>"112205103"</f>
        <v>112205103</v>
      </c>
      <c r="E1205" s="1">
        <v>0</v>
      </c>
      <c r="F1205" s="1">
        <v>0</v>
      </c>
      <c r="H1205" s="1">
        <v>0</v>
      </c>
    </row>
    <row r="1206" s="1" customFormat="1" spans="1:8">
      <c r="A1206" s="1" t="s">
        <v>10</v>
      </c>
      <c r="B1206" s="1" t="s">
        <v>19</v>
      </c>
      <c r="C1206" s="1" t="str">
        <f t="shared" si="24"/>
        <v>020063</v>
      </c>
      <c r="D1206" s="1" t="str">
        <f>"112205104"</f>
        <v>112205104</v>
      </c>
      <c r="E1206" s="1">
        <v>73</v>
      </c>
      <c r="F1206" s="1">
        <v>73.5</v>
      </c>
      <c r="H1206" s="1">
        <v>73.2</v>
      </c>
    </row>
    <row r="1207" s="1" customFormat="1" spans="1:8">
      <c r="A1207" s="1" t="s">
        <v>10</v>
      </c>
      <c r="B1207" s="1" t="s">
        <v>19</v>
      </c>
      <c r="C1207" s="1" t="str">
        <f t="shared" si="24"/>
        <v>020063</v>
      </c>
      <c r="D1207" s="1" t="str">
        <f>"112205105"</f>
        <v>112205105</v>
      </c>
      <c r="E1207" s="1">
        <v>0</v>
      </c>
      <c r="F1207" s="1">
        <v>0</v>
      </c>
      <c r="H1207" s="1">
        <v>0</v>
      </c>
    </row>
    <row r="1208" s="1" customFormat="1" spans="1:8">
      <c r="A1208" s="1" t="s">
        <v>10</v>
      </c>
      <c r="B1208" s="1" t="s">
        <v>19</v>
      </c>
      <c r="C1208" s="1" t="str">
        <f t="shared" si="24"/>
        <v>020063</v>
      </c>
      <c r="D1208" s="1" t="str">
        <f>"112205106"</f>
        <v>112205106</v>
      </c>
      <c r="E1208" s="1">
        <v>0</v>
      </c>
      <c r="F1208" s="1">
        <v>0</v>
      </c>
      <c r="H1208" s="1">
        <v>0</v>
      </c>
    </row>
    <row r="1209" s="1" customFormat="1" spans="1:8">
      <c r="A1209" s="1" t="s">
        <v>10</v>
      </c>
      <c r="B1209" s="1" t="s">
        <v>19</v>
      </c>
      <c r="C1209" s="1" t="str">
        <f t="shared" si="24"/>
        <v>020063</v>
      </c>
      <c r="D1209" s="1" t="str">
        <f>"112205107"</f>
        <v>112205107</v>
      </c>
      <c r="E1209" s="1">
        <v>80</v>
      </c>
      <c r="F1209" s="1">
        <v>68.5</v>
      </c>
      <c r="H1209" s="1">
        <v>75.4</v>
      </c>
    </row>
    <row r="1210" s="1" customFormat="1" spans="1:8">
      <c r="A1210" s="1" t="s">
        <v>10</v>
      </c>
      <c r="B1210" s="1" t="s">
        <v>19</v>
      </c>
      <c r="C1210" s="1" t="str">
        <f t="shared" si="24"/>
        <v>020063</v>
      </c>
      <c r="D1210" s="1" t="str">
        <f>"112205108"</f>
        <v>112205108</v>
      </c>
      <c r="E1210" s="1">
        <v>75</v>
      </c>
      <c r="F1210" s="1">
        <v>47.5</v>
      </c>
      <c r="H1210" s="1">
        <v>64</v>
      </c>
    </row>
    <row r="1211" s="1" customFormat="1" spans="1:8">
      <c r="A1211" s="1" t="s">
        <v>10</v>
      </c>
      <c r="B1211" s="1" t="s">
        <v>19</v>
      </c>
      <c r="C1211" s="1" t="str">
        <f t="shared" si="24"/>
        <v>020063</v>
      </c>
      <c r="D1211" s="1" t="str">
        <f>"112205109"</f>
        <v>112205109</v>
      </c>
      <c r="E1211" s="1">
        <v>66</v>
      </c>
      <c r="F1211" s="1">
        <v>70</v>
      </c>
      <c r="H1211" s="1">
        <v>67.6</v>
      </c>
    </row>
    <row r="1212" s="1" customFormat="1" spans="1:8">
      <c r="A1212" s="1" t="s">
        <v>10</v>
      </c>
      <c r="B1212" s="1" t="s">
        <v>19</v>
      </c>
      <c r="C1212" s="1" t="str">
        <f t="shared" si="24"/>
        <v>020063</v>
      </c>
      <c r="D1212" s="1" t="str">
        <f>"112205110"</f>
        <v>112205110</v>
      </c>
      <c r="E1212" s="1">
        <v>68.5</v>
      </c>
      <c r="F1212" s="1">
        <v>65.5</v>
      </c>
      <c r="H1212" s="1">
        <v>67.3</v>
      </c>
    </row>
    <row r="1213" s="1" customFormat="1" spans="1:8">
      <c r="A1213" s="1" t="s">
        <v>10</v>
      </c>
      <c r="B1213" s="1" t="s">
        <v>19</v>
      </c>
      <c r="C1213" s="1" t="str">
        <f t="shared" si="24"/>
        <v>020063</v>
      </c>
      <c r="D1213" s="1" t="str">
        <f>"112205111"</f>
        <v>112205111</v>
      </c>
      <c r="E1213" s="1">
        <v>85</v>
      </c>
      <c r="F1213" s="1">
        <v>57.5</v>
      </c>
      <c r="H1213" s="1">
        <v>74</v>
      </c>
    </row>
    <row r="1214" s="1" customFormat="1" spans="1:8">
      <c r="A1214" s="1" t="s">
        <v>10</v>
      </c>
      <c r="B1214" s="1" t="s">
        <v>19</v>
      </c>
      <c r="C1214" s="1" t="str">
        <f t="shared" si="24"/>
        <v>020063</v>
      </c>
      <c r="D1214" s="1" t="str">
        <f>"112205112"</f>
        <v>112205112</v>
      </c>
      <c r="E1214" s="1">
        <v>71</v>
      </c>
      <c r="F1214" s="1">
        <v>76.5</v>
      </c>
      <c r="H1214" s="1">
        <v>73.2</v>
      </c>
    </row>
    <row r="1215" s="1" customFormat="1" spans="1:8">
      <c r="A1215" s="1" t="s">
        <v>10</v>
      </c>
      <c r="B1215" s="1" t="s">
        <v>19</v>
      </c>
      <c r="C1215" s="1" t="str">
        <f t="shared" si="24"/>
        <v>020063</v>
      </c>
      <c r="D1215" s="1" t="str">
        <f>"112205113"</f>
        <v>112205113</v>
      </c>
      <c r="E1215" s="1">
        <v>78</v>
      </c>
      <c r="F1215" s="1">
        <v>91</v>
      </c>
      <c r="H1215" s="1">
        <v>83.2</v>
      </c>
    </row>
    <row r="1216" s="1" customFormat="1" spans="1:8">
      <c r="A1216" s="1" t="s">
        <v>10</v>
      </c>
      <c r="B1216" s="1" t="s">
        <v>19</v>
      </c>
      <c r="C1216" s="1" t="str">
        <f t="shared" si="24"/>
        <v>020063</v>
      </c>
      <c r="D1216" s="1" t="str">
        <f>"112205114"</f>
        <v>112205114</v>
      </c>
      <c r="E1216" s="1">
        <v>90</v>
      </c>
      <c r="F1216" s="1">
        <v>87</v>
      </c>
      <c r="H1216" s="1">
        <v>88.8</v>
      </c>
    </row>
    <row r="1217" s="1" customFormat="1" spans="1:8">
      <c r="A1217" s="1" t="s">
        <v>10</v>
      </c>
      <c r="B1217" s="1" t="s">
        <v>19</v>
      </c>
      <c r="C1217" s="1" t="str">
        <f t="shared" si="24"/>
        <v>020063</v>
      </c>
      <c r="D1217" s="1" t="str">
        <f>"112205115"</f>
        <v>112205115</v>
      </c>
      <c r="E1217" s="1">
        <v>59</v>
      </c>
      <c r="F1217" s="1">
        <v>68</v>
      </c>
      <c r="H1217" s="1">
        <v>62.6</v>
      </c>
    </row>
    <row r="1218" s="1" customFormat="1" spans="1:8">
      <c r="A1218" s="1" t="s">
        <v>10</v>
      </c>
      <c r="B1218" s="1" t="s">
        <v>19</v>
      </c>
      <c r="C1218" s="1" t="str">
        <f t="shared" si="24"/>
        <v>020063</v>
      </c>
      <c r="D1218" s="1" t="str">
        <f>"112205116"</f>
        <v>112205116</v>
      </c>
      <c r="E1218" s="1">
        <v>63</v>
      </c>
      <c r="F1218" s="1">
        <v>66.5</v>
      </c>
      <c r="H1218" s="1">
        <v>64.4</v>
      </c>
    </row>
    <row r="1219" s="1" customFormat="1" spans="1:8">
      <c r="A1219" s="1" t="s">
        <v>10</v>
      </c>
      <c r="B1219" s="1" t="s">
        <v>19</v>
      </c>
      <c r="C1219" s="1" t="str">
        <f t="shared" si="24"/>
        <v>020063</v>
      </c>
      <c r="D1219" s="1" t="str">
        <f>"112205117"</f>
        <v>112205117</v>
      </c>
      <c r="E1219" s="1">
        <v>75</v>
      </c>
      <c r="F1219" s="1">
        <v>87</v>
      </c>
      <c r="H1219" s="1">
        <v>79.8</v>
      </c>
    </row>
    <row r="1220" s="1" customFormat="1" spans="1:8">
      <c r="A1220" s="1" t="s">
        <v>10</v>
      </c>
      <c r="B1220" s="1" t="s">
        <v>19</v>
      </c>
      <c r="C1220" s="1" t="str">
        <f t="shared" si="24"/>
        <v>020063</v>
      </c>
      <c r="D1220" s="1" t="str">
        <f>"112205118"</f>
        <v>112205118</v>
      </c>
      <c r="E1220" s="1">
        <v>87.5</v>
      </c>
      <c r="F1220" s="1">
        <v>85.5</v>
      </c>
      <c r="H1220" s="1">
        <v>86.7</v>
      </c>
    </row>
    <row r="1221" s="1" customFormat="1" spans="1:8">
      <c r="A1221" s="1" t="s">
        <v>10</v>
      </c>
      <c r="B1221" s="1" t="s">
        <v>19</v>
      </c>
      <c r="C1221" s="1" t="str">
        <f t="shared" si="24"/>
        <v>020063</v>
      </c>
      <c r="D1221" s="1" t="str">
        <f>"112205119"</f>
        <v>112205119</v>
      </c>
      <c r="E1221" s="1">
        <v>60</v>
      </c>
      <c r="F1221" s="1">
        <v>72.5</v>
      </c>
      <c r="H1221" s="1">
        <v>65</v>
      </c>
    </row>
    <row r="1222" s="1" customFormat="1" spans="1:8">
      <c r="A1222" s="1" t="s">
        <v>10</v>
      </c>
      <c r="B1222" s="1" t="s">
        <v>19</v>
      </c>
      <c r="C1222" s="1" t="str">
        <f t="shared" si="24"/>
        <v>020063</v>
      </c>
      <c r="D1222" s="1" t="str">
        <f>"112205120"</f>
        <v>112205120</v>
      </c>
      <c r="E1222" s="1">
        <v>0</v>
      </c>
      <c r="F1222" s="1">
        <v>0</v>
      </c>
      <c r="H1222" s="1">
        <v>0</v>
      </c>
    </row>
    <row r="1223" s="1" customFormat="1" spans="1:8">
      <c r="A1223" s="1" t="s">
        <v>10</v>
      </c>
      <c r="B1223" s="1" t="s">
        <v>19</v>
      </c>
      <c r="C1223" s="1" t="str">
        <f t="shared" si="24"/>
        <v>020063</v>
      </c>
      <c r="D1223" s="1" t="str">
        <f>"112205121"</f>
        <v>112205121</v>
      </c>
      <c r="E1223" s="1">
        <v>61</v>
      </c>
      <c r="F1223" s="1">
        <v>55</v>
      </c>
      <c r="H1223" s="1">
        <v>58.6</v>
      </c>
    </row>
    <row r="1224" s="1" customFormat="1" spans="1:8">
      <c r="A1224" s="1" t="s">
        <v>10</v>
      </c>
      <c r="B1224" s="1" t="s">
        <v>19</v>
      </c>
      <c r="C1224" s="1" t="str">
        <f t="shared" si="24"/>
        <v>020063</v>
      </c>
      <c r="D1224" s="1" t="str">
        <f>"112205122"</f>
        <v>112205122</v>
      </c>
      <c r="E1224" s="1">
        <v>79</v>
      </c>
      <c r="F1224" s="1">
        <v>84</v>
      </c>
      <c r="H1224" s="1">
        <v>81</v>
      </c>
    </row>
    <row r="1225" s="1" customFormat="1" spans="1:8">
      <c r="A1225" s="1" t="s">
        <v>10</v>
      </c>
      <c r="B1225" s="1" t="s">
        <v>19</v>
      </c>
      <c r="C1225" s="1" t="str">
        <f t="shared" si="24"/>
        <v>020063</v>
      </c>
      <c r="D1225" s="1" t="str">
        <f>"112205123"</f>
        <v>112205123</v>
      </c>
      <c r="E1225" s="1">
        <v>73.5</v>
      </c>
      <c r="F1225" s="1">
        <v>94.5</v>
      </c>
      <c r="H1225" s="1">
        <v>81.9</v>
      </c>
    </row>
    <row r="1226" s="1" customFormat="1" spans="1:8">
      <c r="A1226" s="1" t="s">
        <v>10</v>
      </c>
      <c r="B1226" s="1" t="s">
        <v>19</v>
      </c>
      <c r="C1226" s="1" t="str">
        <f t="shared" si="24"/>
        <v>020063</v>
      </c>
      <c r="D1226" s="1" t="str">
        <f>"112205124"</f>
        <v>112205124</v>
      </c>
      <c r="E1226" s="1">
        <v>89</v>
      </c>
      <c r="F1226" s="1">
        <v>84</v>
      </c>
      <c r="H1226" s="1">
        <v>87</v>
      </c>
    </row>
    <row r="1227" s="1" customFormat="1" spans="1:8">
      <c r="A1227" s="1" t="s">
        <v>10</v>
      </c>
      <c r="B1227" s="1" t="s">
        <v>19</v>
      </c>
      <c r="C1227" s="1" t="str">
        <f t="shared" si="24"/>
        <v>020063</v>
      </c>
      <c r="D1227" s="1" t="str">
        <f>"112205125"</f>
        <v>112205125</v>
      </c>
      <c r="E1227" s="1">
        <v>83.5</v>
      </c>
      <c r="F1227" s="1">
        <v>70</v>
      </c>
      <c r="H1227" s="1">
        <v>78.1</v>
      </c>
    </row>
    <row r="1228" s="1" customFormat="1" spans="1:8">
      <c r="A1228" s="1" t="s">
        <v>10</v>
      </c>
      <c r="B1228" s="1" t="s">
        <v>19</v>
      </c>
      <c r="C1228" s="1" t="str">
        <f t="shared" si="24"/>
        <v>020063</v>
      </c>
      <c r="D1228" s="1" t="str">
        <f>"112205126"</f>
        <v>112205126</v>
      </c>
      <c r="E1228" s="1">
        <v>0</v>
      </c>
      <c r="F1228" s="1">
        <v>0</v>
      </c>
      <c r="H1228" s="1">
        <v>0</v>
      </c>
    </row>
    <row r="1229" s="1" customFormat="1" spans="1:8">
      <c r="A1229" s="1" t="s">
        <v>10</v>
      </c>
      <c r="B1229" s="1" t="s">
        <v>19</v>
      </c>
      <c r="C1229" s="1" t="str">
        <f t="shared" si="24"/>
        <v>020063</v>
      </c>
      <c r="D1229" s="1" t="str">
        <f>"112205127"</f>
        <v>112205127</v>
      </c>
      <c r="E1229" s="1">
        <v>70</v>
      </c>
      <c r="F1229" s="1">
        <v>61</v>
      </c>
      <c r="H1229" s="1">
        <v>66.4</v>
      </c>
    </row>
    <row r="1230" s="1" customFormat="1" spans="1:8">
      <c r="A1230" s="1" t="s">
        <v>10</v>
      </c>
      <c r="B1230" s="1" t="s">
        <v>19</v>
      </c>
      <c r="C1230" s="1" t="str">
        <f t="shared" si="24"/>
        <v>020063</v>
      </c>
      <c r="D1230" s="1" t="str">
        <f>"112205128"</f>
        <v>112205128</v>
      </c>
      <c r="E1230" s="1">
        <v>60.5</v>
      </c>
      <c r="F1230" s="1">
        <v>72.5</v>
      </c>
      <c r="H1230" s="1">
        <v>65.3</v>
      </c>
    </row>
    <row r="1231" s="1" customFormat="1" spans="1:8">
      <c r="A1231" s="1" t="s">
        <v>10</v>
      </c>
      <c r="B1231" s="1" t="s">
        <v>19</v>
      </c>
      <c r="C1231" s="1" t="str">
        <f t="shared" si="24"/>
        <v>020063</v>
      </c>
      <c r="D1231" s="1" t="str">
        <f>"112205129"</f>
        <v>112205129</v>
      </c>
      <c r="E1231" s="1">
        <v>48.5</v>
      </c>
      <c r="F1231" s="1">
        <v>43.5</v>
      </c>
      <c r="H1231" s="1">
        <v>46.5</v>
      </c>
    </row>
    <row r="1232" s="1" customFormat="1" spans="1:8">
      <c r="A1232" s="1" t="s">
        <v>10</v>
      </c>
      <c r="B1232" s="1" t="s">
        <v>19</v>
      </c>
      <c r="C1232" s="1" t="str">
        <f t="shared" si="24"/>
        <v>020063</v>
      </c>
      <c r="D1232" s="1" t="str">
        <f>"112205130"</f>
        <v>112205130</v>
      </c>
      <c r="E1232" s="1">
        <v>75</v>
      </c>
      <c r="F1232" s="1">
        <v>79</v>
      </c>
      <c r="H1232" s="1">
        <v>76.6</v>
      </c>
    </row>
    <row r="1233" s="1" customFormat="1" spans="1:8">
      <c r="A1233" s="1" t="s">
        <v>10</v>
      </c>
      <c r="B1233" s="1" t="s">
        <v>19</v>
      </c>
      <c r="C1233" s="1" t="str">
        <f t="shared" si="24"/>
        <v>020063</v>
      </c>
      <c r="D1233" s="1" t="str">
        <f>"112205201"</f>
        <v>112205201</v>
      </c>
      <c r="E1233" s="1">
        <v>62</v>
      </c>
      <c r="F1233" s="1">
        <v>70.5</v>
      </c>
      <c r="H1233" s="1">
        <v>65.4</v>
      </c>
    </row>
    <row r="1234" s="1" customFormat="1" spans="1:8">
      <c r="A1234" s="1" t="s">
        <v>10</v>
      </c>
      <c r="B1234" s="1" t="s">
        <v>19</v>
      </c>
      <c r="C1234" s="1" t="str">
        <f t="shared" si="24"/>
        <v>020063</v>
      </c>
      <c r="D1234" s="1" t="str">
        <f>"112205202"</f>
        <v>112205202</v>
      </c>
      <c r="E1234" s="1">
        <v>62.5</v>
      </c>
      <c r="F1234" s="1">
        <v>61</v>
      </c>
      <c r="H1234" s="1">
        <v>61.9</v>
      </c>
    </row>
    <row r="1235" s="1" customFormat="1" spans="1:8">
      <c r="A1235" s="1" t="s">
        <v>10</v>
      </c>
      <c r="B1235" s="1" t="s">
        <v>19</v>
      </c>
      <c r="C1235" s="1" t="str">
        <f t="shared" si="24"/>
        <v>020063</v>
      </c>
      <c r="D1235" s="1" t="str">
        <f>"112205203"</f>
        <v>112205203</v>
      </c>
      <c r="E1235" s="1">
        <v>68.5</v>
      </c>
      <c r="F1235" s="1">
        <v>65.5</v>
      </c>
      <c r="H1235" s="1">
        <v>67.3</v>
      </c>
    </row>
    <row r="1236" s="1" customFormat="1" spans="1:8">
      <c r="A1236" s="1" t="s">
        <v>10</v>
      </c>
      <c r="B1236" s="1" t="s">
        <v>19</v>
      </c>
      <c r="C1236" s="1" t="str">
        <f t="shared" si="24"/>
        <v>020063</v>
      </c>
      <c r="D1236" s="1" t="str">
        <f>"112205204"</f>
        <v>112205204</v>
      </c>
      <c r="E1236" s="1">
        <v>66</v>
      </c>
      <c r="F1236" s="1">
        <v>74.5</v>
      </c>
      <c r="H1236" s="1">
        <v>69.4</v>
      </c>
    </row>
    <row r="1237" s="1" customFormat="1" spans="1:8">
      <c r="A1237" s="1" t="s">
        <v>10</v>
      </c>
      <c r="B1237" s="1" t="s">
        <v>19</v>
      </c>
      <c r="C1237" s="1" t="str">
        <f t="shared" si="24"/>
        <v>020063</v>
      </c>
      <c r="D1237" s="1" t="str">
        <f>"112205205"</f>
        <v>112205205</v>
      </c>
      <c r="E1237" s="1">
        <v>0</v>
      </c>
      <c r="F1237" s="1">
        <v>0</v>
      </c>
      <c r="H1237" s="1">
        <v>0</v>
      </c>
    </row>
    <row r="1238" s="1" customFormat="1" spans="1:8">
      <c r="A1238" s="1" t="s">
        <v>10</v>
      </c>
      <c r="B1238" s="1" t="s">
        <v>19</v>
      </c>
      <c r="C1238" s="1" t="str">
        <f t="shared" si="24"/>
        <v>020063</v>
      </c>
      <c r="D1238" s="1" t="str">
        <f>"112205206"</f>
        <v>112205206</v>
      </c>
      <c r="E1238" s="1">
        <v>74.5</v>
      </c>
      <c r="F1238" s="1">
        <v>76.5</v>
      </c>
      <c r="H1238" s="1">
        <v>75.3</v>
      </c>
    </row>
    <row r="1239" s="1" customFormat="1" spans="1:8">
      <c r="A1239" s="1" t="s">
        <v>10</v>
      </c>
      <c r="B1239" s="1" t="s">
        <v>19</v>
      </c>
      <c r="C1239" s="1" t="str">
        <f t="shared" si="24"/>
        <v>020063</v>
      </c>
      <c r="D1239" s="1" t="str">
        <f>"112205207"</f>
        <v>112205207</v>
      </c>
      <c r="E1239" s="1">
        <v>0</v>
      </c>
      <c r="F1239" s="1">
        <v>0</v>
      </c>
      <c r="H1239" s="1">
        <v>0</v>
      </c>
    </row>
    <row r="1240" s="1" customFormat="1" spans="1:8">
      <c r="A1240" s="1" t="s">
        <v>10</v>
      </c>
      <c r="B1240" s="1" t="s">
        <v>19</v>
      </c>
      <c r="C1240" s="1" t="str">
        <f t="shared" si="24"/>
        <v>020063</v>
      </c>
      <c r="D1240" s="1" t="str">
        <f>"112205208"</f>
        <v>112205208</v>
      </c>
      <c r="E1240" s="1">
        <v>54</v>
      </c>
      <c r="F1240" s="1">
        <v>42</v>
      </c>
      <c r="H1240" s="1">
        <v>49.2</v>
      </c>
    </row>
    <row r="1241" s="1" customFormat="1" spans="1:8">
      <c r="A1241" s="1" t="s">
        <v>10</v>
      </c>
      <c r="B1241" s="1" t="s">
        <v>19</v>
      </c>
      <c r="C1241" s="1" t="str">
        <f t="shared" si="24"/>
        <v>020063</v>
      </c>
      <c r="D1241" s="1" t="str">
        <f>"112205209"</f>
        <v>112205209</v>
      </c>
      <c r="E1241" s="1">
        <v>0</v>
      </c>
      <c r="F1241" s="1">
        <v>0</v>
      </c>
      <c r="H1241" s="1">
        <v>0</v>
      </c>
    </row>
    <row r="1242" s="1" customFormat="1" spans="1:8">
      <c r="A1242" s="1" t="s">
        <v>10</v>
      </c>
      <c r="B1242" s="1" t="s">
        <v>19</v>
      </c>
      <c r="C1242" s="1" t="str">
        <f t="shared" si="24"/>
        <v>020063</v>
      </c>
      <c r="D1242" s="1" t="str">
        <f>"112205210"</f>
        <v>112205210</v>
      </c>
      <c r="E1242" s="1">
        <v>63.5</v>
      </c>
      <c r="F1242" s="1">
        <v>84.5</v>
      </c>
      <c r="H1242" s="1">
        <v>71.9</v>
      </c>
    </row>
    <row r="1243" s="1" customFormat="1" spans="1:8">
      <c r="A1243" s="1" t="s">
        <v>10</v>
      </c>
      <c r="B1243" s="1" t="s">
        <v>19</v>
      </c>
      <c r="C1243" s="1" t="str">
        <f t="shared" si="24"/>
        <v>020063</v>
      </c>
      <c r="D1243" s="1" t="str">
        <f>"112205211"</f>
        <v>112205211</v>
      </c>
      <c r="E1243" s="1">
        <v>0</v>
      </c>
      <c r="F1243" s="1">
        <v>0</v>
      </c>
      <c r="H1243" s="1">
        <v>0</v>
      </c>
    </row>
    <row r="1244" s="1" customFormat="1" spans="1:8">
      <c r="A1244" s="1" t="s">
        <v>10</v>
      </c>
      <c r="B1244" s="1" t="s">
        <v>19</v>
      </c>
      <c r="C1244" s="1" t="str">
        <f t="shared" si="24"/>
        <v>020063</v>
      </c>
      <c r="D1244" s="1" t="str">
        <f>"112205212"</f>
        <v>112205212</v>
      </c>
      <c r="E1244" s="1">
        <v>71.5</v>
      </c>
      <c r="F1244" s="1">
        <v>79</v>
      </c>
      <c r="H1244" s="1">
        <v>74.5</v>
      </c>
    </row>
    <row r="1245" s="1" customFormat="1" spans="1:8">
      <c r="A1245" s="1" t="s">
        <v>10</v>
      </c>
      <c r="B1245" s="1" t="s">
        <v>19</v>
      </c>
      <c r="C1245" s="1" t="str">
        <f t="shared" si="24"/>
        <v>020063</v>
      </c>
      <c r="D1245" s="1" t="str">
        <f>"112205213"</f>
        <v>112205213</v>
      </c>
      <c r="E1245" s="1">
        <v>74.5</v>
      </c>
      <c r="F1245" s="1">
        <v>69.5</v>
      </c>
      <c r="H1245" s="1">
        <v>72.5</v>
      </c>
    </row>
    <row r="1246" s="1" customFormat="1" spans="1:8">
      <c r="A1246" s="1" t="s">
        <v>10</v>
      </c>
      <c r="B1246" s="1" t="s">
        <v>19</v>
      </c>
      <c r="C1246" s="1" t="str">
        <f t="shared" si="24"/>
        <v>020063</v>
      </c>
      <c r="D1246" s="1" t="str">
        <f>"112205214"</f>
        <v>112205214</v>
      </c>
      <c r="E1246" s="1">
        <v>0</v>
      </c>
      <c r="F1246" s="1">
        <v>0</v>
      </c>
      <c r="H1246" s="1">
        <v>0</v>
      </c>
    </row>
    <row r="1247" s="1" customFormat="1" spans="1:8">
      <c r="A1247" s="1" t="s">
        <v>10</v>
      </c>
      <c r="B1247" s="1" t="s">
        <v>19</v>
      </c>
      <c r="C1247" s="1" t="str">
        <f t="shared" si="24"/>
        <v>020063</v>
      </c>
      <c r="D1247" s="1" t="str">
        <f>"112205215"</f>
        <v>112205215</v>
      </c>
      <c r="E1247" s="1">
        <v>0</v>
      </c>
      <c r="F1247" s="1">
        <v>0</v>
      </c>
      <c r="H1247" s="1">
        <v>0</v>
      </c>
    </row>
    <row r="1248" s="1" customFormat="1" spans="1:8">
      <c r="A1248" s="1" t="s">
        <v>10</v>
      </c>
      <c r="B1248" s="1" t="s">
        <v>19</v>
      </c>
      <c r="C1248" s="1" t="str">
        <f t="shared" si="24"/>
        <v>020063</v>
      </c>
      <c r="D1248" s="1" t="str">
        <f>"112205216"</f>
        <v>112205216</v>
      </c>
      <c r="E1248" s="1">
        <v>79</v>
      </c>
      <c r="F1248" s="1">
        <v>54</v>
      </c>
      <c r="H1248" s="1">
        <v>69</v>
      </c>
    </row>
    <row r="1249" s="1" customFormat="1" spans="1:8">
      <c r="A1249" s="1" t="s">
        <v>10</v>
      </c>
      <c r="B1249" s="1" t="s">
        <v>19</v>
      </c>
      <c r="C1249" s="1" t="str">
        <f t="shared" ref="C1249:C1291" si="25">"020063"</f>
        <v>020063</v>
      </c>
      <c r="D1249" s="1" t="str">
        <f>"112205217"</f>
        <v>112205217</v>
      </c>
      <c r="E1249" s="1">
        <v>52.5</v>
      </c>
      <c r="F1249" s="1">
        <v>52.5</v>
      </c>
      <c r="H1249" s="1">
        <v>52.5</v>
      </c>
    </row>
    <row r="1250" s="1" customFormat="1" spans="1:8">
      <c r="A1250" s="1" t="s">
        <v>10</v>
      </c>
      <c r="B1250" s="1" t="s">
        <v>19</v>
      </c>
      <c r="C1250" s="1" t="str">
        <f t="shared" si="25"/>
        <v>020063</v>
      </c>
      <c r="D1250" s="1" t="str">
        <f>"112205218"</f>
        <v>112205218</v>
      </c>
      <c r="E1250" s="1">
        <v>64</v>
      </c>
      <c r="F1250" s="1">
        <v>68</v>
      </c>
      <c r="H1250" s="1">
        <v>65.6</v>
      </c>
    </row>
    <row r="1251" s="1" customFormat="1" spans="1:8">
      <c r="A1251" s="1" t="s">
        <v>10</v>
      </c>
      <c r="B1251" s="1" t="s">
        <v>19</v>
      </c>
      <c r="C1251" s="1" t="str">
        <f t="shared" si="25"/>
        <v>020063</v>
      </c>
      <c r="D1251" s="1" t="str">
        <f>"112205219"</f>
        <v>112205219</v>
      </c>
      <c r="E1251" s="1">
        <v>65</v>
      </c>
      <c r="F1251" s="1">
        <v>85</v>
      </c>
      <c r="H1251" s="1">
        <v>73</v>
      </c>
    </row>
    <row r="1252" s="1" customFormat="1" spans="1:8">
      <c r="A1252" s="1" t="s">
        <v>10</v>
      </c>
      <c r="B1252" s="1" t="s">
        <v>19</v>
      </c>
      <c r="C1252" s="1" t="str">
        <f t="shared" si="25"/>
        <v>020063</v>
      </c>
      <c r="D1252" s="1" t="str">
        <f>"112205220"</f>
        <v>112205220</v>
      </c>
      <c r="E1252" s="1">
        <v>0</v>
      </c>
      <c r="F1252" s="1">
        <v>0</v>
      </c>
      <c r="H1252" s="1">
        <v>0</v>
      </c>
    </row>
    <row r="1253" s="1" customFormat="1" spans="1:8">
      <c r="A1253" s="1" t="s">
        <v>10</v>
      </c>
      <c r="B1253" s="1" t="s">
        <v>19</v>
      </c>
      <c r="C1253" s="1" t="str">
        <f t="shared" si="25"/>
        <v>020063</v>
      </c>
      <c r="D1253" s="1" t="str">
        <f>"112205221"</f>
        <v>112205221</v>
      </c>
      <c r="E1253" s="1">
        <v>54</v>
      </c>
      <c r="F1253" s="1">
        <v>60</v>
      </c>
      <c r="H1253" s="1">
        <v>56.4</v>
      </c>
    </row>
    <row r="1254" s="1" customFormat="1" spans="1:8">
      <c r="A1254" s="1" t="s">
        <v>10</v>
      </c>
      <c r="B1254" s="1" t="s">
        <v>19</v>
      </c>
      <c r="C1254" s="1" t="str">
        <f t="shared" si="25"/>
        <v>020063</v>
      </c>
      <c r="D1254" s="1" t="str">
        <f>"112205222"</f>
        <v>112205222</v>
      </c>
      <c r="E1254" s="1">
        <v>53</v>
      </c>
      <c r="F1254" s="1">
        <v>0</v>
      </c>
      <c r="H1254" s="1">
        <v>31.8</v>
      </c>
    </row>
    <row r="1255" s="1" customFormat="1" spans="1:8">
      <c r="A1255" s="1" t="s">
        <v>10</v>
      </c>
      <c r="B1255" s="1" t="s">
        <v>19</v>
      </c>
      <c r="C1255" s="1" t="str">
        <f t="shared" si="25"/>
        <v>020063</v>
      </c>
      <c r="D1255" s="1" t="str">
        <f>"112205223"</f>
        <v>112205223</v>
      </c>
      <c r="E1255" s="1">
        <v>75</v>
      </c>
      <c r="F1255" s="1">
        <v>66.5</v>
      </c>
      <c r="H1255" s="1">
        <v>71.6</v>
      </c>
    </row>
    <row r="1256" s="1" customFormat="1" spans="1:8">
      <c r="A1256" s="1" t="s">
        <v>10</v>
      </c>
      <c r="B1256" s="1" t="s">
        <v>19</v>
      </c>
      <c r="C1256" s="1" t="str">
        <f t="shared" si="25"/>
        <v>020063</v>
      </c>
      <c r="D1256" s="1" t="str">
        <f>"112205224"</f>
        <v>112205224</v>
      </c>
      <c r="E1256" s="1">
        <v>76</v>
      </c>
      <c r="F1256" s="1">
        <v>81.5</v>
      </c>
      <c r="H1256" s="1">
        <v>78.2</v>
      </c>
    </row>
    <row r="1257" s="1" customFormat="1" spans="1:8">
      <c r="A1257" s="1" t="s">
        <v>10</v>
      </c>
      <c r="B1257" s="1" t="s">
        <v>19</v>
      </c>
      <c r="C1257" s="1" t="str">
        <f t="shared" si="25"/>
        <v>020063</v>
      </c>
      <c r="D1257" s="1" t="str">
        <f>"112205225"</f>
        <v>112205225</v>
      </c>
      <c r="E1257" s="1">
        <v>74</v>
      </c>
      <c r="F1257" s="1">
        <v>88</v>
      </c>
      <c r="H1257" s="1">
        <v>79.6</v>
      </c>
    </row>
    <row r="1258" s="1" customFormat="1" spans="1:8">
      <c r="A1258" s="1" t="s">
        <v>10</v>
      </c>
      <c r="B1258" s="1" t="s">
        <v>19</v>
      </c>
      <c r="C1258" s="1" t="str">
        <f t="shared" si="25"/>
        <v>020063</v>
      </c>
      <c r="D1258" s="1" t="str">
        <f>"112205226"</f>
        <v>112205226</v>
      </c>
      <c r="E1258" s="1">
        <v>81</v>
      </c>
      <c r="F1258" s="1">
        <v>89</v>
      </c>
      <c r="H1258" s="1">
        <v>84.2</v>
      </c>
    </row>
    <row r="1259" s="1" customFormat="1" spans="1:8">
      <c r="A1259" s="1" t="s">
        <v>10</v>
      </c>
      <c r="B1259" s="1" t="s">
        <v>19</v>
      </c>
      <c r="C1259" s="1" t="str">
        <f t="shared" si="25"/>
        <v>020063</v>
      </c>
      <c r="D1259" s="1" t="str">
        <f>"112205227"</f>
        <v>112205227</v>
      </c>
      <c r="E1259" s="1">
        <v>57.5</v>
      </c>
      <c r="F1259" s="1">
        <v>56.5</v>
      </c>
      <c r="H1259" s="1">
        <v>57.1</v>
      </c>
    </row>
    <row r="1260" s="1" customFormat="1" spans="1:8">
      <c r="A1260" s="1" t="s">
        <v>10</v>
      </c>
      <c r="B1260" s="1" t="s">
        <v>19</v>
      </c>
      <c r="C1260" s="1" t="str">
        <f t="shared" si="25"/>
        <v>020063</v>
      </c>
      <c r="D1260" s="1" t="str">
        <f>"112205228"</f>
        <v>112205228</v>
      </c>
      <c r="E1260" s="1">
        <v>0</v>
      </c>
      <c r="F1260" s="1">
        <v>0</v>
      </c>
      <c r="H1260" s="1">
        <v>0</v>
      </c>
    </row>
    <row r="1261" s="1" customFormat="1" spans="1:8">
      <c r="A1261" s="1" t="s">
        <v>10</v>
      </c>
      <c r="B1261" s="1" t="s">
        <v>19</v>
      </c>
      <c r="C1261" s="1" t="str">
        <f t="shared" si="25"/>
        <v>020063</v>
      </c>
      <c r="D1261" s="1" t="str">
        <f>"112205229"</f>
        <v>112205229</v>
      </c>
      <c r="E1261" s="1">
        <v>0</v>
      </c>
      <c r="F1261" s="1">
        <v>0</v>
      </c>
      <c r="H1261" s="1">
        <v>0</v>
      </c>
    </row>
    <row r="1262" s="1" customFormat="1" spans="1:8">
      <c r="A1262" s="1" t="s">
        <v>10</v>
      </c>
      <c r="B1262" s="1" t="s">
        <v>19</v>
      </c>
      <c r="C1262" s="1" t="str">
        <f t="shared" si="25"/>
        <v>020063</v>
      </c>
      <c r="D1262" s="1" t="str">
        <f>"112205230"</f>
        <v>112205230</v>
      </c>
      <c r="E1262" s="1">
        <v>66</v>
      </c>
      <c r="F1262" s="1">
        <v>59.5</v>
      </c>
      <c r="H1262" s="1">
        <v>63.4</v>
      </c>
    </row>
    <row r="1263" s="1" customFormat="1" spans="1:8">
      <c r="A1263" s="1" t="s">
        <v>10</v>
      </c>
      <c r="B1263" s="1" t="s">
        <v>19</v>
      </c>
      <c r="C1263" s="1" t="str">
        <f t="shared" si="25"/>
        <v>020063</v>
      </c>
      <c r="D1263" s="1" t="str">
        <f>"112205301"</f>
        <v>112205301</v>
      </c>
      <c r="E1263" s="1">
        <v>57</v>
      </c>
      <c r="F1263" s="1">
        <v>58.5</v>
      </c>
      <c r="H1263" s="1">
        <v>57.6</v>
      </c>
    </row>
    <row r="1264" s="1" customFormat="1" spans="1:8">
      <c r="A1264" s="1" t="s">
        <v>10</v>
      </c>
      <c r="B1264" s="1" t="s">
        <v>19</v>
      </c>
      <c r="C1264" s="1" t="str">
        <f t="shared" si="25"/>
        <v>020063</v>
      </c>
      <c r="D1264" s="1" t="str">
        <f>"112205302"</f>
        <v>112205302</v>
      </c>
      <c r="E1264" s="1">
        <v>76</v>
      </c>
      <c r="F1264" s="1">
        <v>84.5</v>
      </c>
      <c r="H1264" s="1">
        <v>79.4</v>
      </c>
    </row>
    <row r="1265" s="1" customFormat="1" spans="1:8">
      <c r="A1265" s="1" t="s">
        <v>10</v>
      </c>
      <c r="B1265" s="1" t="s">
        <v>19</v>
      </c>
      <c r="C1265" s="1" t="str">
        <f t="shared" si="25"/>
        <v>020063</v>
      </c>
      <c r="D1265" s="1" t="str">
        <f>"112205303"</f>
        <v>112205303</v>
      </c>
      <c r="E1265" s="1">
        <v>79.5</v>
      </c>
      <c r="F1265" s="1">
        <v>95</v>
      </c>
      <c r="H1265" s="1">
        <v>85.7</v>
      </c>
    </row>
    <row r="1266" s="1" customFormat="1" spans="1:8">
      <c r="A1266" s="1" t="s">
        <v>10</v>
      </c>
      <c r="B1266" s="1" t="s">
        <v>19</v>
      </c>
      <c r="C1266" s="1" t="str">
        <f t="shared" si="25"/>
        <v>020063</v>
      </c>
      <c r="D1266" s="1" t="str">
        <f>"112205304"</f>
        <v>112205304</v>
      </c>
      <c r="E1266" s="1">
        <v>60.5</v>
      </c>
      <c r="F1266" s="1">
        <v>60</v>
      </c>
      <c r="H1266" s="1">
        <v>60.3</v>
      </c>
    </row>
    <row r="1267" s="1" customFormat="1" spans="1:8">
      <c r="A1267" s="1" t="s">
        <v>10</v>
      </c>
      <c r="B1267" s="1" t="s">
        <v>19</v>
      </c>
      <c r="C1267" s="1" t="str">
        <f t="shared" si="25"/>
        <v>020063</v>
      </c>
      <c r="D1267" s="1" t="str">
        <f>"112205305"</f>
        <v>112205305</v>
      </c>
      <c r="E1267" s="1">
        <v>79</v>
      </c>
      <c r="F1267" s="1">
        <v>80</v>
      </c>
      <c r="H1267" s="1">
        <v>79.4</v>
      </c>
    </row>
    <row r="1268" s="1" customFormat="1" spans="1:8">
      <c r="A1268" s="1" t="s">
        <v>10</v>
      </c>
      <c r="B1268" s="1" t="s">
        <v>19</v>
      </c>
      <c r="C1268" s="1" t="str">
        <f t="shared" si="25"/>
        <v>020063</v>
      </c>
      <c r="D1268" s="1" t="str">
        <f>"112205306"</f>
        <v>112205306</v>
      </c>
      <c r="E1268" s="1">
        <v>86.5</v>
      </c>
      <c r="F1268" s="1">
        <v>89.5</v>
      </c>
      <c r="H1268" s="1">
        <v>87.7</v>
      </c>
    </row>
    <row r="1269" s="1" customFormat="1" spans="1:8">
      <c r="A1269" s="1" t="s">
        <v>10</v>
      </c>
      <c r="B1269" s="1" t="s">
        <v>19</v>
      </c>
      <c r="C1269" s="1" t="str">
        <f t="shared" si="25"/>
        <v>020063</v>
      </c>
      <c r="D1269" s="1" t="str">
        <f>"112205307"</f>
        <v>112205307</v>
      </c>
      <c r="E1269" s="1">
        <v>69</v>
      </c>
      <c r="F1269" s="1">
        <v>76.5</v>
      </c>
      <c r="H1269" s="1">
        <v>72</v>
      </c>
    </row>
    <row r="1270" s="1" customFormat="1" spans="1:8">
      <c r="A1270" s="1" t="s">
        <v>10</v>
      </c>
      <c r="B1270" s="1" t="s">
        <v>19</v>
      </c>
      <c r="C1270" s="1" t="str">
        <f t="shared" si="25"/>
        <v>020063</v>
      </c>
      <c r="D1270" s="1" t="str">
        <f>"112205308"</f>
        <v>112205308</v>
      </c>
      <c r="E1270" s="1">
        <v>78</v>
      </c>
      <c r="F1270" s="1">
        <v>72</v>
      </c>
      <c r="H1270" s="1">
        <v>75.6</v>
      </c>
    </row>
    <row r="1271" s="1" customFormat="1" spans="1:8">
      <c r="A1271" s="1" t="s">
        <v>10</v>
      </c>
      <c r="B1271" s="1" t="s">
        <v>19</v>
      </c>
      <c r="C1271" s="1" t="str">
        <f t="shared" si="25"/>
        <v>020063</v>
      </c>
      <c r="D1271" s="1" t="str">
        <f>"112205309"</f>
        <v>112205309</v>
      </c>
      <c r="E1271" s="1">
        <v>72</v>
      </c>
      <c r="F1271" s="1">
        <v>72.5</v>
      </c>
      <c r="H1271" s="1">
        <v>72.2</v>
      </c>
    </row>
    <row r="1272" s="1" customFormat="1" spans="1:8">
      <c r="A1272" s="1" t="s">
        <v>10</v>
      </c>
      <c r="B1272" s="1" t="s">
        <v>19</v>
      </c>
      <c r="C1272" s="1" t="str">
        <f t="shared" si="25"/>
        <v>020063</v>
      </c>
      <c r="D1272" s="1" t="str">
        <f>"112205310"</f>
        <v>112205310</v>
      </c>
      <c r="E1272" s="1">
        <v>64</v>
      </c>
      <c r="F1272" s="1">
        <v>38.5</v>
      </c>
      <c r="H1272" s="1">
        <v>53.8</v>
      </c>
    </row>
    <row r="1273" s="1" customFormat="1" spans="1:8">
      <c r="A1273" s="1" t="s">
        <v>10</v>
      </c>
      <c r="B1273" s="1" t="s">
        <v>19</v>
      </c>
      <c r="C1273" s="1" t="str">
        <f t="shared" si="25"/>
        <v>020063</v>
      </c>
      <c r="D1273" s="1" t="str">
        <f>"112205311"</f>
        <v>112205311</v>
      </c>
      <c r="E1273" s="1">
        <v>78</v>
      </c>
      <c r="F1273" s="1">
        <v>79.5</v>
      </c>
      <c r="H1273" s="1">
        <v>78.6</v>
      </c>
    </row>
    <row r="1274" s="1" customFormat="1" spans="1:8">
      <c r="A1274" s="1" t="s">
        <v>10</v>
      </c>
      <c r="B1274" s="1" t="s">
        <v>19</v>
      </c>
      <c r="C1274" s="1" t="str">
        <f t="shared" si="25"/>
        <v>020063</v>
      </c>
      <c r="D1274" s="1" t="str">
        <f>"112205312"</f>
        <v>112205312</v>
      </c>
      <c r="E1274" s="1">
        <v>0</v>
      </c>
      <c r="F1274" s="1">
        <v>0</v>
      </c>
      <c r="H1274" s="1">
        <v>0</v>
      </c>
    </row>
    <row r="1275" s="1" customFormat="1" spans="1:8">
      <c r="A1275" s="1" t="s">
        <v>10</v>
      </c>
      <c r="B1275" s="1" t="s">
        <v>19</v>
      </c>
      <c r="C1275" s="1" t="str">
        <f t="shared" si="25"/>
        <v>020063</v>
      </c>
      <c r="D1275" s="1" t="str">
        <f>"112205313"</f>
        <v>112205313</v>
      </c>
      <c r="E1275" s="1">
        <v>58</v>
      </c>
      <c r="F1275" s="1">
        <v>75</v>
      </c>
      <c r="H1275" s="1">
        <v>64.8</v>
      </c>
    </row>
    <row r="1276" s="1" customFormat="1" spans="1:8">
      <c r="A1276" s="1" t="s">
        <v>10</v>
      </c>
      <c r="B1276" s="1" t="s">
        <v>19</v>
      </c>
      <c r="C1276" s="1" t="str">
        <f t="shared" si="25"/>
        <v>020063</v>
      </c>
      <c r="D1276" s="1" t="str">
        <f>"112205314"</f>
        <v>112205314</v>
      </c>
      <c r="E1276" s="1">
        <v>69.5</v>
      </c>
      <c r="F1276" s="1">
        <v>53.5</v>
      </c>
      <c r="H1276" s="1">
        <v>63.1</v>
      </c>
    </row>
    <row r="1277" s="1" customFormat="1" spans="1:8">
      <c r="A1277" s="1" t="s">
        <v>10</v>
      </c>
      <c r="B1277" s="1" t="s">
        <v>19</v>
      </c>
      <c r="C1277" s="1" t="str">
        <f t="shared" si="25"/>
        <v>020063</v>
      </c>
      <c r="D1277" s="1" t="str">
        <f>"112205315"</f>
        <v>112205315</v>
      </c>
      <c r="E1277" s="1">
        <v>69</v>
      </c>
      <c r="F1277" s="1">
        <v>65</v>
      </c>
      <c r="H1277" s="1">
        <v>67.4</v>
      </c>
    </row>
    <row r="1278" s="1" customFormat="1" spans="1:8">
      <c r="A1278" s="1" t="s">
        <v>10</v>
      </c>
      <c r="B1278" s="1" t="s">
        <v>19</v>
      </c>
      <c r="C1278" s="1" t="str">
        <f t="shared" si="25"/>
        <v>020063</v>
      </c>
      <c r="D1278" s="1" t="str">
        <f>"112205316"</f>
        <v>112205316</v>
      </c>
      <c r="E1278" s="1">
        <v>0</v>
      </c>
      <c r="F1278" s="1">
        <v>0</v>
      </c>
      <c r="H1278" s="1">
        <v>0</v>
      </c>
    </row>
    <row r="1279" s="1" customFormat="1" spans="1:8">
      <c r="A1279" s="1" t="s">
        <v>10</v>
      </c>
      <c r="B1279" s="1" t="s">
        <v>19</v>
      </c>
      <c r="C1279" s="1" t="str">
        <f t="shared" si="25"/>
        <v>020063</v>
      </c>
      <c r="D1279" s="1" t="str">
        <f>"112205317"</f>
        <v>112205317</v>
      </c>
      <c r="E1279" s="1">
        <v>69</v>
      </c>
      <c r="F1279" s="1">
        <v>51</v>
      </c>
      <c r="H1279" s="1">
        <v>61.8</v>
      </c>
    </row>
    <row r="1280" s="1" customFormat="1" spans="1:8">
      <c r="A1280" s="1" t="s">
        <v>10</v>
      </c>
      <c r="B1280" s="1" t="s">
        <v>19</v>
      </c>
      <c r="C1280" s="1" t="str">
        <f t="shared" si="25"/>
        <v>020063</v>
      </c>
      <c r="D1280" s="1" t="str">
        <f>"112205318"</f>
        <v>112205318</v>
      </c>
      <c r="E1280" s="1">
        <v>74.5</v>
      </c>
      <c r="F1280" s="1">
        <v>74.5</v>
      </c>
      <c r="H1280" s="1">
        <v>74.5</v>
      </c>
    </row>
    <row r="1281" s="1" customFormat="1" spans="1:8">
      <c r="A1281" s="1" t="s">
        <v>10</v>
      </c>
      <c r="B1281" s="1" t="s">
        <v>19</v>
      </c>
      <c r="C1281" s="1" t="str">
        <f t="shared" si="25"/>
        <v>020063</v>
      </c>
      <c r="D1281" s="1" t="str">
        <f>"112205319"</f>
        <v>112205319</v>
      </c>
      <c r="E1281" s="1">
        <v>74</v>
      </c>
      <c r="F1281" s="1">
        <v>75</v>
      </c>
      <c r="H1281" s="1">
        <v>74.4</v>
      </c>
    </row>
    <row r="1282" s="1" customFormat="1" spans="1:8">
      <c r="A1282" s="1" t="s">
        <v>10</v>
      </c>
      <c r="B1282" s="1" t="s">
        <v>19</v>
      </c>
      <c r="C1282" s="1" t="str">
        <f t="shared" si="25"/>
        <v>020063</v>
      </c>
      <c r="D1282" s="1" t="str">
        <f>"112205320"</f>
        <v>112205320</v>
      </c>
      <c r="E1282" s="1">
        <v>63</v>
      </c>
      <c r="F1282" s="1">
        <v>62.5</v>
      </c>
      <c r="H1282" s="1">
        <v>62.8</v>
      </c>
    </row>
    <row r="1283" s="1" customFormat="1" spans="1:8">
      <c r="A1283" s="1" t="s">
        <v>10</v>
      </c>
      <c r="B1283" s="1" t="s">
        <v>19</v>
      </c>
      <c r="C1283" s="1" t="str">
        <f t="shared" si="25"/>
        <v>020063</v>
      </c>
      <c r="D1283" s="1" t="str">
        <f>"112205321"</f>
        <v>112205321</v>
      </c>
      <c r="E1283" s="1">
        <v>57</v>
      </c>
      <c r="F1283" s="1">
        <v>65.5</v>
      </c>
      <c r="H1283" s="1">
        <v>60.4</v>
      </c>
    </row>
    <row r="1284" s="1" customFormat="1" spans="1:8">
      <c r="A1284" s="1" t="s">
        <v>10</v>
      </c>
      <c r="B1284" s="1" t="s">
        <v>19</v>
      </c>
      <c r="C1284" s="1" t="str">
        <f t="shared" si="25"/>
        <v>020063</v>
      </c>
      <c r="D1284" s="1" t="str">
        <f>"112205322"</f>
        <v>112205322</v>
      </c>
      <c r="E1284" s="1">
        <v>0</v>
      </c>
      <c r="F1284" s="1">
        <v>0</v>
      </c>
      <c r="H1284" s="1">
        <v>0</v>
      </c>
    </row>
    <row r="1285" s="1" customFormat="1" spans="1:8">
      <c r="A1285" s="1" t="s">
        <v>10</v>
      </c>
      <c r="B1285" s="1" t="s">
        <v>19</v>
      </c>
      <c r="C1285" s="1" t="str">
        <f t="shared" si="25"/>
        <v>020063</v>
      </c>
      <c r="D1285" s="1" t="str">
        <f>"112205323"</f>
        <v>112205323</v>
      </c>
      <c r="E1285" s="1">
        <v>0</v>
      </c>
      <c r="F1285" s="1">
        <v>0</v>
      </c>
      <c r="H1285" s="1">
        <v>0</v>
      </c>
    </row>
    <row r="1286" s="1" customFormat="1" spans="1:8">
      <c r="A1286" s="1" t="s">
        <v>10</v>
      </c>
      <c r="B1286" s="1" t="s">
        <v>19</v>
      </c>
      <c r="C1286" s="1" t="str">
        <f t="shared" si="25"/>
        <v>020063</v>
      </c>
      <c r="D1286" s="1" t="str">
        <f>"112205324"</f>
        <v>112205324</v>
      </c>
      <c r="E1286" s="1">
        <v>65.5</v>
      </c>
      <c r="F1286" s="1">
        <v>75</v>
      </c>
      <c r="H1286" s="1">
        <v>69.3</v>
      </c>
    </row>
    <row r="1287" s="1" customFormat="1" spans="1:8">
      <c r="A1287" s="1" t="s">
        <v>10</v>
      </c>
      <c r="B1287" s="1" t="s">
        <v>19</v>
      </c>
      <c r="C1287" s="1" t="str">
        <f t="shared" si="25"/>
        <v>020063</v>
      </c>
      <c r="D1287" s="1" t="str">
        <f>"112205325"</f>
        <v>112205325</v>
      </c>
      <c r="E1287" s="1">
        <v>75.5</v>
      </c>
      <c r="F1287" s="1">
        <v>73.5</v>
      </c>
      <c r="H1287" s="1">
        <v>74.7</v>
      </c>
    </row>
    <row r="1288" s="1" customFormat="1" spans="1:8">
      <c r="A1288" s="1" t="s">
        <v>10</v>
      </c>
      <c r="B1288" s="1" t="s">
        <v>19</v>
      </c>
      <c r="C1288" s="1" t="str">
        <f t="shared" si="25"/>
        <v>020063</v>
      </c>
      <c r="D1288" s="1" t="str">
        <f>"112205326"</f>
        <v>112205326</v>
      </c>
      <c r="E1288" s="1">
        <v>0</v>
      </c>
      <c r="F1288" s="1">
        <v>0</v>
      </c>
      <c r="H1288" s="1">
        <v>0</v>
      </c>
    </row>
    <row r="1289" s="1" customFormat="1" spans="1:8">
      <c r="A1289" s="1" t="s">
        <v>10</v>
      </c>
      <c r="B1289" s="1" t="s">
        <v>19</v>
      </c>
      <c r="C1289" s="1" t="str">
        <f t="shared" si="25"/>
        <v>020063</v>
      </c>
      <c r="D1289" s="1" t="str">
        <f>"112205327"</f>
        <v>112205327</v>
      </c>
      <c r="E1289" s="1">
        <v>0</v>
      </c>
      <c r="F1289" s="1">
        <v>0</v>
      </c>
      <c r="H1289" s="1">
        <v>0</v>
      </c>
    </row>
    <row r="1290" s="1" customFormat="1" spans="1:8">
      <c r="A1290" s="1" t="s">
        <v>10</v>
      </c>
      <c r="B1290" s="1" t="s">
        <v>19</v>
      </c>
      <c r="C1290" s="1" t="str">
        <f t="shared" si="25"/>
        <v>020063</v>
      </c>
      <c r="D1290" s="1" t="str">
        <f>"112205328"</f>
        <v>112205328</v>
      </c>
      <c r="E1290" s="1">
        <v>75</v>
      </c>
      <c r="F1290" s="1">
        <v>87</v>
      </c>
      <c r="H1290" s="1">
        <v>79.8</v>
      </c>
    </row>
    <row r="1291" s="1" customFormat="1" spans="1:8">
      <c r="A1291" s="1" t="s">
        <v>10</v>
      </c>
      <c r="B1291" s="1" t="s">
        <v>19</v>
      </c>
      <c r="C1291" s="1" t="str">
        <f t="shared" si="25"/>
        <v>020063</v>
      </c>
      <c r="D1291" s="1" t="str">
        <f>"112205329"</f>
        <v>112205329</v>
      </c>
      <c r="E1291" s="1">
        <v>75</v>
      </c>
      <c r="F1291" s="1">
        <v>67.5</v>
      </c>
      <c r="H1291" s="1">
        <v>72</v>
      </c>
    </row>
    <row r="1292" s="1" customFormat="1" spans="1:8">
      <c r="A1292" s="1" t="s">
        <v>11</v>
      </c>
      <c r="B1292" s="1" t="s">
        <v>19</v>
      </c>
      <c r="C1292" s="1" t="str">
        <f t="shared" ref="C1292:C1355" si="26">"020068"</f>
        <v>020068</v>
      </c>
      <c r="D1292" s="1" t="str">
        <f>"112205330"</f>
        <v>112205330</v>
      </c>
      <c r="E1292" s="1">
        <v>0</v>
      </c>
      <c r="F1292" s="1">
        <v>0</v>
      </c>
      <c r="H1292" s="1">
        <v>0</v>
      </c>
    </row>
    <row r="1293" s="1" customFormat="1" spans="1:8">
      <c r="A1293" s="1" t="s">
        <v>11</v>
      </c>
      <c r="B1293" s="1" t="s">
        <v>19</v>
      </c>
      <c r="C1293" s="1" t="str">
        <f t="shared" si="26"/>
        <v>020068</v>
      </c>
      <c r="D1293" s="1" t="str">
        <f>"112205401"</f>
        <v>112205401</v>
      </c>
      <c r="E1293" s="1">
        <v>0</v>
      </c>
      <c r="F1293" s="1">
        <v>90.5</v>
      </c>
      <c r="H1293" s="1">
        <v>36.2</v>
      </c>
    </row>
    <row r="1294" s="1" customFormat="1" spans="1:8">
      <c r="A1294" s="1" t="s">
        <v>11</v>
      </c>
      <c r="B1294" s="1" t="s">
        <v>19</v>
      </c>
      <c r="C1294" s="1" t="str">
        <f t="shared" si="26"/>
        <v>020068</v>
      </c>
      <c r="D1294" s="1" t="str">
        <f>"112205402"</f>
        <v>112205402</v>
      </c>
      <c r="E1294" s="1">
        <v>72.5</v>
      </c>
      <c r="F1294" s="1">
        <v>67.5</v>
      </c>
      <c r="H1294" s="1">
        <v>70.5</v>
      </c>
    </row>
    <row r="1295" s="1" customFormat="1" spans="1:8">
      <c r="A1295" s="1" t="s">
        <v>11</v>
      </c>
      <c r="B1295" s="1" t="s">
        <v>19</v>
      </c>
      <c r="C1295" s="1" t="str">
        <f t="shared" si="26"/>
        <v>020068</v>
      </c>
      <c r="D1295" s="1" t="str">
        <f>"112205403"</f>
        <v>112205403</v>
      </c>
      <c r="E1295" s="1">
        <v>0</v>
      </c>
      <c r="F1295" s="1">
        <v>0</v>
      </c>
      <c r="H1295" s="1">
        <v>0</v>
      </c>
    </row>
    <row r="1296" s="1" customFormat="1" spans="1:8">
      <c r="A1296" s="1" t="s">
        <v>11</v>
      </c>
      <c r="B1296" s="1" t="s">
        <v>19</v>
      </c>
      <c r="C1296" s="1" t="str">
        <f t="shared" si="26"/>
        <v>020068</v>
      </c>
      <c r="D1296" s="1" t="str">
        <f>"112205404"</f>
        <v>112205404</v>
      </c>
      <c r="E1296" s="1">
        <v>90</v>
      </c>
      <c r="F1296" s="1">
        <v>98</v>
      </c>
      <c r="H1296" s="1">
        <v>93.2</v>
      </c>
    </row>
    <row r="1297" s="1" customFormat="1" spans="1:8">
      <c r="A1297" s="1" t="s">
        <v>11</v>
      </c>
      <c r="B1297" s="1" t="s">
        <v>19</v>
      </c>
      <c r="C1297" s="1" t="str">
        <f t="shared" si="26"/>
        <v>020068</v>
      </c>
      <c r="D1297" s="1" t="str">
        <f>"112205405"</f>
        <v>112205405</v>
      </c>
      <c r="E1297" s="1">
        <v>73.5</v>
      </c>
      <c r="F1297" s="1">
        <v>73</v>
      </c>
      <c r="H1297" s="1">
        <v>73.3</v>
      </c>
    </row>
    <row r="1298" s="1" customFormat="1" spans="1:8">
      <c r="A1298" s="1" t="s">
        <v>11</v>
      </c>
      <c r="B1298" s="1" t="s">
        <v>19</v>
      </c>
      <c r="C1298" s="1" t="str">
        <f t="shared" si="26"/>
        <v>020068</v>
      </c>
      <c r="D1298" s="1" t="str">
        <f>"112205406"</f>
        <v>112205406</v>
      </c>
      <c r="E1298" s="1">
        <v>59</v>
      </c>
      <c r="F1298" s="1">
        <v>66</v>
      </c>
      <c r="H1298" s="1">
        <v>61.8</v>
      </c>
    </row>
    <row r="1299" s="1" customFormat="1" spans="1:8">
      <c r="A1299" s="1" t="s">
        <v>11</v>
      </c>
      <c r="B1299" s="1" t="s">
        <v>19</v>
      </c>
      <c r="C1299" s="1" t="str">
        <f t="shared" si="26"/>
        <v>020068</v>
      </c>
      <c r="D1299" s="1" t="str">
        <f>"112205407"</f>
        <v>112205407</v>
      </c>
      <c r="E1299" s="1">
        <v>56</v>
      </c>
      <c r="F1299" s="1">
        <v>54.5</v>
      </c>
      <c r="H1299" s="1">
        <v>55.4</v>
      </c>
    </row>
    <row r="1300" s="1" customFormat="1" spans="1:8">
      <c r="A1300" s="1" t="s">
        <v>11</v>
      </c>
      <c r="B1300" s="1" t="s">
        <v>19</v>
      </c>
      <c r="C1300" s="1" t="str">
        <f t="shared" si="26"/>
        <v>020068</v>
      </c>
      <c r="D1300" s="1" t="str">
        <f>"112205408"</f>
        <v>112205408</v>
      </c>
      <c r="E1300" s="1">
        <v>65.5</v>
      </c>
      <c r="F1300" s="1">
        <v>67.5</v>
      </c>
      <c r="H1300" s="1">
        <v>66.3</v>
      </c>
    </row>
    <row r="1301" s="1" customFormat="1" spans="1:8">
      <c r="A1301" s="1" t="s">
        <v>11</v>
      </c>
      <c r="B1301" s="1" t="s">
        <v>19</v>
      </c>
      <c r="C1301" s="1" t="str">
        <f t="shared" si="26"/>
        <v>020068</v>
      </c>
      <c r="D1301" s="1" t="str">
        <f>"112205409"</f>
        <v>112205409</v>
      </c>
      <c r="E1301" s="1">
        <v>87</v>
      </c>
      <c r="F1301" s="1">
        <v>94</v>
      </c>
      <c r="H1301" s="1">
        <v>89.8</v>
      </c>
    </row>
    <row r="1302" s="1" customFormat="1" spans="1:8">
      <c r="A1302" s="1" t="s">
        <v>11</v>
      </c>
      <c r="B1302" s="1" t="s">
        <v>19</v>
      </c>
      <c r="C1302" s="1" t="str">
        <f t="shared" si="26"/>
        <v>020068</v>
      </c>
      <c r="D1302" s="1" t="str">
        <f>"112205410"</f>
        <v>112205410</v>
      </c>
      <c r="E1302" s="1">
        <v>75.5</v>
      </c>
      <c r="F1302" s="1">
        <v>74</v>
      </c>
      <c r="H1302" s="1">
        <v>74.9</v>
      </c>
    </row>
    <row r="1303" s="1" customFormat="1" spans="1:8">
      <c r="A1303" s="1" t="s">
        <v>11</v>
      </c>
      <c r="B1303" s="1" t="s">
        <v>19</v>
      </c>
      <c r="C1303" s="1" t="str">
        <f t="shared" si="26"/>
        <v>020068</v>
      </c>
      <c r="D1303" s="1" t="str">
        <f>"112205411"</f>
        <v>112205411</v>
      </c>
      <c r="E1303" s="1">
        <v>70</v>
      </c>
      <c r="F1303" s="1">
        <v>59.5</v>
      </c>
      <c r="H1303" s="1">
        <v>65.8</v>
      </c>
    </row>
    <row r="1304" s="1" customFormat="1" spans="1:8">
      <c r="A1304" s="1" t="s">
        <v>11</v>
      </c>
      <c r="B1304" s="1" t="s">
        <v>19</v>
      </c>
      <c r="C1304" s="1" t="str">
        <f t="shared" si="26"/>
        <v>020068</v>
      </c>
      <c r="D1304" s="1" t="str">
        <f>"112205412"</f>
        <v>112205412</v>
      </c>
      <c r="E1304" s="1">
        <v>90</v>
      </c>
      <c r="F1304" s="1">
        <v>94</v>
      </c>
      <c r="H1304" s="1">
        <v>91.6</v>
      </c>
    </row>
    <row r="1305" s="1" customFormat="1" spans="1:8">
      <c r="A1305" s="1" t="s">
        <v>11</v>
      </c>
      <c r="B1305" s="1" t="s">
        <v>19</v>
      </c>
      <c r="C1305" s="1" t="str">
        <f t="shared" si="26"/>
        <v>020068</v>
      </c>
      <c r="D1305" s="1" t="str">
        <f>"112205413"</f>
        <v>112205413</v>
      </c>
      <c r="E1305" s="1">
        <v>0</v>
      </c>
      <c r="F1305" s="1">
        <v>0</v>
      </c>
      <c r="H1305" s="1">
        <v>0</v>
      </c>
    </row>
    <row r="1306" s="1" customFormat="1" spans="1:8">
      <c r="A1306" s="1" t="s">
        <v>11</v>
      </c>
      <c r="B1306" s="1" t="s">
        <v>19</v>
      </c>
      <c r="C1306" s="1" t="str">
        <f t="shared" si="26"/>
        <v>020068</v>
      </c>
      <c r="D1306" s="1" t="str">
        <f>"112205414"</f>
        <v>112205414</v>
      </c>
      <c r="E1306" s="1">
        <v>0</v>
      </c>
      <c r="F1306" s="1">
        <v>0</v>
      </c>
      <c r="H1306" s="1">
        <v>0</v>
      </c>
    </row>
    <row r="1307" s="1" customFormat="1" spans="1:8">
      <c r="A1307" s="1" t="s">
        <v>11</v>
      </c>
      <c r="B1307" s="1" t="s">
        <v>19</v>
      </c>
      <c r="C1307" s="1" t="str">
        <f t="shared" si="26"/>
        <v>020068</v>
      </c>
      <c r="D1307" s="1" t="str">
        <f>"112205415"</f>
        <v>112205415</v>
      </c>
      <c r="E1307" s="1">
        <v>0</v>
      </c>
      <c r="F1307" s="1">
        <v>0</v>
      </c>
      <c r="H1307" s="1">
        <v>0</v>
      </c>
    </row>
    <row r="1308" s="1" customFormat="1" spans="1:8">
      <c r="A1308" s="1" t="s">
        <v>11</v>
      </c>
      <c r="B1308" s="1" t="s">
        <v>19</v>
      </c>
      <c r="C1308" s="1" t="str">
        <f t="shared" si="26"/>
        <v>020068</v>
      </c>
      <c r="D1308" s="1" t="str">
        <f>"112205416"</f>
        <v>112205416</v>
      </c>
      <c r="E1308" s="1">
        <v>65</v>
      </c>
      <c r="F1308" s="1">
        <v>76</v>
      </c>
      <c r="H1308" s="1">
        <v>69.4</v>
      </c>
    </row>
    <row r="1309" s="1" customFormat="1" spans="1:8">
      <c r="A1309" s="1" t="s">
        <v>11</v>
      </c>
      <c r="B1309" s="1" t="s">
        <v>19</v>
      </c>
      <c r="C1309" s="1" t="str">
        <f t="shared" si="26"/>
        <v>020068</v>
      </c>
      <c r="D1309" s="1" t="str">
        <f>"112205417"</f>
        <v>112205417</v>
      </c>
      <c r="E1309" s="1">
        <v>0</v>
      </c>
      <c r="F1309" s="1">
        <v>0</v>
      </c>
      <c r="H1309" s="1">
        <v>0</v>
      </c>
    </row>
    <row r="1310" s="1" customFormat="1" spans="1:8">
      <c r="A1310" s="1" t="s">
        <v>11</v>
      </c>
      <c r="B1310" s="1" t="s">
        <v>19</v>
      </c>
      <c r="C1310" s="1" t="str">
        <f t="shared" si="26"/>
        <v>020068</v>
      </c>
      <c r="D1310" s="1" t="str">
        <f>"112205418"</f>
        <v>112205418</v>
      </c>
      <c r="E1310" s="1">
        <v>67</v>
      </c>
      <c r="F1310" s="1">
        <v>61.5</v>
      </c>
      <c r="H1310" s="1">
        <v>64.8</v>
      </c>
    </row>
    <row r="1311" s="1" customFormat="1" spans="1:8">
      <c r="A1311" s="1" t="s">
        <v>11</v>
      </c>
      <c r="B1311" s="1" t="s">
        <v>19</v>
      </c>
      <c r="C1311" s="1" t="str">
        <f t="shared" si="26"/>
        <v>020068</v>
      </c>
      <c r="D1311" s="1" t="str">
        <f>"112205419"</f>
        <v>112205419</v>
      </c>
      <c r="E1311" s="1">
        <v>74</v>
      </c>
      <c r="F1311" s="1">
        <v>80.5</v>
      </c>
      <c r="H1311" s="1">
        <v>76.6</v>
      </c>
    </row>
    <row r="1312" s="1" customFormat="1" spans="1:8">
      <c r="A1312" s="1" t="s">
        <v>11</v>
      </c>
      <c r="B1312" s="1" t="s">
        <v>19</v>
      </c>
      <c r="C1312" s="1" t="str">
        <f t="shared" si="26"/>
        <v>020068</v>
      </c>
      <c r="D1312" s="1" t="str">
        <f>"112205420"</f>
        <v>112205420</v>
      </c>
      <c r="E1312" s="1">
        <v>59.5</v>
      </c>
      <c r="F1312" s="1">
        <v>59</v>
      </c>
      <c r="H1312" s="1">
        <v>59.3</v>
      </c>
    </row>
    <row r="1313" s="1" customFormat="1" spans="1:8">
      <c r="A1313" s="1" t="s">
        <v>11</v>
      </c>
      <c r="B1313" s="1" t="s">
        <v>19</v>
      </c>
      <c r="C1313" s="1" t="str">
        <f t="shared" si="26"/>
        <v>020068</v>
      </c>
      <c r="D1313" s="1" t="str">
        <f>"112205421"</f>
        <v>112205421</v>
      </c>
      <c r="E1313" s="1">
        <v>89</v>
      </c>
      <c r="F1313" s="1">
        <v>91.5</v>
      </c>
      <c r="H1313" s="1">
        <v>90</v>
      </c>
    </row>
    <row r="1314" s="1" customFormat="1" spans="1:8">
      <c r="A1314" s="1" t="s">
        <v>11</v>
      </c>
      <c r="B1314" s="1" t="s">
        <v>19</v>
      </c>
      <c r="C1314" s="1" t="str">
        <f t="shared" si="26"/>
        <v>020068</v>
      </c>
      <c r="D1314" s="1" t="str">
        <f>"112205422"</f>
        <v>112205422</v>
      </c>
      <c r="E1314" s="1">
        <v>60.5</v>
      </c>
      <c r="F1314" s="1">
        <v>48</v>
      </c>
      <c r="H1314" s="1">
        <v>55.5</v>
      </c>
    </row>
    <row r="1315" s="1" customFormat="1" spans="1:8">
      <c r="A1315" s="1" t="s">
        <v>11</v>
      </c>
      <c r="B1315" s="1" t="s">
        <v>19</v>
      </c>
      <c r="C1315" s="1" t="str">
        <f t="shared" si="26"/>
        <v>020068</v>
      </c>
      <c r="D1315" s="1" t="str">
        <f>"112205423"</f>
        <v>112205423</v>
      </c>
      <c r="E1315" s="1">
        <v>0</v>
      </c>
      <c r="F1315" s="1">
        <v>0</v>
      </c>
      <c r="H1315" s="1">
        <v>0</v>
      </c>
    </row>
    <row r="1316" s="1" customFormat="1" spans="1:8">
      <c r="A1316" s="1" t="s">
        <v>11</v>
      </c>
      <c r="B1316" s="1" t="s">
        <v>19</v>
      </c>
      <c r="C1316" s="1" t="str">
        <f t="shared" si="26"/>
        <v>020068</v>
      </c>
      <c r="D1316" s="1" t="str">
        <f>"112205424"</f>
        <v>112205424</v>
      </c>
      <c r="E1316" s="1">
        <v>70</v>
      </c>
      <c r="F1316" s="1">
        <v>90</v>
      </c>
      <c r="H1316" s="1">
        <v>78</v>
      </c>
    </row>
    <row r="1317" s="1" customFormat="1" spans="1:8">
      <c r="A1317" s="1" t="s">
        <v>11</v>
      </c>
      <c r="B1317" s="1" t="s">
        <v>19</v>
      </c>
      <c r="C1317" s="1" t="str">
        <f t="shared" si="26"/>
        <v>020068</v>
      </c>
      <c r="D1317" s="1" t="str">
        <f>"112205425"</f>
        <v>112205425</v>
      </c>
      <c r="E1317" s="1">
        <v>70</v>
      </c>
      <c r="F1317" s="1">
        <v>67</v>
      </c>
      <c r="H1317" s="1">
        <v>68.8</v>
      </c>
    </row>
    <row r="1318" s="1" customFormat="1" spans="1:8">
      <c r="A1318" s="1" t="s">
        <v>11</v>
      </c>
      <c r="B1318" s="1" t="s">
        <v>19</v>
      </c>
      <c r="C1318" s="1" t="str">
        <f t="shared" si="26"/>
        <v>020068</v>
      </c>
      <c r="D1318" s="1" t="str">
        <f>"112205426"</f>
        <v>112205426</v>
      </c>
      <c r="E1318" s="1">
        <v>62.5</v>
      </c>
      <c r="F1318" s="1">
        <v>67</v>
      </c>
      <c r="H1318" s="1">
        <v>64.3</v>
      </c>
    </row>
    <row r="1319" s="1" customFormat="1" spans="1:8">
      <c r="A1319" s="1" t="s">
        <v>11</v>
      </c>
      <c r="B1319" s="1" t="s">
        <v>19</v>
      </c>
      <c r="C1319" s="1" t="str">
        <f t="shared" si="26"/>
        <v>020068</v>
      </c>
      <c r="D1319" s="1" t="str">
        <f>"112205427"</f>
        <v>112205427</v>
      </c>
      <c r="E1319" s="1">
        <v>59.5</v>
      </c>
      <c r="F1319" s="1">
        <v>53</v>
      </c>
      <c r="H1319" s="1">
        <v>56.9</v>
      </c>
    </row>
    <row r="1320" s="1" customFormat="1" spans="1:8">
      <c r="A1320" s="1" t="s">
        <v>11</v>
      </c>
      <c r="B1320" s="1" t="s">
        <v>19</v>
      </c>
      <c r="C1320" s="1" t="str">
        <f t="shared" si="26"/>
        <v>020068</v>
      </c>
      <c r="D1320" s="1" t="str">
        <f>"112205428"</f>
        <v>112205428</v>
      </c>
      <c r="E1320" s="1">
        <v>78</v>
      </c>
      <c r="F1320" s="1">
        <v>69</v>
      </c>
      <c r="H1320" s="1">
        <v>74.4</v>
      </c>
    </row>
    <row r="1321" s="1" customFormat="1" spans="1:8">
      <c r="A1321" s="1" t="s">
        <v>11</v>
      </c>
      <c r="B1321" s="1" t="s">
        <v>19</v>
      </c>
      <c r="C1321" s="1" t="str">
        <f t="shared" si="26"/>
        <v>020068</v>
      </c>
      <c r="D1321" s="1" t="str">
        <f>"112205429"</f>
        <v>112205429</v>
      </c>
      <c r="E1321" s="1">
        <v>92</v>
      </c>
      <c r="F1321" s="1">
        <v>94</v>
      </c>
      <c r="H1321" s="1">
        <v>92.8</v>
      </c>
    </row>
    <row r="1322" s="1" customFormat="1" spans="1:8">
      <c r="A1322" s="1" t="s">
        <v>11</v>
      </c>
      <c r="B1322" s="1" t="s">
        <v>19</v>
      </c>
      <c r="C1322" s="1" t="str">
        <f t="shared" si="26"/>
        <v>020068</v>
      </c>
      <c r="D1322" s="1" t="str">
        <f>"112205430"</f>
        <v>112205430</v>
      </c>
      <c r="E1322" s="1">
        <v>69.5</v>
      </c>
      <c r="F1322" s="1">
        <v>76</v>
      </c>
      <c r="H1322" s="1">
        <v>72.1</v>
      </c>
    </row>
    <row r="1323" s="1" customFormat="1" spans="1:8">
      <c r="A1323" s="1" t="s">
        <v>11</v>
      </c>
      <c r="B1323" s="1" t="s">
        <v>19</v>
      </c>
      <c r="C1323" s="1" t="str">
        <f t="shared" si="26"/>
        <v>020068</v>
      </c>
      <c r="D1323" s="1" t="str">
        <f>"112205501"</f>
        <v>112205501</v>
      </c>
      <c r="E1323" s="1">
        <v>58.5</v>
      </c>
      <c r="F1323" s="1">
        <v>63.5</v>
      </c>
      <c r="H1323" s="1">
        <v>60.5</v>
      </c>
    </row>
    <row r="1324" s="1" customFormat="1" spans="1:8">
      <c r="A1324" s="1" t="s">
        <v>11</v>
      </c>
      <c r="B1324" s="1" t="s">
        <v>19</v>
      </c>
      <c r="C1324" s="1" t="str">
        <f t="shared" si="26"/>
        <v>020068</v>
      </c>
      <c r="D1324" s="1" t="str">
        <f>"112205502"</f>
        <v>112205502</v>
      </c>
      <c r="E1324" s="1">
        <v>61</v>
      </c>
      <c r="F1324" s="1">
        <v>73.5</v>
      </c>
      <c r="H1324" s="1">
        <v>66</v>
      </c>
    </row>
    <row r="1325" s="1" customFormat="1" spans="1:8">
      <c r="A1325" s="1" t="s">
        <v>11</v>
      </c>
      <c r="B1325" s="1" t="s">
        <v>19</v>
      </c>
      <c r="C1325" s="1" t="str">
        <f t="shared" si="26"/>
        <v>020068</v>
      </c>
      <c r="D1325" s="1" t="str">
        <f>"112205503"</f>
        <v>112205503</v>
      </c>
      <c r="E1325" s="1">
        <v>83</v>
      </c>
      <c r="F1325" s="1">
        <v>67</v>
      </c>
      <c r="H1325" s="1">
        <v>76.6</v>
      </c>
    </row>
    <row r="1326" s="1" customFormat="1" spans="1:8">
      <c r="A1326" s="1" t="s">
        <v>11</v>
      </c>
      <c r="B1326" s="1" t="s">
        <v>19</v>
      </c>
      <c r="C1326" s="1" t="str">
        <f t="shared" si="26"/>
        <v>020068</v>
      </c>
      <c r="D1326" s="1" t="str">
        <f>"112205504"</f>
        <v>112205504</v>
      </c>
      <c r="E1326" s="1">
        <v>0</v>
      </c>
      <c r="F1326" s="1">
        <v>0</v>
      </c>
      <c r="H1326" s="1">
        <v>0</v>
      </c>
    </row>
    <row r="1327" s="1" customFormat="1" spans="1:8">
      <c r="A1327" s="1" t="s">
        <v>11</v>
      </c>
      <c r="B1327" s="1" t="s">
        <v>19</v>
      </c>
      <c r="C1327" s="1" t="str">
        <f t="shared" si="26"/>
        <v>020068</v>
      </c>
      <c r="D1327" s="1" t="str">
        <f>"112205505"</f>
        <v>112205505</v>
      </c>
      <c r="E1327" s="1">
        <v>72.5</v>
      </c>
      <c r="F1327" s="1">
        <v>57</v>
      </c>
      <c r="H1327" s="1">
        <v>66.3</v>
      </c>
    </row>
    <row r="1328" s="1" customFormat="1" spans="1:8">
      <c r="A1328" s="1" t="s">
        <v>11</v>
      </c>
      <c r="B1328" s="1" t="s">
        <v>19</v>
      </c>
      <c r="C1328" s="1" t="str">
        <f t="shared" si="26"/>
        <v>020068</v>
      </c>
      <c r="D1328" s="1" t="str">
        <f>"112205506"</f>
        <v>112205506</v>
      </c>
      <c r="E1328" s="1">
        <v>0</v>
      </c>
      <c r="F1328" s="1">
        <v>0</v>
      </c>
      <c r="H1328" s="1">
        <v>0</v>
      </c>
    </row>
    <row r="1329" s="1" customFormat="1" spans="1:8">
      <c r="A1329" s="1" t="s">
        <v>11</v>
      </c>
      <c r="B1329" s="1" t="s">
        <v>19</v>
      </c>
      <c r="C1329" s="1" t="str">
        <f t="shared" si="26"/>
        <v>020068</v>
      </c>
      <c r="D1329" s="1" t="str">
        <f>"112205507"</f>
        <v>112205507</v>
      </c>
      <c r="E1329" s="1">
        <v>0</v>
      </c>
      <c r="F1329" s="1">
        <v>0</v>
      </c>
      <c r="H1329" s="1">
        <v>0</v>
      </c>
    </row>
    <row r="1330" s="1" customFormat="1" spans="1:8">
      <c r="A1330" s="1" t="s">
        <v>11</v>
      </c>
      <c r="B1330" s="1" t="s">
        <v>19</v>
      </c>
      <c r="C1330" s="1" t="str">
        <f t="shared" si="26"/>
        <v>020068</v>
      </c>
      <c r="D1330" s="1" t="str">
        <f>"112205508"</f>
        <v>112205508</v>
      </c>
      <c r="E1330" s="1">
        <v>0</v>
      </c>
      <c r="F1330" s="1">
        <v>0</v>
      </c>
      <c r="H1330" s="1">
        <v>0</v>
      </c>
    </row>
    <row r="1331" s="1" customFormat="1" spans="1:8">
      <c r="A1331" s="1" t="s">
        <v>11</v>
      </c>
      <c r="B1331" s="1" t="s">
        <v>19</v>
      </c>
      <c r="C1331" s="1" t="str">
        <f t="shared" si="26"/>
        <v>020068</v>
      </c>
      <c r="D1331" s="1" t="str">
        <f>"112205509"</f>
        <v>112205509</v>
      </c>
      <c r="E1331" s="1">
        <v>79.5</v>
      </c>
      <c r="F1331" s="1">
        <v>79</v>
      </c>
      <c r="H1331" s="1">
        <v>79.3</v>
      </c>
    </row>
    <row r="1332" s="1" customFormat="1" spans="1:8">
      <c r="A1332" s="1" t="s">
        <v>11</v>
      </c>
      <c r="B1332" s="1" t="s">
        <v>19</v>
      </c>
      <c r="C1332" s="1" t="str">
        <f t="shared" si="26"/>
        <v>020068</v>
      </c>
      <c r="D1332" s="1" t="str">
        <f>"112205510"</f>
        <v>112205510</v>
      </c>
      <c r="E1332" s="1">
        <v>79</v>
      </c>
      <c r="F1332" s="1">
        <v>87.5</v>
      </c>
      <c r="H1332" s="1">
        <v>82.4</v>
      </c>
    </row>
    <row r="1333" s="1" customFormat="1" spans="1:8">
      <c r="A1333" s="1" t="s">
        <v>11</v>
      </c>
      <c r="B1333" s="1" t="s">
        <v>19</v>
      </c>
      <c r="C1333" s="1" t="str">
        <f t="shared" si="26"/>
        <v>020068</v>
      </c>
      <c r="D1333" s="1" t="str">
        <f>"112205511"</f>
        <v>112205511</v>
      </c>
      <c r="E1333" s="1">
        <v>82.5</v>
      </c>
      <c r="F1333" s="1">
        <v>60.5</v>
      </c>
      <c r="H1333" s="1">
        <v>73.7</v>
      </c>
    </row>
    <row r="1334" s="1" customFormat="1" spans="1:8">
      <c r="A1334" s="1" t="s">
        <v>11</v>
      </c>
      <c r="B1334" s="1" t="s">
        <v>19</v>
      </c>
      <c r="C1334" s="1" t="str">
        <f t="shared" si="26"/>
        <v>020068</v>
      </c>
      <c r="D1334" s="1" t="str">
        <f>"112205512"</f>
        <v>112205512</v>
      </c>
      <c r="E1334" s="1">
        <v>0</v>
      </c>
      <c r="F1334" s="1">
        <v>0</v>
      </c>
      <c r="H1334" s="1">
        <v>0</v>
      </c>
    </row>
    <row r="1335" s="1" customFormat="1" spans="1:8">
      <c r="A1335" s="1" t="s">
        <v>11</v>
      </c>
      <c r="B1335" s="1" t="s">
        <v>19</v>
      </c>
      <c r="C1335" s="1" t="str">
        <f t="shared" si="26"/>
        <v>020068</v>
      </c>
      <c r="D1335" s="1" t="str">
        <f>"112205513"</f>
        <v>112205513</v>
      </c>
      <c r="E1335" s="1">
        <v>59</v>
      </c>
      <c r="F1335" s="1">
        <v>61</v>
      </c>
      <c r="H1335" s="1">
        <v>59.8</v>
      </c>
    </row>
    <row r="1336" s="1" customFormat="1" spans="1:8">
      <c r="A1336" s="1" t="s">
        <v>11</v>
      </c>
      <c r="B1336" s="1" t="s">
        <v>19</v>
      </c>
      <c r="C1336" s="1" t="str">
        <f t="shared" si="26"/>
        <v>020068</v>
      </c>
      <c r="D1336" s="1" t="str">
        <f>"112205514"</f>
        <v>112205514</v>
      </c>
      <c r="E1336" s="1">
        <v>72</v>
      </c>
      <c r="F1336" s="1">
        <v>64.5</v>
      </c>
      <c r="H1336" s="1">
        <v>69</v>
      </c>
    </row>
    <row r="1337" s="1" customFormat="1" spans="1:8">
      <c r="A1337" s="1" t="s">
        <v>11</v>
      </c>
      <c r="B1337" s="1" t="s">
        <v>19</v>
      </c>
      <c r="C1337" s="1" t="str">
        <f t="shared" si="26"/>
        <v>020068</v>
      </c>
      <c r="D1337" s="1" t="str">
        <f>"112205515"</f>
        <v>112205515</v>
      </c>
      <c r="E1337" s="1">
        <v>63</v>
      </c>
      <c r="F1337" s="1">
        <v>53</v>
      </c>
      <c r="H1337" s="1">
        <v>59</v>
      </c>
    </row>
    <row r="1338" s="1" customFormat="1" spans="1:8">
      <c r="A1338" s="1" t="s">
        <v>11</v>
      </c>
      <c r="B1338" s="1" t="s">
        <v>19</v>
      </c>
      <c r="C1338" s="1" t="str">
        <f t="shared" si="26"/>
        <v>020068</v>
      </c>
      <c r="D1338" s="1" t="str">
        <f>"112205516"</f>
        <v>112205516</v>
      </c>
      <c r="E1338" s="1">
        <v>0</v>
      </c>
      <c r="F1338" s="1">
        <v>0</v>
      </c>
      <c r="H1338" s="1">
        <v>0</v>
      </c>
    </row>
    <row r="1339" s="1" customFormat="1" spans="1:8">
      <c r="A1339" s="1" t="s">
        <v>11</v>
      </c>
      <c r="B1339" s="1" t="s">
        <v>19</v>
      </c>
      <c r="C1339" s="1" t="str">
        <f t="shared" si="26"/>
        <v>020068</v>
      </c>
      <c r="D1339" s="1" t="str">
        <f>"112205517"</f>
        <v>112205517</v>
      </c>
      <c r="E1339" s="1">
        <v>67.5</v>
      </c>
      <c r="F1339" s="1">
        <v>0</v>
      </c>
      <c r="H1339" s="1">
        <v>40.5</v>
      </c>
    </row>
    <row r="1340" s="1" customFormat="1" spans="1:8">
      <c r="A1340" s="1" t="s">
        <v>11</v>
      </c>
      <c r="B1340" s="1" t="s">
        <v>19</v>
      </c>
      <c r="C1340" s="1" t="str">
        <f t="shared" si="26"/>
        <v>020068</v>
      </c>
      <c r="D1340" s="1" t="str">
        <f>"112205518"</f>
        <v>112205518</v>
      </c>
      <c r="E1340" s="1">
        <v>61</v>
      </c>
      <c r="F1340" s="1">
        <v>69</v>
      </c>
      <c r="H1340" s="1">
        <v>64.2</v>
      </c>
    </row>
    <row r="1341" s="1" customFormat="1" spans="1:8">
      <c r="A1341" s="1" t="s">
        <v>11</v>
      </c>
      <c r="B1341" s="1" t="s">
        <v>19</v>
      </c>
      <c r="C1341" s="1" t="str">
        <f t="shared" si="26"/>
        <v>020068</v>
      </c>
      <c r="D1341" s="1" t="str">
        <f>"112205519"</f>
        <v>112205519</v>
      </c>
      <c r="E1341" s="1">
        <v>68.5</v>
      </c>
      <c r="F1341" s="1">
        <v>84</v>
      </c>
      <c r="H1341" s="1">
        <v>74.7</v>
      </c>
    </row>
    <row r="1342" s="1" customFormat="1" spans="1:8">
      <c r="A1342" s="1" t="s">
        <v>11</v>
      </c>
      <c r="B1342" s="1" t="s">
        <v>19</v>
      </c>
      <c r="C1342" s="1" t="str">
        <f t="shared" si="26"/>
        <v>020068</v>
      </c>
      <c r="D1342" s="1" t="str">
        <f>"112205520"</f>
        <v>112205520</v>
      </c>
      <c r="E1342" s="1">
        <v>78</v>
      </c>
      <c r="F1342" s="1">
        <v>86.5</v>
      </c>
      <c r="H1342" s="1">
        <v>81.4</v>
      </c>
    </row>
    <row r="1343" s="1" customFormat="1" spans="1:8">
      <c r="A1343" s="1" t="s">
        <v>11</v>
      </c>
      <c r="B1343" s="1" t="s">
        <v>19</v>
      </c>
      <c r="C1343" s="1" t="str">
        <f t="shared" si="26"/>
        <v>020068</v>
      </c>
      <c r="D1343" s="1" t="str">
        <f>"112205521"</f>
        <v>112205521</v>
      </c>
      <c r="E1343" s="1">
        <v>75.5</v>
      </c>
      <c r="F1343" s="1">
        <v>56.5</v>
      </c>
      <c r="H1343" s="1">
        <v>67.9</v>
      </c>
    </row>
    <row r="1344" s="1" customFormat="1" spans="1:8">
      <c r="A1344" s="1" t="s">
        <v>11</v>
      </c>
      <c r="B1344" s="1" t="s">
        <v>19</v>
      </c>
      <c r="C1344" s="1" t="str">
        <f t="shared" si="26"/>
        <v>020068</v>
      </c>
      <c r="D1344" s="1" t="str">
        <f>"112205522"</f>
        <v>112205522</v>
      </c>
      <c r="E1344" s="1">
        <v>0</v>
      </c>
      <c r="F1344" s="1">
        <v>0</v>
      </c>
      <c r="H1344" s="1">
        <v>0</v>
      </c>
    </row>
    <row r="1345" s="1" customFormat="1" spans="1:8">
      <c r="A1345" s="1" t="s">
        <v>11</v>
      </c>
      <c r="B1345" s="1" t="s">
        <v>19</v>
      </c>
      <c r="C1345" s="1" t="str">
        <f t="shared" si="26"/>
        <v>020068</v>
      </c>
      <c r="D1345" s="1" t="str">
        <f>"112205523"</f>
        <v>112205523</v>
      </c>
      <c r="E1345" s="1">
        <v>72.5</v>
      </c>
      <c r="F1345" s="1">
        <v>70</v>
      </c>
      <c r="H1345" s="1">
        <v>71.5</v>
      </c>
    </row>
    <row r="1346" s="1" customFormat="1" spans="1:8">
      <c r="A1346" s="1" t="s">
        <v>11</v>
      </c>
      <c r="B1346" s="1" t="s">
        <v>19</v>
      </c>
      <c r="C1346" s="1" t="str">
        <f t="shared" si="26"/>
        <v>020068</v>
      </c>
      <c r="D1346" s="1" t="str">
        <f>"112205524"</f>
        <v>112205524</v>
      </c>
      <c r="E1346" s="1">
        <v>73.5</v>
      </c>
      <c r="F1346" s="1">
        <v>86</v>
      </c>
      <c r="H1346" s="1">
        <v>78.5</v>
      </c>
    </row>
    <row r="1347" s="1" customFormat="1" spans="1:8">
      <c r="A1347" s="1" t="s">
        <v>11</v>
      </c>
      <c r="B1347" s="1" t="s">
        <v>19</v>
      </c>
      <c r="C1347" s="1" t="str">
        <f t="shared" si="26"/>
        <v>020068</v>
      </c>
      <c r="D1347" s="1" t="str">
        <f>"112205525"</f>
        <v>112205525</v>
      </c>
      <c r="E1347" s="1">
        <v>67</v>
      </c>
      <c r="F1347" s="1">
        <v>55.5</v>
      </c>
      <c r="H1347" s="1">
        <v>62.4</v>
      </c>
    </row>
    <row r="1348" s="1" customFormat="1" spans="1:8">
      <c r="A1348" s="1" t="s">
        <v>11</v>
      </c>
      <c r="B1348" s="1" t="s">
        <v>19</v>
      </c>
      <c r="C1348" s="1" t="str">
        <f t="shared" si="26"/>
        <v>020068</v>
      </c>
      <c r="D1348" s="1" t="str">
        <f>"112205526"</f>
        <v>112205526</v>
      </c>
      <c r="E1348" s="1">
        <v>72.5</v>
      </c>
      <c r="F1348" s="1">
        <v>59</v>
      </c>
      <c r="H1348" s="1">
        <v>67.1</v>
      </c>
    </row>
    <row r="1349" s="1" customFormat="1" spans="1:8">
      <c r="A1349" s="1" t="s">
        <v>11</v>
      </c>
      <c r="B1349" s="1" t="s">
        <v>19</v>
      </c>
      <c r="C1349" s="1" t="str">
        <f t="shared" si="26"/>
        <v>020068</v>
      </c>
      <c r="D1349" s="1" t="str">
        <f>"112205527"</f>
        <v>112205527</v>
      </c>
      <c r="E1349" s="1">
        <v>66</v>
      </c>
      <c r="F1349" s="1">
        <v>67.5</v>
      </c>
      <c r="H1349" s="1">
        <v>66.6</v>
      </c>
    </row>
    <row r="1350" s="1" customFormat="1" spans="1:8">
      <c r="A1350" s="1" t="s">
        <v>11</v>
      </c>
      <c r="B1350" s="1" t="s">
        <v>19</v>
      </c>
      <c r="C1350" s="1" t="str">
        <f t="shared" si="26"/>
        <v>020068</v>
      </c>
      <c r="D1350" s="1" t="str">
        <f>"112205528"</f>
        <v>112205528</v>
      </c>
      <c r="E1350" s="1">
        <v>61</v>
      </c>
      <c r="F1350" s="1">
        <v>83</v>
      </c>
      <c r="H1350" s="1">
        <v>69.8</v>
      </c>
    </row>
    <row r="1351" s="1" customFormat="1" spans="1:8">
      <c r="A1351" s="1" t="s">
        <v>11</v>
      </c>
      <c r="B1351" s="1" t="s">
        <v>19</v>
      </c>
      <c r="C1351" s="1" t="str">
        <f t="shared" si="26"/>
        <v>020068</v>
      </c>
      <c r="D1351" s="1" t="str">
        <f>"112205529"</f>
        <v>112205529</v>
      </c>
      <c r="E1351" s="1">
        <v>89</v>
      </c>
      <c r="F1351" s="1">
        <v>88</v>
      </c>
      <c r="H1351" s="1">
        <v>88.6</v>
      </c>
    </row>
    <row r="1352" s="1" customFormat="1" spans="1:8">
      <c r="A1352" s="1" t="s">
        <v>11</v>
      </c>
      <c r="B1352" s="1" t="s">
        <v>19</v>
      </c>
      <c r="C1352" s="1" t="str">
        <f t="shared" si="26"/>
        <v>020068</v>
      </c>
      <c r="D1352" s="1" t="str">
        <f>"112205530"</f>
        <v>112205530</v>
      </c>
      <c r="E1352" s="1">
        <v>0</v>
      </c>
      <c r="F1352" s="1">
        <v>0</v>
      </c>
      <c r="H1352" s="1">
        <v>0</v>
      </c>
    </row>
    <row r="1353" s="1" customFormat="1" spans="1:8">
      <c r="A1353" s="1" t="s">
        <v>11</v>
      </c>
      <c r="B1353" s="1" t="s">
        <v>19</v>
      </c>
      <c r="C1353" s="1" t="str">
        <f t="shared" si="26"/>
        <v>020068</v>
      </c>
      <c r="D1353" s="1" t="str">
        <f>"112205601"</f>
        <v>112205601</v>
      </c>
      <c r="E1353" s="1">
        <v>79.5</v>
      </c>
      <c r="F1353" s="1">
        <v>77</v>
      </c>
      <c r="H1353" s="1">
        <v>78.5</v>
      </c>
    </row>
    <row r="1354" s="1" customFormat="1" spans="1:8">
      <c r="A1354" s="1" t="s">
        <v>11</v>
      </c>
      <c r="B1354" s="1" t="s">
        <v>19</v>
      </c>
      <c r="C1354" s="1" t="str">
        <f t="shared" si="26"/>
        <v>020068</v>
      </c>
      <c r="D1354" s="1" t="str">
        <f>"112205602"</f>
        <v>112205602</v>
      </c>
      <c r="E1354" s="1">
        <v>85.5</v>
      </c>
      <c r="F1354" s="1">
        <v>92.5</v>
      </c>
      <c r="H1354" s="1">
        <v>88.3</v>
      </c>
    </row>
    <row r="1355" s="1" customFormat="1" spans="1:8">
      <c r="A1355" s="1" t="s">
        <v>11</v>
      </c>
      <c r="B1355" s="1" t="s">
        <v>19</v>
      </c>
      <c r="C1355" s="1" t="str">
        <f t="shared" si="26"/>
        <v>020068</v>
      </c>
      <c r="D1355" s="1" t="str">
        <f>"112205603"</f>
        <v>112205603</v>
      </c>
      <c r="E1355" s="1">
        <v>0</v>
      </c>
      <c r="F1355" s="1">
        <v>0</v>
      </c>
      <c r="H1355" s="1">
        <v>0</v>
      </c>
    </row>
    <row r="1356" s="1" customFormat="1" spans="1:8">
      <c r="A1356" s="1" t="s">
        <v>11</v>
      </c>
      <c r="B1356" s="1" t="s">
        <v>19</v>
      </c>
      <c r="C1356" s="1" t="str">
        <f t="shared" ref="C1356:C1419" si="27">"020068"</f>
        <v>020068</v>
      </c>
      <c r="D1356" s="1" t="str">
        <f>"112205604"</f>
        <v>112205604</v>
      </c>
      <c r="E1356" s="1">
        <v>66.5</v>
      </c>
      <c r="F1356" s="1">
        <v>56</v>
      </c>
      <c r="H1356" s="1">
        <v>62.3</v>
      </c>
    </row>
    <row r="1357" s="1" customFormat="1" spans="1:8">
      <c r="A1357" s="1" t="s">
        <v>11</v>
      </c>
      <c r="B1357" s="1" t="s">
        <v>19</v>
      </c>
      <c r="C1357" s="1" t="str">
        <f t="shared" si="27"/>
        <v>020068</v>
      </c>
      <c r="D1357" s="1" t="str">
        <f>"112205605"</f>
        <v>112205605</v>
      </c>
      <c r="E1357" s="1">
        <v>72</v>
      </c>
      <c r="F1357" s="1">
        <v>71.5</v>
      </c>
      <c r="H1357" s="1">
        <v>71.8</v>
      </c>
    </row>
    <row r="1358" s="1" customFormat="1" spans="1:8">
      <c r="A1358" s="1" t="s">
        <v>11</v>
      </c>
      <c r="B1358" s="1" t="s">
        <v>19</v>
      </c>
      <c r="C1358" s="1" t="str">
        <f t="shared" si="27"/>
        <v>020068</v>
      </c>
      <c r="D1358" s="1" t="str">
        <f>"112205606"</f>
        <v>112205606</v>
      </c>
      <c r="E1358" s="1">
        <v>66</v>
      </c>
      <c r="F1358" s="1">
        <v>66</v>
      </c>
      <c r="H1358" s="1">
        <v>66</v>
      </c>
    </row>
    <row r="1359" s="1" customFormat="1" spans="1:8">
      <c r="A1359" s="1" t="s">
        <v>11</v>
      </c>
      <c r="B1359" s="1" t="s">
        <v>19</v>
      </c>
      <c r="C1359" s="1" t="str">
        <f t="shared" si="27"/>
        <v>020068</v>
      </c>
      <c r="D1359" s="1" t="str">
        <f>"112205607"</f>
        <v>112205607</v>
      </c>
      <c r="E1359" s="1">
        <v>66</v>
      </c>
      <c r="F1359" s="1">
        <v>55</v>
      </c>
      <c r="H1359" s="1">
        <v>61.6</v>
      </c>
    </row>
    <row r="1360" s="1" customFormat="1" spans="1:8">
      <c r="A1360" s="1" t="s">
        <v>11</v>
      </c>
      <c r="B1360" s="1" t="s">
        <v>19</v>
      </c>
      <c r="C1360" s="1" t="str">
        <f t="shared" si="27"/>
        <v>020068</v>
      </c>
      <c r="D1360" s="1" t="str">
        <f>"112205608"</f>
        <v>112205608</v>
      </c>
      <c r="E1360" s="1">
        <v>71</v>
      </c>
      <c r="F1360" s="1">
        <v>60.5</v>
      </c>
      <c r="H1360" s="1">
        <v>66.8</v>
      </c>
    </row>
    <row r="1361" s="1" customFormat="1" spans="1:8">
      <c r="A1361" s="1" t="s">
        <v>11</v>
      </c>
      <c r="B1361" s="1" t="s">
        <v>19</v>
      </c>
      <c r="C1361" s="1" t="str">
        <f t="shared" si="27"/>
        <v>020068</v>
      </c>
      <c r="D1361" s="1" t="str">
        <f>"112205609"</f>
        <v>112205609</v>
      </c>
      <c r="E1361" s="1">
        <v>78</v>
      </c>
      <c r="F1361" s="1">
        <v>85</v>
      </c>
      <c r="H1361" s="1">
        <v>80.8</v>
      </c>
    </row>
    <row r="1362" s="1" customFormat="1" spans="1:8">
      <c r="A1362" s="1" t="s">
        <v>11</v>
      </c>
      <c r="B1362" s="1" t="s">
        <v>19</v>
      </c>
      <c r="C1362" s="1" t="str">
        <f t="shared" si="27"/>
        <v>020068</v>
      </c>
      <c r="D1362" s="1" t="str">
        <f>"112205610"</f>
        <v>112205610</v>
      </c>
      <c r="E1362" s="1">
        <v>62</v>
      </c>
      <c r="F1362" s="1">
        <v>81</v>
      </c>
      <c r="H1362" s="1">
        <v>69.6</v>
      </c>
    </row>
    <row r="1363" s="1" customFormat="1" spans="1:8">
      <c r="A1363" s="1" t="s">
        <v>11</v>
      </c>
      <c r="B1363" s="1" t="s">
        <v>19</v>
      </c>
      <c r="C1363" s="1" t="str">
        <f t="shared" si="27"/>
        <v>020068</v>
      </c>
      <c r="D1363" s="1" t="str">
        <f>"112205611"</f>
        <v>112205611</v>
      </c>
      <c r="E1363" s="1">
        <v>75</v>
      </c>
      <c r="F1363" s="1">
        <v>56</v>
      </c>
      <c r="H1363" s="1">
        <v>67.4</v>
      </c>
    </row>
    <row r="1364" s="1" customFormat="1" spans="1:8">
      <c r="A1364" s="1" t="s">
        <v>11</v>
      </c>
      <c r="B1364" s="1" t="s">
        <v>19</v>
      </c>
      <c r="C1364" s="1" t="str">
        <f t="shared" si="27"/>
        <v>020068</v>
      </c>
      <c r="D1364" s="1" t="str">
        <f>"112205612"</f>
        <v>112205612</v>
      </c>
      <c r="E1364" s="1">
        <v>74.5</v>
      </c>
      <c r="F1364" s="1">
        <v>67</v>
      </c>
      <c r="H1364" s="1">
        <v>71.5</v>
      </c>
    </row>
    <row r="1365" s="1" customFormat="1" spans="1:8">
      <c r="A1365" s="1" t="s">
        <v>11</v>
      </c>
      <c r="B1365" s="1" t="s">
        <v>19</v>
      </c>
      <c r="C1365" s="1" t="str">
        <f t="shared" si="27"/>
        <v>020068</v>
      </c>
      <c r="D1365" s="1" t="str">
        <f>"112205613"</f>
        <v>112205613</v>
      </c>
      <c r="E1365" s="1">
        <v>64.5</v>
      </c>
      <c r="F1365" s="1">
        <v>63.5</v>
      </c>
      <c r="H1365" s="1">
        <v>64.1</v>
      </c>
    </row>
    <row r="1366" s="1" customFormat="1" spans="1:8">
      <c r="A1366" s="1" t="s">
        <v>11</v>
      </c>
      <c r="B1366" s="1" t="s">
        <v>19</v>
      </c>
      <c r="C1366" s="1" t="str">
        <f t="shared" si="27"/>
        <v>020068</v>
      </c>
      <c r="D1366" s="1" t="str">
        <f>"112205614"</f>
        <v>112205614</v>
      </c>
      <c r="E1366" s="1">
        <v>86</v>
      </c>
      <c r="F1366" s="1">
        <v>74</v>
      </c>
      <c r="H1366" s="1">
        <v>81.2</v>
      </c>
    </row>
    <row r="1367" s="1" customFormat="1" spans="1:8">
      <c r="A1367" s="1" t="s">
        <v>11</v>
      </c>
      <c r="B1367" s="1" t="s">
        <v>19</v>
      </c>
      <c r="C1367" s="1" t="str">
        <f t="shared" si="27"/>
        <v>020068</v>
      </c>
      <c r="D1367" s="1" t="str">
        <f>"112205615"</f>
        <v>112205615</v>
      </c>
      <c r="E1367" s="1">
        <v>73.5</v>
      </c>
      <c r="F1367" s="1">
        <v>94</v>
      </c>
      <c r="H1367" s="1">
        <v>81.7</v>
      </c>
    </row>
    <row r="1368" s="1" customFormat="1" spans="1:8">
      <c r="A1368" s="1" t="s">
        <v>11</v>
      </c>
      <c r="B1368" s="1" t="s">
        <v>19</v>
      </c>
      <c r="C1368" s="1" t="str">
        <f t="shared" si="27"/>
        <v>020068</v>
      </c>
      <c r="D1368" s="1" t="str">
        <f>"112205616"</f>
        <v>112205616</v>
      </c>
      <c r="E1368" s="1">
        <v>91.5</v>
      </c>
      <c r="F1368" s="1">
        <v>78.5</v>
      </c>
      <c r="H1368" s="1">
        <v>86.3</v>
      </c>
    </row>
    <row r="1369" s="1" customFormat="1" spans="1:8">
      <c r="A1369" s="1" t="s">
        <v>11</v>
      </c>
      <c r="B1369" s="1" t="s">
        <v>19</v>
      </c>
      <c r="C1369" s="1" t="str">
        <f t="shared" si="27"/>
        <v>020068</v>
      </c>
      <c r="D1369" s="1" t="str">
        <f>"112205617"</f>
        <v>112205617</v>
      </c>
      <c r="E1369" s="1">
        <v>0</v>
      </c>
      <c r="F1369" s="1">
        <v>0</v>
      </c>
      <c r="H1369" s="1">
        <v>0</v>
      </c>
    </row>
    <row r="1370" s="1" customFormat="1" spans="1:8">
      <c r="A1370" s="1" t="s">
        <v>11</v>
      </c>
      <c r="B1370" s="1" t="s">
        <v>19</v>
      </c>
      <c r="C1370" s="1" t="str">
        <f t="shared" si="27"/>
        <v>020068</v>
      </c>
      <c r="D1370" s="1" t="str">
        <f>"112205618"</f>
        <v>112205618</v>
      </c>
      <c r="E1370" s="1">
        <v>68.5</v>
      </c>
      <c r="F1370" s="1">
        <v>70</v>
      </c>
      <c r="H1370" s="1">
        <v>69.1</v>
      </c>
    </row>
    <row r="1371" s="1" customFormat="1" spans="1:8">
      <c r="A1371" s="1" t="s">
        <v>11</v>
      </c>
      <c r="B1371" s="1" t="s">
        <v>19</v>
      </c>
      <c r="C1371" s="1" t="str">
        <f t="shared" si="27"/>
        <v>020068</v>
      </c>
      <c r="D1371" s="1" t="str">
        <f>"112205619"</f>
        <v>112205619</v>
      </c>
      <c r="E1371" s="1">
        <v>57</v>
      </c>
      <c r="F1371" s="1">
        <v>78</v>
      </c>
      <c r="H1371" s="1">
        <v>65.4</v>
      </c>
    </row>
    <row r="1372" s="1" customFormat="1" spans="1:8">
      <c r="A1372" s="1" t="s">
        <v>11</v>
      </c>
      <c r="B1372" s="1" t="s">
        <v>19</v>
      </c>
      <c r="C1372" s="1" t="str">
        <f t="shared" si="27"/>
        <v>020068</v>
      </c>
      <c r="D1372" s="1" t="str">
        <f>"112205620"</f>
        <v>112205620</v>
      </c>
      <c r="E1372" s="1">
        <v>73.5</v>
      </c>
      <c r="F1372" s="1">
        <v>47.5</v>
      </c>
      <c r="H1372" s="1">
        <v>63.1</v>
      </c>
    </row>
    <row r="1373" s="1" customFormat="1" spans="1:8">
      <c r="A1373" s="1" t="s">
        <v>11</v>
      </c>
      <c r="B1373" s="1" t="s">
        <v>19</v>
      </c>
      <c r="C1373" s="1" t="str">
        <f t="shared" si="27"/>
        <v>020068</v>
      </c>
      <c r="D1373" s="1" t="str">
        <f>"112205621"</f>
        <v>112205621</v>
      </c>
      <c r="E1373" s="1">
        <v>82</v>
      </c>
      <c r="F1373" s="1">
        <v>79</v>
      </c>
      <c r="H1373" s="1">
        <v>80.8</v>
      </c>
    </row>
    <row r="1374" s="1" customFormat="1" spans="1:8">
      <c r="A1374" s="1" t="s">
        <v>11</v>
      </c>
      <c r="B1374" s="1" t="s">
        <v>19</v>
      </c>
      <c r="C1374" s="1" t="str">
        <f t="shared" si="27"/>
        <v>020068</v>
      </c>
      <c r="D1374" s="1" t="str">
        <f>"112205622"</f>
        <v>112205622</v>
      </c>
      <c r="E1374" s="1">
        <v>89.5</v>
      </c>
      <c r="F1374" s="1">
        <v>83</v>
      </c>
      <c r="H1374" s="1">
        <v>86.9</v>
      </c>
    </row>
    <row r="1375" s="1" customFormat="1" spans="1:8">
      <c r="A1375" s="1" t="s">
        <v>11</v>
      </c>
      <c r="B1375" s="1" t="s">
        <v>19</v>
      </c>
      <c r="C1375" s="1" t="str">
        <f t="shared" si="27"/>
        <v>020068</v>
      </c>
      <c r="D1375" s="1" t="str">
        <f>"112205623"</f>
        <v>112205623</v>
      </c>
      <c r="E1375" s="1">
        <v>77</v>
      </c>
      <c r="F1375" s="1">
        <v>85</v>
      </c>
      <c r="H1375" s="1">
        <v>80.2</v>
      </c>
    </row>
    <row r="1376" s="1" customFormat="1" spans="1:8">
      <c r="A1376" s="1" t="s">
        <v>11</v>
      </c>
      <c r="B1376" s="1" t="s">
        <v>19</v>
      </c>
      <c r="C1376" s="1" t="str">
        <f t="shared" si="27"/>
        <v>020068</v>
      </c>
      <c r="D1376" s="1" t="str">
        <f>"112205624"</f>
        <v>112205624</v>
      </c>
      <c r="E1376" s="1">
        <v>71.5</v>
      </c>
      <c r="F1376" s="1">
        <v>60.5</v>
      </c>
      <c r="H1376" s="1">
        <v>67.1</v>
      </c>
    </row>
    <row r="1377" s="1" customFormat="1" spans="1:8">
      <c r="A1377" s="1" t="s">
        <v>11</v>
      </c>
      <c r="B1377" s="1" t="s">
        <v>19</v>
      </c>
      <c r="C1377" s="1" t="str">
        <f t="shared" si="27"/>
        <v>020068</v>
      </c>
      <c r="D1377" s="1" t="str">
        <f>"112205625"</f>
        <v>112205625</v>
      </c>
      <c r="E1377" s="1">
        <v>66</v>
      </c>
      <c r="F1377" s="1">
        <v>82.5</v>
      </c>
      <c r="H1377" s="1">
        <v>72.6</v>
      </c>
    </row>
    <row r="1378" s="1" customFormat="1" spans="1:8">
      <c r="A1378" s="1" t="s">
        <v>11</v>
      </c>
      <c r="B1378" s="1" t="s">
        <v>19</v>
      </c>
      <c r="C1378" s="1" t="str">
        <f t="shared" si="27"/>
        <v>020068</v>
      </c>
      <c r="D1378" s="1" t="str">
        <f>"112205626"</f>
        <v>112205626</v>
      </c>
      <c r="E1378" s="1">
        <v>57</v>
      </c>
      <c r="F1378" s="1">
        <v>55.5</v>
      </c>
      <c r="H1378" s="1">
        <v>56.4</v>
      </c>
    </row>
    <row r="1379" s="1" customFormat="1" spans="1:8">
      <c r="A1379" s="1" t="s">
        <v>11</v>
      </c>
      <c r="B1379" s="1" t="s">
        <v>19</v>
      </c>
      <c r="C1379" s="1" t="str">
        <f t="shared" si="27"/>
        <v>020068</v>
      </c>
      <c r="D1379" s="1" t="str">
        <f>"112205627"</f>
        <v>112205627</v>
      </c>
      <c r="E1379" s="1">
        <v>71</v>
      </c>
      <c r="F1379" s="1">
        <v>63</v>
      </c>
      <c r="H1379" s="1">
        <v>67.8</v>
      </c>
    </row>
    <row r="1380" s="1" customFormat="1" spans="1:8">
      <c r="A1380" s="1" t="s">
        <v>11</v>
      </c>
      <c r="B1380" s="1" t="s">
        <v>19</v>
      </c>
      <c r="C1380" s="1" t="str">
        <f t="shared" si="27"/>
        <v>020068</v>
      </c>
      <c r="D1380" s="1" t="str">
        <f>"112205628"</f>
        <v>112205628</v>
      </c>
      <c r="E1380" s="1">
        <v>78</v>
      </c>
      <c r="F1380" s="1">
        <v>77.5</v>
      </c>
      <c r="H1380" s="1">
        <v>77.8</v>
      </c>
    </row>
    <row r="1381" s="1" customFormat="1" spans="1:8">
      <c r="A1381" s="1" t="s">
        <v>11</v>
      </c>
      <c r="B1381" s="1" t="s">
        <v>19</v>
      </c>
      <c r="C1381" s="1" t="str">
        <f t="shared" si="27"/>
        <v>020068</v>
      </c>
      <c r="D1381" s="1" t="str">
        <f>"112205629"</f>
        <v>112205629</v>
      </c>
      <c r="E1381" s="1">
        <v>83</v>
      </c>
      <c r="F1381" s="1">
        <v>70.5</v>
      </c>
      <c r="H1381" s="1">
        <v>78</v>
      </c>
    </row>
    <row r="1382" s="1" customFormat="1" spans="1:8">
      <c r="A1382" s="1" t="s">
        <v>11</v>
      </c>
      <c r="B1382" s="1" t="s">
        <v>19</v>
      </c>
      <c r="C1382" s="1" t="str">
        <f t="shared" si="27"/>
        <v>020068</v>
      </c>
      <c r="D1382" s="1" t="str">
        <f>"112205630"</f>
        <v>112205630</v>
      </c>
      <c r="E1382" s="1">
        <v>65.5</v>
      </c>
      <c r="F1382" s="1">
        <v>72.5</v>
      </c>
      <c r="H1382" s="1">
        <v>68.3</v>
      </c>
    </row>
    <row r="1383" s="1" customFormat="1" spans="1:8">
      <c r="A1383" s="1" t="s">
        <v>11</v>
      </c>
      <c r="B1383" s="1" t="s">
        <v>19</v>
      </c>
      <c r="C1383" s="1" t="str">
        <f t="shared" si="27"/>
        <v>020068</v>
      </c>
      <c r="D1383" s="1" t="str">
        <f>"112205701"</f>
        <v>112205701</v>
      </c>
      <c r="E1383" s="1">
        <v>71</v>
      </c>
      <c r="F1383" s="1">
        <v>59</v>
      </c>
      <c r="H1383" s="1">
        <v>66.2</v>
      </c>
    </row>
    <row r="1384" s="1" customFormat="1" spans="1:8">
      <c r="A1384" s="1" t="s">
        <v>11</v>
      </c>
      <c r="B1384" s="1" t="s">
        <v>19</v>
      </c>
      <c r="C1384" s="1" t="str">
        <f t="shared" si="27"/>
        <v>020068</v>
      </c>
      <c r="D1384" s="1" t="str">
        <f>"112205702"</f>
        <v>112205702</v>
      </c>
      <c r="E1384" s="1">
        <v>0</v>
      </c>
      <c r="F1384" s="1">
        <v>0</v>
      </c>
      <c r="H1384" s="1">
        <v>0</v>
      </c>
    </row>
    <row r="1385" s="1" customFormat="1" spans="1:8">
      <c r="A1385" s="1" t="s">
        <v>11</v>
      </c>
      <c r="B1385" s="1" t="s">
        <v>19</v>
      </c>
      <c r="C1385" s="1" t="str">
        <f t="shared" si="27"/>
        <v>020068</v>
      </c>
      <c r="D1385" s="1" t="str">
        <f>"112205703"</f>
        <v>112205703</v>
      </c>
      <c r="E1385" s="1">
        <v>0</v>
      </c>
      <c r="F1385" s="1">
        <v>0</v>
      </c>
      <c r="H1385" s="1">
        <v>0</v>
      </c>
    </row>
    <row r="1386" s="1" customFormat="1" spans="1:8">
      <c r="A1386" s="1" t="s">
        <v>11</v>
      </c>
      <c r="B1386" s="1" t="s">
        <v>19</v>
      </c>
      <c r="C1386" s="1" t="str">
        <f t="shared" si="27"/>
        <v>020068</v>
      </c>
      <c r="D1386" s="1" t="str">
        <f>"112205704"</f>
        <v>112205704</v>
      </c>
      <c r="E1386" s="1">
        <v>76</v>
      </c>
      <c r="F1386" s="1">
        <v>81.5</v>
      </c>
      <c r="H1386" s="1">
        <v>78.2</v>
      </c>
    </row>
    <row r="1387" s="1" customFormat="1" spans="1:8">
      <c r="A1387" s="1" t="s">
        <v>11</v>
      </c>
      <c r="B1387" s="1" t="s">
        <v>19</v>
      </c>
      <c r="C1387" s="1" t="str">
        <f t="shared" si="27"/>
        <v>020068</v>
      </c>
      <c r="D1387" s="1" t="str">
        <f>"112205705"</f>
        <v>112205705</v>
      </c>
      <c r="E1387" s="1">
        <v>68.5</v>
      </c>
      <c r="F1387" s="1">
        <v>57.5</v>
      </c>
      <c r="H1387" s="1">
        <v>64.1</v>
      </c>
    </row>
    <row r="1388" s="1" customFormat="1" spans="1:8">
      <c r="A1388" s="1" t="s">
        <v>11</v>
      </c>
      <c r="B1388" s="1" t="s">
        <v>19</v>
      </c>
      <c r="C1388" s="1" t="str">
        <f t="shared" si="27"/>
        <v>020068</v>
      </c>
      <c r="D1388" s="1" t="str">
        <f>"112205706"</f>
        <v>112205706</v>
      </c>
      <c r="E1388" s="1">
        <v>71.5</v>
      </c>
      <c r="F1388" s="1">
        <v>67.5</v>
      </c>
      <c r="H1388" s="1">
        <v>69.9</v>
      </c>
    </row>
    <row r="1389" s="1" customFormat="1" spans="1:8">
      <c r="A1389" s="1" t="s">
        <v>11</v>
      </c>
      <c r="B1389" s="1" t="s">
        <v>19</v>
      </c>
      <c r="C1389" s="1" t="str">
        <f t="shared" si="27"/>
        <v>020068</v>
      </c>
      <c r="D1389" s="1" t="str">
        <f>"112205707"</f>
        <v>112205707</v>
      </c>
      <c r="E1389" s="1">
        <v>67.5</v>
      </c>
      <c r="F1389" s="1">
        <v>76.5</v>
      </c>
      <c r="H1389" s="1">
        <v>71.1</v>
      </c>
    </row>
    <row r="1390" s="1" customFormat="1" spans="1:8">
      <c r="A1390" s="1" t="s">
        <v>11</v>
      </c>
      <c r="B1390" s="1" t="s">
        <v>19</v>
      </c>
      <c r="C1390" s="1" t="str">
        <f t="shared" si="27"/>
        <v>020068</v>
      </c>
      <c r="D1390" s="1" t="str">
        <f>"112205708"</f>
        <v>112205708</v>
      </c>
      <c r="E1390" s="1">
        <v>0</v>
      </c>
      <c r="F1390" s="1">
        <v>0</v>
      </c>
      <c r="H1390" s="1">
        <v>0</v>
      </c>
    </row>
    <row r="1391" s="1" customFormat="1" spans="1:8">
      <c r="A1391" s="1" t="s">
        <v>11</v>
      </c>
      <c r="B1391" s="1" t="s">
        <v>19</v>
      </c>
      <c r="C1391" s="1" t="str">
        <f t="shared" si="27"/>
        <v>020068</v>
      </c>
      <c r="D1391" s="1" t="str">
        <f>"112205709"</f>
        <v>112205709</v>
      </c>
      <c r="E1391" s="1">
        <v>79.5</v>
      </c>
      <c r="F1391" s="1">
        <v>89.5</v>
      </c>
      <c r="H1391" s="1">
        <v>83.5</v>
      </c>
    </row>
    <row r="1392" s="1" customFormat="1" spans="1:8">
      <c r="A1392" s="1" t="s">
        <v>11</v>
      </c>
      <c r="B1392" s="1" t="s">
        <v>19</v>
      </c>
      <c r="C1392" s="1" t="str">
        <f t="shared" si="27"/>
        <v>020068</v>
      </c>
      <c r="D1392" s="1" t="str">
        <f>"112205710"</f>
        <v>112205710</v>
      </c>
      <c r="E1392" s="1">
        <v>0</v>
      </c>
      <c r="F1392" s="1">
        <v>0</v>
      </c>
      <c r="H1392" s="1">
        <v>0</v>
      </c>
    </row>
    <row r="1393" s="1" customFormat="1" spans="1:8">
      <c r="A1393" s="1" t="s">
        <v>11</v>
      </c>
      <c r="B1393" s="1" t="s">
        <v>19</v>
      </c>
      <c r="C1393" s="1" t="str">
        <f t="shared" si="27"/>
        <v>020068</v>
      </c>
      <c r="D1393" s="1" t="str">
        <f>"112205711"</f>
        <v>112205711</v>
      </c>
      <c r="E1393" s="1">
        <v>0</v>
      </c>
      <c r="F1393" s="1">
        <v>0</v>
      </c>
      <c r="H1393" s="1">
        <v>0</v>
      </c>
    </row>
    <row r="1394" s="1" customFormat="1" spans="1:8">
      <c r="A1394" s="1" t="s">
        <v>11</v>
      </c>
      <c r="B1394" s="1" t="s">
        <v>19</v>
      </c>
      <c r="C1394" s="1" t="str">
        <f t="shared" si="27"/>
        <v>020068</v>
      </c>
      <c r="D1394" s="1" t="str">
        <f>"112205712"</f>
        <v>112205712</v>
      </c>
      <c r="E1394" s="1">
        <v>76</v>
      </c>
      <c r="F1394" s="1">
        <v>58.5</v>
      </c>
      <c r="H1394" s="1">
        <v>69</v>
      </c>
    </row>
    <row r="1395" s="1" customFormat="1" spans="1:8">
      <c r="A1395" s="1" t="s">
        <v>11</v>
      </c>
      <c r="B1395" s="1" t="s">
        <v>19</v>
      </c>
      <c r="C1395" s="1" t="str">
        <f t="shared" si="27"/>
        <v>020068</v>
      </c>
      <c r="D1395" s="1" t="str">
        <f>"112205713"</f>
        <v>112205713</v>
      </c>
      <c r="E1395" s="1">
        <v>82</v>
      </c>
      <c r="F1395" s="1">
        <v>74</v>
      </c>
      <c r="H1395" s="1">
        <v>78.8</v>
      </c>
    </row>
    <row r="1396" s="1" customFormat="1" spans="1:8">
      <c r="A1396" s="1" t="s">
        <v>11</v>
      </c>
      <c r="B1396" s="1" t="s">
        <v>19</v>
      </c>
      <c r="C1396" s="1" t="str">
        <f t="shared" si="27"/>
        <v>020068</v>
      </c>
      <c r="D1396" s="1" t="str">
        <f>"112205714"</f>
        <v>112205714</v>
      </c>
      <c r="E1396" s="1">
        <v>84.5</v>
      </c>
      <c r="F1396" s="1">
        <v>95</v>
      </c>
      <c r="H1396" s="1">
        <v>88.7</v>
      </c>
    </row>
    <row r="1397" s="1" customFormat="1" spans="1:8">
      <c r="A1397" s="1" t="s">
        <v>11</v>
      </c>
      <c r="B1397" s="1" t="s">
        <v>19</v>
      </c>
      <c r="C1397" s="1" t="str">
        <f t="shared" si="27"/>
        <v>020068</v>
      </c>
      <c r="D1397" s="1" t="str">
        <f>"112205715"</f>
        <v>112205715</v>
      </c>
      <c r="E1397" s="1">
        <v>79</v>
      </c>
      <c r="F1397" s="1">
        <v>83</v>
      </c>
      <c r="H1397" s="1">
        <v>80.6</v>
      </c>
    </row>
    <row r="1398" s="1" customFormat="1" spans="1:8">
      <c r="A1398" s="1" t="s">
        <v>11</v>
      </c>
      <c r="B1398" s="1" t="s">
        <v>19</v>
      </c>
      <c r="C1398" s="1" t="str">
        <f t="shared" si="27"/>
        <v>020068</v>
      </c>
      <c r="D1398" s="1" t="str">
        <f>"112205716"</f>
        <v>112205716</v>
      </c>
      <c r="E1398" s="1">
        <v>67</v>
      </c>
      <c r="F1398" s="1">
        <v>80</v>
      </c>
      <c r="H1398" s="1">
        <v>72.2</v>
      </c>
    </row>
    <row r="1399" s="1" customFormat="1" spans="1:8">
      <c r="A1399" s="1" t="s">
        <v>11</v>
      </c>
      <c r="B1399" s="1" t="s">
        <v>19</v>
      </c>
      <c r="C1399" s="1" t="str">
        <f t="shared" si="27"/>
        <v>020068</v>
      </c>
      <c r="D1399" s="1" t="str">
        <f>"112205717"</f>
        <v>112205717</v>
      </c>
      <c r="E1399" s="1">
        <v>75.5</v>
      </c>
      <c r="F1399" s="1">
        <v>64.5</v>
      </c>
      <c r="H1399" s="1">
        <v>71.1</v>
      </c>
    </row>
    <row r="1400" s="1" customFormat="1" spans="1:8">
      <c r="A1400" s="1" t="s">
        <v>11</v>
      </c>
      <c r="B1400" s="1" t="s">
        <v>19</v>
      </c>
      <c r="C1400" s="1" t="str">
        <f t="shared" si="27"/>
        <v>020068</v>
      </c>
      <c r="D1400" s="1" t="str">
        <f>"112205718"</f>
        <v>112205718</v>
      </c>
      <c r="E1400" s="1">
        <v>64</v>
      </c>
      <c r="F1400" s="1">
        <v>53.5</v>
      </c>
      <c r="H1400" s="1">
        <v>59.8</v>
      </c>
    </row>
    <row r="1401" s="1" customFormat="1" spans="1:8">
      <c r="A1401" s="1" t="s">
        <v>11</v>
      </c>
      <c r="B1401" s="1" t="s">
        <v>19</v>
      </c>
      <c r="C1401" s="1" t="str">
        <f t="shared" si="27"/>
        <v>020068</v>
      </c>
      <c r="D1401" s="1" t="str">
        <f>"112205719"</f>
        <v>112205719</v>
      </c>
      <c r="E1401" s="1">
        <v>87.5</v>
      </c>
      <c r="F1401" s="1">
        <v>89</v>
      </c>
      <c r="H1401" s="1">
        <v>88.1</v>
      </c>
    </row>
    <row r="1402" s="1" customFormat="1" spans="1:8">
      <c r="A1402" s="1" t="s">
        <v>11</v>
      </c>
      <c r="B1402" s="1" t="s">
        <v>19</v>
      </c>
      <c r="C1402" s="1" t="str">
        <f t="shared" si="27"/>
        <v>020068</v>
      </c>
      <c r="D1402" s="1" t="str">
        <f>"112205720"</f>
        <v>112205720</v>
      </c>
      <c r="E1402" s="1">
        <v>64</v>
      </c>
      <c r="F1402" s="1">
        <v>51.5</v>
      </c>
      <c r="H1402" s="1">
        <v>59</v>
      </c>
    </row>
    <row r="1403" s="1" customFormat="1" spans="1:8">
      <c r="A1403" s="1" t="s">
        <v>11</v>
      </c>
      <c r="B1403" s="1" t="s">
        <v>19</v>
      </c>
      <c r="C1403" s="1" t="str">
        <f t="shared" si="27"/>
        <v>020068</v>
      </c>
      <c r="D1403" s="1" t="str">
        <f>"112205721"</f>
        <v>112205721</v>
      </c>
      <c r="E1403" s="1">
        <v>61.5</v>
      </c>
      <c r="F1403" s="1">
        <v>60</v>
      </c>
      <c r="H1403" s="1">
        <v>60.9</v>
      </c>
    </row>
    <row r="1404" s="1" customFormat="1" spans="1:8">
      <c r="A1404" s="1" t="s">
        <v>11</v>
      </c>
      <c r="B1404" s="1" t="s">
        <v>19</v>
      </c>
      <c r="C1404" s="1" t="str">
        <f t="shared" si="27"/>
        <v>020068</v>
      </c>
      <c r="D1404" s="1" t="str">
        <f>"112205722"</f>
        <v>112205722</v>
      </c>
      <c r="E1404" s="1">
        <v>75</v>
      </c>
      <c r="F1404" s="1">
        <v>93.5</v>
      </c>
      <c r="H1404" s="1">
        <v>82.4</v>
      </c>
    </row>
    <row r="1405" s="1" customFormat="1" spans="1:8">
      <c r="A1405" s="1" t="s">
        <v>11</v>
      </c>
      <c r="B1405" s="1" t="s">
        <v>19</v>
      </c>
      <c r="C1405" s="1" t="str">
        <f t="shared" si="27"/>
        <v>020068</v>
      </c>
      <c r="D1405" s="1" t="str">
        <f>"112205723"</f>
        <v>112205723</v>
      </c>
      <c r="E1405" s="1">
        <v>65</v>
      </c>
      <c r="F1405" s="1">
        <v>49</v>
      </c>
      <c r="H1405" s="1">
        <v>58.6</v>
      </c>
    </row>
    <row r="1406" s="1" customFormat="1" spans="1:8">
      <c r="A1406" s="1" t="s">
        <v>11</v>
      </c>
      <c r="B1406" s="1" t="s">
        <v>19</v>
      </c>
      <c r="C1406" s="1" t="str">
        <f t="shared" si="27"/>
        <v>020068</v>
      </c>
      <c r="D1406" s="1" t="str">
        <f>"112205724"</f>
        <v>112205724</v>
      </c>
      <c r="E1406" s="1">
        <v>65</v>
      </c>
      <c r="F1406" s="1">
        <v>64.5</v>
      </c>
      <c r="H1406" s="1">
        <v>64.8</v>
      </c>
    </row>
    <row r="1407" s="1" customFormat="1" spans="1:8">
      <c r="A1407" s="1" t="s">
        <v>11</v>
      </c>
      <c r="B1407" s="1" t="s">
        <v>19</v>
      </c>
      <c r="C1407" s="1" t="str">
        <f t="shared" si="27"/>
        <v>020068</v>
      </c>
      <c r="D1407" s="1" t="str">
        <f>"112205725"</f>
        <v>112205725</v>
      </c>
      <c r="E1407" s="1">
        <v>74</v>
      </c>
      <c r="F1407" s="1">
        <v>67.5</v>
      </c>
      <c r="H1407" s="1">
        <v>71.4</v>
      </c>
    </row>
    <row r="1408" s="1" customFormat="1" spans="1:8">
      <c r="A1408" s="1" t="s">
        <v>11</v>
      </c>
      <c r="B1408" s="1" t="s">
        <v>19</v>
      </c>
      <c r="C1408" s="1" t="str">
        <f t="shared" si="27"/>
        <v>020068</v>
      </c>
      <c r="D1408" s="1" t="str">
        <f>"112205726"</f>
        <v>112205726</v>
      </c>
      <c r="E1408" s="1">
        <v>92.5</v>
      </c>
      <c r="F1408" s="1">
        <v>98</v>
      </c>
      <c r="H1408" s="1">
        <v>94.7</v>
      </c>
    </row>
    <row r="1409" s="1" customFormat="1" spans="1:8">
      <c r="A1409" s="1" t="s">
        <v>11</v>
      </c>
      <c r="B1409" s="1" t="s">
        <v>19</v>
      </c>
      <c r="C1409" s="1" t="str">
        <f t="shared" si="27"/>
        <v>020068</v>
      </c>
      <c r="D1409" s="1" t="str">
        <f>"112205727"</f>
        <v>112205727</v>
      </c>
      <c r="E1409" s="1">
        <v>77</v>
      </c>
      <c r="F1409" s="1">
        <v>79</v>
      </c>
      <c r="H1409" s="1">
        <v>77.8</v>
      </c>
    </row>
    <row r="1410" s="1" customFormat="1" spans="1:8">
      <c r="A1410" s="1" t="s">
        <v>11</v>
      </c>
      <c r="B1410" s="1" t="s">
        <v>19</v>
      </c>
      <c r="C1410" s="1" t="str">
        <f t="shared" si="27"/>
        <v>020068</v>
      </c>
      <c r="D1410" s="1" t="str">
        <f>"112205728"</f>
        <v>112205728</v>
      </c>
      <c r="E1410" s="1">
        <v>76.5</v>
      </c>
      <c r="F1410" s="1">
        <v>70</v>
      </c>
      <c r="H1410" s="1">
        <v>73.9</v>
      </c>
    </row>
    <row r="1411" s="1" customFormat="1" spans="1:8">
      <c r="A1411" s="1" t="s">
        <v>11</v>
      </c>
      <c r="B1411" s="1" t="s">
        <v>19</v>
      </c>
      <c r="C1411" s="1" t="str">
        <f t="shared" si="27"/>
        <v>020068</v>
      </c>
      <c r="D1411" s="1" t="str">
        <f>"112205729"</f>
        <v>112205729</v>
      </c>
      <c r="E1411" s="1">
        <v>75.5</v>
      </c>
      <c r="F1411" s="1">
        <v>81.5</v>
      </c>
      <c r="H1411" s="1">
        <v>77.9</v>
      </c>
    </row>
    <row r="1412" s="1" customFormat="1" spans="1:8">
      <c r="A1412" s="1" t="s">
        <v>11</v>
      </c>
      <c r="B1412" s="1" t="s">
        <v>19</v>
      </c>
      <c r="C1412" s="1" t="str">
        <f t="shared" si="27"/>
        <v>020068</v>
      </c>
      <c r="D1412" s="1" t="str">
        <f>"112205730"</f>
        <v>112205730</v>
      </c>
      <c r="E1412" s="1">
        <v>67.5</v>
      </c>
      <c r="F1412" s="1">
        <v>73.5</v>
      </c>
      <c r="H1412" s="1">
        <v>69.9</v>
      </c>
    </row>
    <row r="1413" s="1" customFormat="1" spans="1:8">
      <c r="A1413" s="1" t="s">
        <v>11</v>
      </c>
      <c r="B1413" s="1" t="s">
        <v>19</v>
      </c>
      <c r="C1413" s="1" t="str">
        <f t="shared" si="27"/>
        <v>020068</v>
      </c>
      <c r="D1413" s="1" t="str">
        <f>"112205801"</f>
        <v>112205801</v>
      </c>
      <c r="E1413" s="1">
        <v>86.5</v>
      </c>
      <c r="F1413" s="1">
        <v>79</v>
      </c>
      <c r="H1413" s="1">
        <v>83.5</v>
      </c>
    </row>
    <row r="1414" s="1" customFormat="1" spans="1:8">
      <c r="A1414" s="1" t="s">
        <v>11</v>
      </c>
      <c r="B1414" s="1" t="s">
        <v>19</v>
      </c>
      <c r="C1414" s="1" t="str">
        <f t="shared" si="27"/>
        <v>020068</v>
      </c>
      <c r="D1414" s="1" t="str">
        <f>"112205802"</f>
        <v>112205802</v>
      </c>
      <c r="E1414" s="1">
        <v>0</v>
      </c>
      <c r="F1414" s="1">
        <v>0</v>
      </c>
      <c r="H1414" s="1">
        <v>0</v>
      </c>
    </row>
    <row r="1415" s="1" customFormat="1" spans="1:8">
      <c r="A1415" s="1" t="s">
        <v>11</v>
      </c>
      <c r="B1415" s="1" t="s">
        <v>19</v>
      </c>
      <c r="C1415" s="1" t="str">
        <f t="shared" si="27"/>
        <v>020068</v>
      </c>
      <c r="D1415" s="1" t="str">
        <f>"112205803"</f>
        <v>112205803</v>
      </c>
      <c r="E1415" s="1">
        <v>70.5</v>
      </c>
      <c r="F1415" s="1">
        <v>67</v>
      </c>
      <c r="H1415" s="1">
        <v>69.1</v>
      </c>
    </row>
    <row r="1416" s="1" customFormat="1" spans="1:8">
      <c r="A1416" s="1" t="s">
        <v>11</v>
      </c>
      <c r="B1416" s="1" t="s">
        <v>19</v>
      </c>
      <c r="C1416" s="1" t="str">
        <f t="shared" si="27"/>
        <v>020068</v>
      </c>
      <c r="D1416" s="1" t="str">
        <f>"112205804"</f>
        <v>112205804</v>
      </c>
      <c r="E1416" s="1">
        <v>0</v>
      </c>
      <c r="F1416" s="1">
        <v>0</v>
      </c>
      <c r="H1416" s="1">
        <v>0</v>
      </c>
    </row>
    <row r="1417" s="1" customFormat="1" spans="1:8">
      <c r="A1417" s="1" t="s">
        <v>11</v>
      </c>
      <c r="B1417" s="1" t="s">
        <v>19</v>
      </c>
      <c r="C1417" s="1" t="str">
        <f t="shared" si="27"/>
        <v>020068</v>
      </c>
      <c r="D1417" s="1" t="str">
        <f>"112205805"</f>
        <v>112205805</v>
      </c>
      <c r="E1417" s="1">
        <v>73</v>
      </c>
      <c r="F1417" s="1">
        <v>80.5</v>
      </c>
      <c r="H1417" s="1">
        <v>76</v>
      </c>
    </row>
    <row r="1418" s="1" customFormat="1" spans="1:8">
      <c r="A1418" s="1" t="s">
        <v>11</v>
      </c>
      <c r="B1418" s="1" t="s">
        <v>19</v>
      </c>
      <c r="C1418" s="1" t="str">
        <f t="shared" si="27"/>
        <v>020068</v>
      </c>
      <c r="D1418" s="1" t="str">
        <f>"112205806"</f>
        <v>112205806</v>
      </c>
      <c r="E1418" s="1">
        <v>0</v>
      </c>
      <c r="F1418" s="1">
        <v>0</v>
      </c>
      <c r="H1418" s="1">
        <v>0</v>
      </c>
    </row>
    <row r="1419" s="1" customFormat="1" spans="1:8">
      <c r="A1419" s="1" t="s">
        <v>11</v>
      </c>
      <c r="B1419" s="1" t="s">
        <v>19</v>
      </c>
      <c r="C1419" s="1" t="str">
        <f t="shared" si="27"/>
        <v>020068</v>
      </c>
      <c r="D1419" s="1" t="str">
        <f>"112205807"</f>
        <v>112205807</v>
      </c>
      <c r="E1419" s="1">
        <v>70.5</v>
      </c>
      <c r="F1419" s="1">
        <v>73</v>
      </c>
      <c r="H1419" s="1">
        <v>71.5</v>
      </c>
    </row>
    <row r="1420" s="1" customFormat="1" spans="1:8">
      <c r="A1420" s="1" t="s">
        <v>11</v>
      </c>
      <c r="B1420" s="1" t="s">
        <v>19</v>
      </c>
      <c r="C1420" s="1" t="str">
        <f t="shared" ref="C1420:C1434" si="28">"020068"</f>
        <v>020068</v>
      </c>
      <c r="D1420" s="1" t="str">
        <f>"112205808"</f>
        <v>112205808</v>
      </c>
      <c r="E1420" s="1">
        <v>63.5</v>
      </c>
      <c r="F1420" s="1">
        <v>50</v>
      </c>
      <c r="H1420" s="1">
        <v>58.1</v>
      </c>
    </row>
    <row r="1421" s="1" customFormat="1" spans="1:8">
      <c r="A1421" s="1" t="s">
        <v>11</v>
      </c>
      <c r="B1421" s="1" t="s">
        <v>19</v>
      </c>
      <c r="C1421" s="1" t="str">
        <f t="shared" si="28"/>
        <v>020068</v>
      </c>
      <c r="D1421" s="1" t="str">
        <f>"112205809"</f>
        <v>112205809</v>
      </c>
      <c r="E1421" s="1">
        <v>47.5</v>
      </c>
      <c r="F1421" s="1">
        <v>67.5</v>
      </c>
      <c r="H1421" s="1">
        <v>55.5</v>
      </c>
    </row>
    <row r="1422" s="1" customFormat="1" spans="1:8">
      <c r="A1422" s="1" t="s">
        <v>11</v>
      </c>
      <c r="B1422" s="1" t="s">
        <v>19</v>
      </c>
      <c r="C1422" s="1" t="str">
        <f t="shared" si="28"/>
        <v>020068</v>
      </c>
      <c r="D1422" s="1" t="str">
        <f>"112205810"</f>
        <v>112205810</v>
      </c>
      <c r="E1422" s="1">
        <v>76</v>
      </c>
      <c r="F1422" s="1">
        <v>85.5</v>
      </c>
      <c r="H1422" s="1">
        <v>79.8</v>
      </c>
    </row>
    <row r="1423" s="1" customFormat="1" spans="1:8">
      <c r="A1423" s="1" t="s">
        <v>11</v>
      </c>
      <c r="B1423" s="1" t="s">
        <v>19</v>
      </c>
      <c r="C1423" s="1" t="str">
        <f t="shared" si="28"/>
        <v>020068</v>
      </c>
      <c r="D1423" s="1" t="str">
        <f>"112205811"</f>
        <v>112205811</v>
      </c>
      <c r="E1423" s="1">
        <v>81.5</v>
      </c>
      <c r="F1423" s="1">
        <v>89</v>
      </c>
      <c r="H1423" s="1">
        <v>84.5</v>
      </c>
    </row>
    <row r="1424" s="1" customFormat="1" spans="1:8">
      <c r="A1424" s="1" t="s">
        <v>11</v>
      </c>
      <c r="B1424" s="1" t="s">
        <v>19</v>
      </c>
      <c r="C1424" s="1" t="str">
        <f t="shared" si="28"/>
        <v>020068</v>
      </c>
      <c r="D1424" s="1" t="str">
        <f>"112205812"</f>
        <v>112205812</v>
      </c>
      <c r="E1424" s="1">
        <v>80.5</v>
      </c>
      <c r="F1424" s="1">
        <v>79.5</v>
      </c>
      <c r="H1424" s="1">
        <v>80.1</v>
      </c>
    </row>
    <row r="1425" s="1" customFormat="1" spans="1:8">
      <c r="A1425" s="1" t="s">
        <v>11</v>
      </c>
      <c r="B1425" s="1" t="s">
        <v>19</v>
      </c>
      <c r="C1425" s="1" t="str">
        <f t="shared" si="28"/>
        <v>020068</v>
      </c>
      <c r="D1425" s="1" t="str">
        <f>"112205813"</f>
        <v>112205813</v>
      </c>
      <c r="E1425" s="1">
        <v>80</v>
      </c>
      <c r="F1425" s="1">
        <v>88.5</v>
      </c>
      <c r="H1425" s="1">
        <v>83.4</v>
      </c>
    </row>
    <row r="1426" s="1" customFormat="1" spans="1:8">
      <c r="A1426" s="1" t="s">
        <v>11</v>
      </c>
      <c r="B1426" s="1" t="s">
        <v>19</v>
      </c>
      <c r="C1426" s="1" t="str">
        <f t="shared" si="28"/>
        <v>020068</v>
      </c>
      <c r="D1426" s="1" t="str">
        <f>"112205814"</f>
        <v>112205814</v>
      </c>
      <c r="E1426" s="1">
        <v>72.5</v>
      </c>
      <c r="F1426" s="1">
        <v>57</v>
      </c>
      <c r="H1426" s="1">
        <v>66.3</v>
      </c>
    </row>
    <row r="1427" s="1" customFormat="1" spans="1:8">
      <c r="A1427" s="1" t="s">
        <v>11</v>
      </c>
      <c r="B1427" s="1" t="s">
        <v>19</v>
      </c>
      <c r="C1427" s="1" t="str">
        <f t="shared" si="28"/>
        <v>020068</v>
      </c>
      <c r="D1427" s="1" t="str">
        <f>"112205815"</f>
        <v>112205815</v>
      </c>
      <c r="E1427" s="1">
        <v>57.5</v>
      </c>
      <c r="F1427" s="1">
        <v>0</v>
      </c>
      <c r="H1427" s="1">
        <v>34.5</v>
      </c>
    </row>
    <row r="1428" s="1" customFormat="1" spans="1:8">
      <c r="A1428" s="1" t="s">
        <v>11</v>
      </c>
      <c r="B1428" s="1" t="s">
        <v>19</v>
      </c>
      <c r="C1428" s="1" t="str">
        <f t="shared" si="28"/>
        <v>020068</v>
      </c>
      <c r="D1428" s="1" t="str">
        <f>"112205816"</f>
        <v>112205816</v>
      </c>
      <c r="E1428" s="1">
        <v>0</v>
      </c>
      <c r="F1428" s="1">
        <v>0</v>
      </c>
      <c r="H1428" s="1">
        <v>0</v>
      </c>
    </row>
    <row r="1429" s="1" customFormat="1" spans="1:8">
      <c r="A1429" s="1" t="s">
        <v>11</v>
      </c>
      <c r="B1429" s="1" t="s">
        <v>19</v>
      </c>
      <c r="C1429" s="1" t="str">
        <f t="shared" si="28"/>
        <v>020068</v>
      </c>
      <c r="D1429" s="1" t="str">
        <f>"112205817"</f>
        <v>112205817</v>
      </c>
      <c r="E1429" s="1">
        <v>65</v>
      </c>
      <c r="F1429" s="1">
        <v>64.5</v>
      </c>
      <c r="H1429" s="1">
        <v>64.8</v>
      </c>
    </row>
    <row r="1430" s="1" customFormat="1" spans="1:8">
      <c r="A1430" s="1" t="s">
        <v>11</v>
      </c>
      <c r="B1430" s="1" t="s">
        <v>19</v>
      </c>
      <c r="C1430" s="1" t="str">
        <f t="shared" si="28"/>
        <v>020068</v>
      </c>
      <c r="D1430" s="1" t="str">
        <f>"112205818"</f>
        <v>112205818</v>
      </c>
      <c r="E1430" s="1">
        <v>83</v>
      </c>
      <c r="F1430" s="1">
        <v>85.5</v>
      </c>
      <c r="H1430" s="1">
        <v>84</v>
      </c>
    </row>
    <row r="1431" s="1" customFormat="1" spans="1:8">
      <c r="A1431" s="1" t="s">
        <v>11</v>
      </c>
      <c r="B1431" s="1" t="s">
        <v>19</v>
      </c>
      <c r="C1431" s="1" t="str">
        <f t="shared" si="28"/>
        <v>020068</v>
      </c>
      <c r="D1431" s="1" t="str">
        <f>"112205819"</f>
        <v>112205819</v>
      </c>
      <c r="E1431" s="1">
        <v>80.5</v>
      </c>
      <c r="F1431" s="1">
        <v>92</v>
      </c>
      <c r="H1431" s="1">
        <v>85.1</v>
      </c>
    </row>
    <row r="1432" s="1" customFormat="1" spans="1:8">
      <c r="A1432" s="1" t="s">
        <v>11</v>
      </c>
      <c r="B1432" s="1" t="s">
        <v>19</v>
      </c>
      <c r="C1432" s="1" t="str">
        <f t="shared" si="28"/>
        <v>020068</v>
      </c>
      <c r="D1432" s="1" t="str">
        <f>"112205820"</f>
        <v>112205820</v>
      </c>
      <c r="E1432" s="1">
        <v>90</v>
      </c>
      <c r="F1432" s="1">
        <v>80</v>
      </c>
      <c r="H1432" s="1">
        <v>86</v>
      </c>
    </row>
    <row r="1433" s="1" customFormat="1" spans="1:8">
      <c r="A1433" s="1" t="s">
        <v>11</v>
      </c>
      <c r="B1433" s="1" t="s">
        <v>19</v>
      </c>
      <c r="C1433" s="1" t="str">
        <f t="shared" si="28"/>
        <v>020068</v>
      </c>
      <c r="D1433" s="1" t="str">
        <f>"112205821"</f>
        <v>112205821</v>
      </c>
      <c r="E1433" s="1">
        <v>0</v>
      </c>
      <c r="F1433" s="1">
        <v>0</v>
      </c>
      <c r="H1433" s="1">
        <v>0</v>
      </c>
    </row>
    <row r="1434" s="1" customFormat="1" spans="1:8">
      <c r="A1434" s="1" t="s">
        <v>11</v>
      </c>
      <c r="B1434" s="1" t="s">
        <v>19</v>
      </c>
      <c r="C1434" s="1" t="str">
        <f t="shared" si="28"/>
        <v>020068</v>
      </c>
      <c r="D1434" s="1" t="str">
        <f>"112205822"</f>
        <v>112205822</v>
      </c>
      <c r="E1434" s="1">
        <v>88.5</v>
      </c>
      <c r="F1434" s="1">
        <v>97.5</v>
      </c>
      <c r="H1434" s="1">
        <v>92.1</v>
      </c>
    </row>
    <row r="1435" s="1" customFormat="1" spans="1:8">
      <c r="A1435" s="1" t="s">
        <v>20</v>
      </c>
      <c r="B1435" s="1" t="s">
        <v>19</v>
      </c>
      <c r="C1435" s="1" t="str">
        <f t="shared" ref="C1435:C1498" si="29">"020070"</f>
        <v>020070</v>
      </c>
      <c r="D1435" s="1" t="str">
        <f>"112205823"</f>
        <v>112205823</v>
      </c>
      <c r="E1435" s="1">
        <v>0</v>
      </c>
      <c r="F1435" s="1">
        <v>0</v>
      </c>
      <c r="H1435" s="1">
        <v>0</v>
      </c>
    </row>
    <row r="1436" s="1" customFormat="1" spans="1:8">
      <c r="A1436" s="1" t="s">
        <v>20</v>
      </c>
      <c r="B1436" s="1" t="s">
        <v>19</v>
      </c>
      <c r="C1436" s="1" t="str">
        <f t="shared" si="29"/>
        <v>020070</v>
      </c>
      <c r="D1436" s="1" t="str">
        <f>"112205824"</f>
        <v>112205824</v>
      </c>
      <c r="E1436" s="1">
        <v>56.5</v>
      </c>
      <c r="F1436" s="1">
        <v>64.5</v>
      </c>
      <c r="H1436" s="1">
        <v>59.7</v>
      </c>
    </row>
    <row r="1437" s="1" customFormat="1" spans="1:8">
      <c r="A1437" s="1" t="s">
        <v>20</v>
      </c>
      <c r="B1437" s="1" t="s">
        <v>19</v>
      </c>
      <c r="C1437" s="1" t="str">
        <f t="shared" si="29"/>
        <v>020070</v>
      </c>
      <c r="D1437" s="1" t="str">
        <f>"112205825"</f>
        <v>112205825</v>
      </c>
      <c r="E1437" s="1">
        <v>65</v>
      </c>
      <c r="F1437" s="1">
        <v>61</v>
      </c>
      <c r="H1437" s="1">
        <v>63.4</v>
      </c>
    </row>
    <row r="1438" s="1" customFormat="1" spans="1:8">
      <c r="A1438" s="1" t="s">
        <v>20</v>
      </c>
      <c r="B1438" s="1" t="s">
        <v>19</v>
      </c>
      <c r="C1438" s="1" t="str">
        <f t="shared" si="29"/>
        <v>020070</v>
      </c>
      <c r="D1438" s="1" t="str">
        <f>"112205826"</f>
        <v>112205826</v>
      </c>
      <c r="E1438" s="1">
        <v>0</v>
      </c>
      <c r="F1438" s="1">
        <v>0</v>
      </c>
      <c r="H1438" s="1">
        <v>0</v>
      </c>
    </row>
    <row r="1439" s="1" customFormat="1" spans="1:8">
      <c r="A1439" s="1" t="s">
        <v>20</v>
      </c>
      <c r="B1439" s="1" t="s">
        <v>19</v>
      </c>
      <c r="C1439" s="1" t="str">
        <f t="shared" si="29"/>
        <v>020070</v>
      </c>
      <c r="D1439" s="1" t="str">
        <f>"112205827"</f>
        <v>112205827</v>
      </c>
      <c r="E1439" s="1">
        <v>60.5</v>
      </c>
      <c r="F1439" s="1">
        <v>53</v>
      </c>
      <c r="H1439" s="1">
        <v>57.5</v>
      </c>
    </row>
    <row r="1440" s="1" customFormat="1" spans="1:8">
      <c r="A1440" s="1" t="s">
        <v>20</v>
      </c>
      <c r="B1440" s="1" t="s">
        <v>19</v>
      </c>
      <c r="C1440" s="1" t="str">
        <f t="shared" si="29"/>
        <v>020070</v>
      </c>
      <c r="D1440" s="1" t="str">
        <f>"112205828"</f>
        <v>112205828</v>
      </c>
      <c r="E1440" s="1">
        <v>63</v>
      </c>
      <c r="F1440" s="1">
        <v>53.5</v>
      </c>
      <c r="H1440" s="1">
        <v>59.2</v>
      </c>
    </row>
    <row r="1441" s="1" customFormat="1" spans="1:8">
      <c r="A1441" s="1" t="s">
        <v>20</v>
      </c>
      <c r="B1441" s="1" t="s">
        <v>19</v>
      </c>
      <c r="C1441" s="1" t="str">
        <f t="shared" si="29"/>
        <v>020070</v>
      </c>
      <c r="D1441" s="1" t="str">
        <f>"112205829"</f>
        <v>112205829</v>
      </c>
      <c r="E1441" s="1">
        <v>60</v>
      </c>
      <c r="F1441" s="1">
        <v>60</v>
      </c>
      <c r="H1441" s="1">
        <v>60</v>
      </c>
    </row>
    <row r="1442" s="1" customFormat="1" spans="1:8">
      <c r="A1442" s="1" t="s">
        <v>20</v>
      </c>
      <c r="B1442" s="1" t="s">
        <v>19</v>
      </c>
      <c r="C1442" s="1" t="str">
        <f t="shared" si="29"/>
        <v>020070</v>
      </c>
      <c r="D1442" s="1" t="str">
        <f>"112205830"</f>
        <v>112205830</v>
      </c>
      <c r="E1442" s="1">
        <v>68</v>
      </c>
      <c r="F1442" s="1">
        <v>62.5</v>
      </c>
      <c r="H1442" s="1">
        <v>65.8</v>
      </c>
    </row>
    <row r="1443" s="1" customFormat="1" spans="1:8">
      <c r="A1443" s="1" t="s">
        <v>20</v>
      </c>
      <c r="B1443" s="1" t="s">
        <v>19</v>
      </c>
      <c r="C1443" s="1" t="str">
        <f t="shared" si="29"/>
        <v>020070</v>
      </c>
      <c r="D1443" s="1" t="str">
        <f>"112205901"</f>
        <v>112205901</v>
      </c>
      <c r="E1443" s="1">
        <v>68.5</v>
      </c>
      <c r="F1443" s="1">
        <v>59.5</v>
      </c>
      <c r="H1443" s="1">
        <v>64.9</v>
      </c>
    </row>
    <row r="1444" s="1" customFormat="1" spans="1:8">
      <c r="A1444" s="1" t="s">
        <v>20</v>
      </c>
      <c r="B1444" s="1" t="s">
        <v>19</v>
      </c>
      <c r="C1444" s="1" t="str">
        <f t="shared" si="29"/>
        <v>020070</v>
      </c>
      <c r="D1444" s="1" t="str">
        <f>"112205902"</f>
        <v>112205902</v>
      </c>
      <c r="E1444" s="1">
        <v>0</v>
      </c>
      <c r="F1444" s="1">
        <v>0</v>
      </c>
      <c r="H1444" s="1">
        <v>0</v>
      </c>
    </row>
    <row r="1445" s="1" customFormat="1" spans="1:8">
      <c r="A1445" s="1" t="s">
        <v>20</v>
      </c>
      <c r="B1445" s="1" t="s">
        <v>19</v>
      </c>
      <c r="C1445" s="1" t="str">
        <f t="shared" si="29"/>
        <v>020070</v>
      </c>
      <c r="D1445" s="1" t="str">
        <f>"112205903"</f>
        <v>112205903</v>
      </c>
      <c r="E1445" s="1">
        <v>61</v>
      </c>
      <c r="F1445" s="1">
        <v>48</v>
      </c>
      <c r="H1445" s="1">
        <v>55.8</v>
      </c>
    </row>
    <row r="1446" s="1" customFormat="1" spans="1:8">
      <c r="A1446" s="1" t="s">
        <v>20</v>
      </c>
      <c r="B1446" s="1" t="s">
        <v>19</v>
      </c>
      <c r="C1446" s="1" t="str">
        <f t="shared" si="29"/>
        <v>020070</v>
      </c>
      <c r="D1446" s="1" t="str">
        <f>"112205904"</f>
        <v>112205904</v>
      </c>
      <c r="E1446" s="1">
        <v>26.5</v>
      </c>
      <c r="F1446" s="1">
        <v>0</v>
      </c>
      <c r="H1446" s="1">
        <v>15.9</v>
      </c>
    </row>
    <row r="1447" s="1" customFormat="1" spans="1:8">
      <c r="A1447" s="1" t="s">
        <v>20</v>
      </c>
      <c r="B1447" s="1" t="s">
        <v>19</v>
      </c>
      <c r="C1447" s="1" t="str">
        <f t="shared" si="29"/>
        <v>020070</v>
      </c>
      <c r="D1447" s="1" t="str">
        <f>"112205905"</f>
        <v>112205905</v>
      </c>
      <c r="E1447" s="1">
        <v>64</v>
      </c>
      <c r="F1447" s="1">
        <v>69</v>
      </c>
      <c r="H1447" s="1">
        <v>66</v>
      </c>
    </row>
    <row r="1448" s="1" customFormat="1" spans="1:8">
      <c r="A1448" s="1" t="s">
        <v>20</v>
      </c>
      <c r="B1448" s="1" t="s">
        <v>19</v>
      </c>
      <c r="C1448" s="1" t="str">
        <f t="shared" si="29"/>
        <v>020070</v>
      </c>
      <c r="D1448" s="1" t="str">
        <f>"112205906"</f>
        <v>112205906</v>
      </c>
      <c r="E1448" s="1">
        <v>0</v>
      </c>
      <c r="F1448" s="1">
        <v>0</v>
      </c>
      <c r="H1448" s="1">
        <v>0</v>
      </c>
    </row>
    <row r="1449" s="1" customFormat="1" spans="1:8">
      <c r="A1449" s="1" t="s">
        <v>20</v>
      </c>
      <c r="B1449" s="1" t="s">
        <v>19</v>
      </c>
      <c r="C1449" s="1" t="str">
        <f t="shared" si="29"/>
        <v>020070</v>
      </c>
      <c r="D1449" s="1" t="str">
        <f>"112205907"</f>
        <v>112205907</v>
      </c>
      <c r="E1449" s="1">
        <v>0</v>
      </c>
      <c r="F1449" s="1">
        <v>0</v>
      </c>
      <c r="H1449" s="1">
        <v>0</v>
      </c>
    </row>
    <row r="1450" s="1" customFormat="1" spans="1:8">
      <c r="A1450" s="1" t="s">
        <v>20</v>
      </c>
      <c r="B1450" s="1" t="s">
        <v>19</v>
      </c>
      <c r="C1450" s="1" t="str">
        <f t="shared" si="29"/>
        <v>020070</v>
      </c>
      <c r="D1450" s="1" t="str">
        <f>"112205908"</f>
        <v>112205908</v>
      </c>
      <c r="E1450" s="1">
        <v>0</v>
      </c>
      <c r="F1450" s="1">
        <v>0</v>
      </c>
      <c r="H1450" s="1">
        <v>0</v>
      </c>
    </row>
    <row r="1451" s="1" customFormat="1" spans="1:8">
      <c r="A1451" s="1" t="s">
        <v>20</v>
      </c>
      <c r="B1451" s="1" t="s">
        <v>19</v>
      </c>
      <c r="C1451" s="1" t="str">
        <f t="shared" si="29"/>
        <v>020070</v>
      </c>
      <c r="D1451" s="1" t="str">
        <f>"112205909"</f>
        <v>112205909</v>
      </c>
      <c r="E1451" s="1">
        <v>62.5</v>
      </c>
      <c r="F1451" s="1">
        <v>61.5</v>
      </c>
      <c r="H1451" s="1">
        <v>62.1</v>
      </c>
    </row>
    <row r="1452" s="1" customFormat="1" spans="1:8">
      <c r="A1452" s="1" t="s">
        <v>20</v>
      </c>
      <c r="B1452" s="1" t="s">
        <v>19</v>
      </c>
      <c r="C1452" s="1" t="str">
        <f t="shared" si="29"/>
        <v>020070</v>
      </c>
      <c r="D1452" s="1" t="str">
        <f>"112205910"</f>
        <v>112205910</v>
      </c>
      <c r="E1452" s="1">
        <v>62.5</v>
      </c>
      <c r="F1452" s="1">
        <v>53</v>
      </c>
      <c r="H1452" s="1">
        <v>58.7</v>
      </c>
    </row>
    <row r="1453" s="1" customFormat="1" spans="1:8">
      <c r="A1453" s="1" t="s">
        <v>20</v>
      </c>
      <c r="B1453" s="1" t="s">
        <v>19</v>
      </c>
      <c r="C1453" s="1" t="str">
        <f t="shared" si="29"/>
        <v>020070</v>
      </c>
      <c r="D1453" s="1" t="str">
        <f>"112205911"</f>
        <v>112205911</v>
      </c>
      <c r="E1453" s="1">
        <v>66.5</v>
      </c>
      <c r="F1453" s="1">
        <v>76.5</v>
      </c>
      <c r="H1453" s="1">
        <v>70.5</v>
      </c>
    </row>
    <row r="1454" s="1" customFormat="1" spans="1:8">
      <c r="A1454" s="1" t="s">
        <v>20</v>
      </c>
      <c r="B1454" s="1" t="s">
        <v>19</v>
      </c>
      <c r="C1454" s="1" t="str">
        <f t="shared" si="29"/>
        <v>020070</v>
      </c>
      <c r="D1454" s="1" t="str">
        <f>"112205912"</f>
        <v>112205912</v>
      </c>
      <c r="E1454" s="1">
        <v>84.5</v>
      </c>
      <c r="F1454" s="1">
        <v>97</v>
      </c>
      <c r="G1454" s="1">
        <v>2</v>
      </c>
      <c r="H1454" s="1">
        <v>91.5</v>
      </c>
    </row>
    <row r="1455" s="1" customFormat="1" spans="1:8">
      <c r="A1455" s="1" t="s">
        <v>20</v>
      </c>
      <c r="B1455" s="1" t="s">
        <v>19</v>
      </c>
      <c r="C1455" s="1" t="str">
        <f t="shared" si="29"/>
        <v>020070</v>
      </c>
      <c r="D1455" s="1" t="str">
        <f>"112205913"</f>
        <v>112205913</v>
      </c>
      <c r="E1455" s="1">
        <v>0</v>
      </c>
      <c r="F1455" s="1">
        <v>0</v>
      </c>
      <c r="H1455" s="1">
        <v>0</v>
      </c>
    </row>
    <row r="1456" s="1" customFormat="1" spans="1:8">
      <c r="A1456" s="1" t="s">
        <v>20</v>
      </c>
      <c r="B1456" s="1" t="s">
        <v>19</v>
      </c>
      <c r="C1456" s="1" t="str">
        <f t="shared" si="29"/>
        <v>020070</v>
      </c>
      <c r="D1456" s="1" t="str">
        <f>"112205914"</f>
        <v>112205914</v>
      </c>
      <c r="E1456" s="1">
        <v>0</v>
      </c>
      <c r="F1456" s="1">
        <v>0</v>
      </c>
      <c r="H1456" s="1">
        <v>0</v>
      </c>
    </row>
    <row r="1457" s="1" customFormat="1" spans="1:8">
      <c r="A1457" s="1" t="s">
        <v>20</v>
      </c>
      <c r="B1457" s="1" t="s">
        <v>19</v>
      </c>
      <c r="C1457" s="1" t="str">
        <f t="shared" si="29"/>
        <v>020070</v>
      </c>
      <c r="D1457" s="1" t="str">
        <f>"112205915"</f>
        <v>112205915</v>
      </c>
      <c r="E1457" s="1">
        <v>80</v>
      </c>
      <c r="F1457" s="1">
        <v>64</v>
      </c>
      <c r="H1457" s="1">
        <v>73.6</v>
      </c>
    </row>
    <row r="1458" s="1" customFormat="1" spans="1:8">
      <c r="A1458" s="1" t="s">
        <v>20</v>
      </c>
      <c r="B1458" s="1" t="s">
        <v>19</v>
      </c>
      <c r="C1458" s="1" t="str">
        <f t="shared" si="29"/>
        <v>020070</v>
      </c>
      <c r="D1458" s="1" t="str">
        <f>"112205916"</f>
        <v>112205916</v>
      </c>
      <c r="E1458" s="1">
        <v>0</v>
      </c>
      <c r="F1458" s="1">
        <v>0</v>
      </c>
      <c r="H1458" s="1">
        <v>0</v>
      </c>
    </row>
    <row r="1459" s="1" customFormat="1" spans="1:8">
      <c r="A1459" s="1" t="s">
        <v>20</v>
      </c>
      <c r="B1459" s="1" t="s">
        <v>19</v>
      </c>
      <c r="C1459" s="1" t="str">
        <f t="shared" si="29"/>
        <v>020070</v>
      </c>
      <c r="D1459" s="1" t="str">
        <f>"112205917"</f>
        <v>112205917</v>
      </c>
      <c r="E1459" s="1">
        <v>0</v>
      </c>
      <c r="F1459" s="1">
        <v>0</v>
      </c>
      <c r="H1459" s="1">
        <v>0</v>
      </c>
    </row>
    <row r="1460" s="1" customFormat="1" spans="1:8">
      <c r="A1460" s="1" t="s">
        <v>20</v>
      </c>
      <c r="B1460" s="1" t="s">
        <v>19</v>
      </c>
      <c r="C1460" s="1" t="str">
        <f t="shared" si="29"/>
        <v>020070</v>
      </c>
      <c r="D1460" s="1" t="str">
        <f>"112205918"</f>
        <v>112205918</v>
      </c>
      <c r="E1460" s="1">
        <v>73</v>
      </c>
      <c r="F1460" s="1">
        <v>69.5</v>
      </c>
      <c r="H1460" s="1">
        <v>71.6</v>
      </c>
    </row>
    <row r="1461" s="1" customFormat="1" spans="1:8">
      <c r="A1461" s="1" t="s">
        <v>20</v>
      </c>
      <c r="B1461" s="1" t="s">
        <v>19</v>
      </c>
      <c r="C1461" s="1" t="str">
        <f t="shared" si="29"/>
        <v>020070</v>
      </c>
      <c r="D1461" s="1" t="str">
        <f>"112205919"</f>
        <v>112205919</v>
      </c>
      <c r="E1461" s="1">
        <v>69.5</v>
      </c>
      <c r="F1461" s="1">
        <v>58</v>
      </c>
      <c r="H1461" s="1">
        <v>64.9</v>
      </c>
    </row>
    <row r="1462" s="1" customFormat="1" spans="1:8">
      <c r="A1462" s="1" t="s">
        <v>20</v>
      </c>
      <c r="B1462" s="1" t="s">
        <v>19</v>
      </c>
      <c r="C1462" s="1" t="str">
        <f t="shared" si="29"/>
        <v>020070</v>
      </c>
      <c r="D1462" s="1" t="str">
        <f>"112205920"</f>
        <v>112205920</v>
      </c>
      <c r="E1462" s="1">
        <v>51.5</v>
      </c>
      <c r="F1462" s="1">
        <v>60</v>
      </c>
      <c r="H1462" s="1">
        <v>54.9</v>
      </c>
    </row>
    <row r="1463" s="1" customFormat="1" spans="1:8">
      <c r="A1463" s="1" t="s">
        <v>20</v>
      </c>
      <c r="B1463" s="1" t="s">
        <v>19</v>
      </c>
      <c r="C1463" s="1" t="str">
        <f t="shared" si="29"/>
        <v>020070</v>
      </c>
      <c r="D1463" s="1" t="str">
        <f>"112205921"</f>
        <v>112205921</v>
      </c>
      <c r="E1463" s="1">
        <v>52.5</v>
      </c>
      <c r="F1463" s="1">
        <v>62</v>
      </c>
      <c r="H1463" s="1">
        <v>56.3</v>
      </c>
    </row>
    <row r="1464" s="1" customFormat="1" spans="1:8">
      <c r="A1464" s="1" t="s">
        <v>20</v>
      </c>
      <c r="B1464" s="1" t="s">
        <v>19</v>
      </c>
      <c r="C1464" s="1" t="str">
        <f t="shared" si="29"/>
        <v>020070</v>
      </c>
      <c r="D1464" s="1" t="str">
        <f>"112205922"</f>
        <v>112205922</v>
      </c>
      <c r="E1464" s="1">
        <v>0</v>
      </c>
      <c r="F1464" s="1">
        <v>0</v>
      </c>
      <c r="H1464" s="1">
        <v>0</v>
      </c>
    </row>
    <row r="1465" s="1" customFormat="1" spans="1:8">
      <c r="A1465" s="1" t="s">
        <v>20</v>
      </c>
      <c r="B1465" s="1" t="s">
        <v>19</v>
      </c>
      <c r="C1465" s="1" t="str">
        <f t="shared" si="29"/>
        <v>020070</v>
      </c>
      <c r="D1465" s="1" t="str">
        <f>"112205923"</f>
        <v>112205923</v>
      </c>
      <c r="E1465" s="1">
        <v>74</v>
      </c>
      <c r="F1465" s="1">
        <v>103</v>
      </c>
      <c r="H1465" s="1">
        <v>85.6</v>
      </c>
    </row>
    <row r="1466" s="1" customFormat="1" spans="1:8">
      <c r="A1466" s="1" t="s">
        <v>20</v>
      </c>
      <c r="B1466" s="1" t="s">
        <v>19</v>
      </c>
      <c r="C1466" s="1" t="str">
        <f t="shared" si="29"/>
        <v>020070</v>
      </c>
      <c r="D1466" s="1" t="str">
        <f>"112205924"</f>
        <v>112205924</v>
      </c>
      <c r="E1466" s="1">
        <v>67.5</v>
      </c>
      <c r="F1466" s="1">
        <v>60</v>
      </c>
      <c r="H1466" s="1">
        <v>64.5</v>
      </c>
    </row>
    <row r="1467" s="1" customFormat="1" spans="1:8">
      <c r="A1467" s="1" t="s">
        <v>20</v>
      </c>
      <c r="B1467" s="1" t="s">
        <v>19</v>
      </c>
      <c r="C1467" s="1" t="str">
        <f t="shared" si="29"/>
        <v>020070</v>
      </c>
      <c r="D1467" s="1" t="str">
        <f>"112205925"</f>
        <v>112205925</v>
      </c>
      <c r="E1467" s="1">
        <v>61</v>
      </c>
      <c r="F1467" s="1">
        <v>51</v>
      </c>
      <c r="H1467" s="1">
        <v>57</v>
      </c>
    </row>
    <row r="1468" s="1" customFormat="1" spans="1:8">
      <c r="A1468" s="1" t="s">
        <v>20</v>
      </c>
      <c r="B1468" s="1" t="s">
        <v>19</v>
      </c>
      <c r="C1468" s="1" t="str">
        <f t="shared" si="29"/>
        <v>020070</v>
      </c>
      <c r="D1468" s="1" t="str">
        <f>"112205926"</f>
        <v>112205926</v>
      </c>
      <c r="E1468" s="1">
        <v>0</v>
      </c>
      <c r="F1468" s="1">
        <v>0</v>
      </c>
      <c r="H1468" s="1">
        <v>0</v>
      </c>
    </row>
    <row r="1469" s="1" customFormat="1" spans="1:8">
      <c r="A1469" s="1" t="s">
        <v>20</v>
      </c>
      <c r="B1469" s="1" t="s">
        <v>19</v>
      </c>
      <c r="C1469" s="1" t="str">
        <f t="shared" si="29"/>
        <v>020070</v>
      </c>
      <c r="D1469" s="1" t="str">
        <f>"112205927"</f>
        <v>112205927</v>
      </c>
      <c r="E1469" s="1">
        <v>63.5</v>
      </c>
      <c r="F1469" s="1">
        <v>81</v>
      </c>
      <c r="H1469" s="1">
        <v>70.5</v>
      </c>
    </row>
    <row r="1470" s="1" customFormat="1" spans="1:8">
      <c r="A1470" s="1" t="s">
        <v>20</v>
      </c>
      <c r="B1470" s="1" t="s">
        <v>19</v>
      </c>
      <c r="C1470" s="1" t="str">
        <f t="shared" si="29"/>
        <v>020070</v>
      </c>
      <c r="D1470" s="1" t="str">
        <f>"112205928"</f>
        <v>112205928</v>
      </c>
      <c r="E1470" s="1">
        <v>74</v>
      </c>
      <c r="F1470" s="1">
        <v>79.5</v>
      </c>
      <c r="H1470" s="1">
        <v>76.2</v>
      </c>
    </row>
    <row r="1471" s="1" customFormat="1" spans="1:8">
      <c r="A1471" s="1" t="s">
        <v>20</v>
      </c>
      <c r="B1471" s="1" t="s">
        <v>19</v>
      </c>
      <c r="C1471" s="1" t="str">
        <f t="shared" si="29"/>
        <v>020070</v>
      </c>
      <c r="D1471" s="1" t="str">
        <f>"112205929"</f>
        <v>112205929</v>
      </c>
      <c r="E1471" s="1">
        <v>83</v>
      </c>
      <c r="F1471" s="1">
        <v>74.5</v>
      </c>
      <c r="H1471" s="1">
        <v>79.6</v>
      </c>
    </row>
    <row r="1472" s="1" customFormat="1" spans="1:8">
      <c r="A1472" s="1" t="s">
        <v>20</v>
      </c>
      <c r="B1472" s="1" t="s">
        <v>19</v>
      </c>
      <c r="C1472" s="1" t="str">
        <f t="shared" si="29"/>
        <v>020070</v>
      </c>
      <c r="D1472" s="1" t="str">
        <f>"112205930"</f>
        <v>112205930</v>
      </c>
      <c r="E1472" s="1">
        <v>84.5</v>
      </c>
      <c r="F1472" s="1">
        <v>98</v>
      </c>
      <c r="H1472" s="1">
        <v>89.9</v>
      </c>
    </row>
    <row r="1473" s="1" customFormat="1" spans="1:8">
      <c r="A1473" s="1" t="s">
        <v>20</v>
      </c>
      <c r="B1473" s="1" t="s">
        <v>19</v>
      </c>
      <c r="C1473" s="1" t="str">
        <f t="shared" si="29"/>
        <v>020070</v>
      </c>
      <c r="D1473" s="1" t="str">
        <f>"112206001"</f>
        <v>112206001</v>
      </c>
      <c r="E1473" s="1">
        <v>60.5</v>
      </c>
      <c r="F1473" s="1">
        <v>50</v>
      </c>
      <c r="H1473" s="1">
        <v>56.3</v>
      </c>
    </row>
    <row r="1474" s="1" customFormat="1" spans="1:8">
      <c r="A1474" s="1" t="s">
        <v>20</v>
      </c>
      <c r="B1474" s="1" t="s">
        <v>19</v>
      </c>
      <c r="C1474" s="1" t="str">
        <f t="shared" si="29"/>
        <v>020070</v>
      </c>
      <c r="D1474" s="1" t="str">
        <f>"112206002"</f>
        <v>112206002</v>
      </c>
      <c r="E1474" s="1">
        <v>78.5</v>
      </c>
      <c r="F1474" s="1">
        <v>99</v>
      </c>
      <c r="H1474" s="1">
        <v>86.7</v>
      </c>
    </row>
    <row r="1475" s="1" customFormat="1" spans="1:8">
      <c r="A1475" s="1" t="s">
        <v>20</v>
      </c>
      <c r="B1475" s="1" t="s">
        <v>19</v>
      </c>
      <c r="C1475" s="1" t="str">
        <f t="shared" si="29"/>
        <v>020070</v>
      </c>
      <c r="D1475" s="1" t="str">
        <f>"112206003"</f>
        <v>112206003</v>
      </c>
      <c r="E1475" s="1">
        <v>82.5</v>
      </c>
      <c r="F1475" s="1">
        <v>85</v>
      </c>
      <c r="H1475" s="1">
        <v>83.5</v>
      </c>
    </row>
    <row r="1476" s="1" customFormat="1" spans="1:8">
      <c r="A1476" s="1" t="s">
        <v>20</v>
      </c>
      <c r="B1476" s="1" t="s">
        <v>19</v>
      </c>
      <c r="C1476" s="1" t="str">
        <f t="shared" si="29"/>
        <v>020070</v>
      </c>
      <c r="D1476" s="1" t="str">
        <f>"112206004"</f>
        <v>112206004</v>
      </c>
      <c r="E1476" s="1">
        <v>65</v>
      </c>
      <c r="F1476" s="1">
        <v>61</v>
      </c>
      <c r="H1476" s="1">
        <v>63.4</v>
      </c>
    </row>
    <row r="1477" s="1" customFormat="1" spans="1:8">
      <c r="A1477" s="1" t="s">
        <v>20</v>
      </c>
      <c r="B1477" s="1" t="s">
        <v>19</v>
      </c>
      <c r="C1477" s="1" t="str">
        <f t="shared" si="29"/>
        <v>020070</v>
      </c>
      <c r="D1477" s="1" t="str">
        <f>"112206005"</f>
        <v>112206005</v>
      </c>
      <c r="E1477" s="1">
        <v>69</v>
      </c>
      <c r="F1477" s="1">
        <v>64.5</v>
      </c>
      <c r="H1477" s="1">
        <v>67.2</v>
      </c>
    </row>
    <row r="1478" s="1" customFormat="1" spans="1:8">
      <c r="A1478" s="1" t="s">
        <v>20</v>
      </c>
      <c r="B1478" s="1" t="s">
        <v>19</v>
      </c>
      <c r="C1478" s="1" t="str">
        <f t="shared" si="29"/>
        <v>020070</v>
      </c>
      <c r="D1478" s="1" t="str">
        <f>"112206006"</f>
        <v>112206006</v>
      </c>
      <c r="E1478" s="1">
        <v>76.5</v>
      </c>
      <c r="F1478" s="1">
        <v>53.5</v>
      </c>
      <c r="H1478" s="1">
        <v>67.3</v>
      </c>
    </row>
    <row r="1479" s="1" customFormat="1" spans="1:8">
      <c r="A1479" s="1" t="s">
        <v>20</v>
      </c>
      <c r="B1479" s="1" t="s">
        <v>19</v>
      </c>
      <c r="C1479" s="1" t="str">
        <f t="shared" si="29"/>
        <v>020070</v>
      </c>
      <c r="D1479" s="1" t="str">
        <f>"112206007"</f>
        <v>112206007</v>
      </c>
      <c r="E1479" s="1">
        <v>73.5</v>
      </c>
      <c r="F1479" s="1">
        <v>67</v>
      </c>
      <c r="H1479" s="1">
        <v>70.9</v>
      </c>
    </row>
    <row r="1480" s="1" customFormat="1" spans="1:8">
      <c r="A1480" s="1" t="s">
        <v>20</v>
      </c>
      <c r="B1480" s="1" t="s">
        <v>19</v>
      </c>
      <c r="C1480" s="1" t="str">
        <f t="shared" si="29"/>
        <v>020070</v>
      </c>
      <c r="D1480" s="1" t="str">
        <f>"112206008"</f>
        <v>112206008</v>
      </c>
      <c r="E1480" s="1">
        <v>0</v>
      </c>
      <c r="F1480" s="1">
        <v>0</v>
      </c>
      <c r="H1480" s="1">
        <v>0</v>
      </c>
    </row>
    <row r="1481" s="1" customFormat="1" spans="1:8">
      <c r="A1481" s="1" t="s">
        <v>20</v>
      </c>
      <c r="B1481" s="1" t="s">
        <v>19</v>
      </c>
      <c r="C1481" s="1" t="str">
        <f t="shared" si="29"/>
        <v>020070</v>
      </c>
      <c r="D1481" s="1" t="str">
        <f>"112206009"</f>
        <v>112206009</v>
      </c>
      <c r="E1481" s="1">
        <v>66</v>
      </c>
      <c r="F1481" s="1">
        <v>49.5</v>
      </c>
      <c r="H1481" s="1">
        <v>59.4</v>
      </c>
    </row>
    <row r="1482" s="1" customFormat="1" spans="1:8">
      <c r="A1482" s="1" t="s">
        <v>20</v>
      </c>
      <c r="B1482" s="1" t="s">
        <v>19</v>
      </c>
      <c r="C1482" s="1" t="str">
        <f t="shared" si="29"/>
        <v>020070</v>
      </c>
      <c r="D1482" s="1" t="str">
        <f>"112206010"</f>
        <v>112206010</v>
      </c>
      <c r="E1482" s="1">
        <v>0</v>
      </c>
      <c r="F1482" s="1">
        <v>0</v>
      </c>
      <c r="H1482" s="1">
        <v>0</v>
      </c>
    </row>
    <row r="1483" s="1" customFormat="1" spans="1:8">
      <c r="A1483" s="1" t="s">
        <v>20</v>
      </c>
      <c r="B1483" s="1" t="s">
        <v>19</v>
      </c>
      <c r="C1483" s="1" t="str">
        <f t="shared" si="29"/>
        <v>020070</v>
      </c>
      <c r="D1483" s="1" t="str">
        <f>"112206011"</f>
        <v>112206011</v>
      </c>
      <c r="E1483" s="1">
        <v>84.5</v>
      </c>
      <c r="F1483" s="1">
        <v>64.5</v>
      </c>
      <c r="H1483" s="1">
        <v>76.5</v>
      </c>
    </row>
    <row r="1484" s="1" customFormat="1" spans="1:8">
      <c r="A1484" s="1" t="s">
        <v>20</v>
      </c>
      <c r="B1484" s="1" t="s">
        <v>19</v>
      </c>
      <c r="C1484" s="1" t="str">
        <f t="shared" si="29"/>
        <v>020070</v>
      </c>
      <c r="D1484" s="1" t="str">
        <f>"112206012"</f>
        <v>112206012</v>
      </c>
      <c r="E1484" s="1">
        <v>84</v>
      </c>
      <c r="F1484" s="1">
        <v>80.5</v>
      </c>
      <c r="H1484" s="1">
        <v>82.6</v>
      </c>
    </row>
    <row r="1485" s="1" customFormat="1" spans="1:8">
      <c r="A1485" s="1" t="s">
        <v>20</v>
      </c>
      <c r="B1485" s="1" t="s">
        <v>19</v>
      </c>
      <c r="C1485" s="1" t="str">
        <f t="shared" si="29"/>
        <v>020070</v>
      </c>
      <c r="D1485" s="1" t="str">
        <f>"112206013"</f>
        <v>112206013</v>
      </c>
      <c r="E1485" s="1">
        <v>74.5</v>
      </c>
      <c r="F1485" s="1">
        <v>77</v>
      </c>
      <c r="H1485" s="1">
        <v>75.5</v>
      </c>
    </row>
    <row r="1486" s="1" customFormat="1" spans="1:8">
      <c r="A1486" s="1" t="s">
        <v>20</v>
      </c>
      <c r="B1486" s="1" t="s">
        <v>19</v>
      </c>
      <c r="C1486" s="1" t="str">
        <f t="shared" si="29"/>
        <v>020070</v>
      </c>
      <c r="D1486" s="1" t="str">
        <f>"112206014"</f>
        <v>112206014</v>
      </c>
      <c r="E1486" s="1">
        <v>74</v>
      </c>
      <c r="F1486" s="1">
        <v>64</v>
      </c>
      <c r="H1486" s="1">
        <v>70</v>
      </c>
    </row>
    <row r="1487" s="1" customFormat="1" spans="1:8">
      <c r="A1487" s="1" t="s">
        <v>20</v>
      </c>
      <c r="B1487" s="1" t="s">
        <v>19</v>
      </c>
      <c r="C1487" s="1" t="str">
        <f t="shared" si="29"/>
        <v>020070</v>
      </c>
      <c r="D1487" s="1" t="str">
        <f>"112206015"</f>
        <v>112206015</v>
      </c>
      <c r="E1487" s="1">
        <v>0</v>
      </c>
      <c r="F1487" s="1">
        <v>0</v>
      </c>
      <c r="H1487" s="1">
        <v>0</v>
      </c>
    </row>
    <row r="1488" s="1" customFormat="1" spans="1:8">
      <c r="A1488" s="1" t="s">
        <v>20</v>
      </c>
      <c r="B1488" s="1" t="s">
        <v>19</v>
      </c>
      <c r="C1488" s="1" t="str">
        <f t="shared" si="29"/>
        <v>020070</v>
      </c>
      <c r="D1488" s="1" t="str">
        <f>"112206016"</f>
        <v>112206016</v>
      </c>
      <c r="E1488" s="1">
        <v>0</v>
      </c>
      <c r="F1488" s="1">
        <v>0</v>
      </c>
      <c r="H1488" s="1">
        <v>0</v>
      </c>
    </row>
    <row r="1489" s="1" customFormat="1" spans="1:8">
      <c r="A1489" s="1" t="s">
        <v>20</v>
      </c>
      <c r="B1489" s="1" t="s">
        <v>19</v>
      </c>
      <c r="C1489" s="1" t="str">
        <f t="shared" si="29"/>
        <v>020070</v>
      </c>
      <c r="D1489" s="1" t="str">
        <f>"112206017"</f>
        <v>112206017</v>
      </c>
      <c r="E1489" s="1">
        <v>73.5</v>
      </c>
      <c r="F1489" s="1">
        <v>59</v>
      </c>
      <c r="H1489" s="1">
        <v>67.7</v>
      </c>
    </row>
    <row r="1490" s="1" customFormat="1" spans="1:8">
      <c r="A1490" s="1" t="s">
        <v>20</v>
      </c>
      <c r="B1490" s="1" t="s">
        <v>19</v>
      </c>
      <c r="C1490" s="1" t="str">
        <f t="shared" si="29"/>
        <v>020070</v>
      </c>
      <c r="D1490" s="1" t="str">
        <f>"112206018"</f>
        <v>112206018</v>
      </c>
      <c r="E1490" s="1">
        <v>77.5</v>
      </c>
      <c r="F1490" s="1">
        <v>92.5</v>
      </c>
      <c r="H1490" s="1">
        <v>83.5</v>
      </c>
    </row>
    <row r="1491" s="1" customFormat="1" spans="1:8">
      <c r="A1491" s="1" t="s">
        <v>20</v>
      </c>
      <c r="B1491" s="1" t="s">
        <v>19</v>
      </c>
      <c r="C1491" s="1" t="str">
        <f t="shared" si="29"/>
        <v>020070</v>
      </c>
      <c r="D1491" s="1" t="str">
        <f>"112206019"</f>
        <v>112206019</v>
      </c>
      <c r="E1491" s="1">
        <v>76</v>
      </c>
      <c r="F1491" s="1">
        <v>85</v>
      </c>
      <c r="H1491" s="1">
        <v>79.6</v>
      </c>
    </row>
    <row r="1492" s="1" customFormat="1" spans="1:8">
      <c r="A1492" s="1" t="s">
        <v>20</v>
      </c>
      <c r="B1492" s="1" t="s">
        <v>19</v>
      </c>
      <c r="C1492" s="1" t="str">
        <f t="shared" si="29"/>
        <v>020070</v>
      </c>
      <c r="D1492" s="1" t="str">
        <f>"112206020"</f>
        <v>112206020</v>
      </c>
      <c r="E1492" s="1">
        <v>70.5</v>
      </c>
      <c r="F1492" s="1">
        <v>74</v>
      </c>
      <c r="H1492" s="1">
        <v>71.9</v>
      </c>
    </row>
    <row r="1493" s="1" customFormat="1" spans="1:8">
      <c r="A1493" s="1" t="s">
        <v>20</v>
      </c>
      <c r="B1493" s="1" t="s">
        <v>19</v>
      </c>
      <c r="C1493" s="1" t="str">
        <f t="shared" si="29"/>
        <v>020070</v>
      </c>
      <c r="D1493" s="1" t="str">
        <f>"112206021"</f>
        <v>112206021</v>
      </c>
      <c r="E1493" s="1">
        <v>67.5</v>
      </c>
      <c r="F1493" s="1">
        <v>53.5</v>
      </c>
      <c r="H1493" s="1">
        <v>61.9</v>
      </c>
    </row>
    <row r="1494" s="1" customFormat="1" spans="1:8">
      <c r="A1494" s="1" t="s">
        <v>20</v>
      </c>
      <c r="B1494" s="1" t="s">
        <v>19</v>
      </c>
      <c r="C1494" s="1" t="str">
        <f t="shared" si="29"/>
        <v>020070</v>
      </c>
      <c r="D1494" s="1" t="str">
        <f>"112206022"</f>
        <v>112206022</v>
      </c>
      <c r="E1494" s="1">
        <v>64.5</v>
      </c>
      <c r="F1494" s="1">
        <v>70</v>
      </c>
      <c r="H1494" s="1">
        <v>66.7</v>
      </c>
    </row>
    <row r="1495" s="1" customFormat="1" spans="1:8">
      <c r="A1495" s="1" t="s">
        <v>20</v>
      </c>
      <c r="B1495" s="1" t="s">
        <v>19</v>
      </c>
      <c r="C1495" s="1" t="str">
        <f t="shared" si="29"/>
        <v>020070</v>
      </c>
      <c r="D1495" s="1" t="str">
        <f>"112206023"</f>
        <v>112206023</v>
      </c>
      <c r="E1495" s="1">
        <v>0</v>
      </c>
      <c r="F1495" s="1">
        <v>0</v>
      </c>
      <c r="H1495" s="1">
        <v>0</v>
      </c>
    </row>
    <row r="1496" s="1" customFormat="1" spans="1:8">
      <c r="A1496" s="1" t="s">
        <v>20</v>
      </c>
      <c r="B1496" s="1" t="s">
        <v>19</v>
      </c>
      <c r="C1496" s="1" t="str">
        <f t="shared" si="29"/>
        <v>020070</v>
      </c>
      <c r="D1496" s="1" t="str">
        <f>"112206024"</f>
        <v>112206024</v>
      </c>
      <c r="E1496" s="1">
        <v>73</v>
      </c>
      <c r="F1496" s="1">
        <v>94</v>
      </c>
      <c r="H1496" s="1">
        <v>81.4</v>
      </c>
    </row>
    <row r="1497" s="1" customFormat="1" spans="1:8">
      <c r="A1497" s="1" t="s">
        <v>20</v>
      </c>
      <c r="B1497" s="1" t="s">
        <v>19</v>
      </c>
      <c r="C1497" s="1" t="str">
        <f t="shared" si="29"/>
        <v>020070</v>
      </c>
      <c r="D1497" s="1" t="str">
        <f>"112206025"</f>
        <v>112206025</v>
      </c>
      <c r="E1497" s="1">
        <v>83</v>
      </c>
      <c r="F1497" s="1">
        <v>71.5</v>
      </c>
      <c r="H1497" s="1">
        <v>78.4</v>
      </c>
    </row>
    <row r="1498" s="1" customFormat="1" spans="1:8">
      <c r="A1498" s="1" t="s">
        <v>20</v>
      </c>
      <c r="B1498" s="1" t="s">
        <v>19</v>
      </c>
      <c r="C1498" s="1" t="str">
        <f t="shared" si="29"/>
        <v>020070</v>
      </c>
      <c r="D1498" s="1" t="str">
        <f>"112206026"</f>
        <v>112206026</v>
      </c>
      <c r="E1498" s="1">
        <v>86.5</v>
      </c>
      <c r="F1498" s="1">
        <v>72</v>
      </c>
      <c r="H1498" s="1">
        <v>80.7</v>
      </c>
    </row>
    <row r="1499" s="1" customFormat="1" spans="1:8">
      <c r="A1499" s="1" t="s">
        <v>20</v>
      </c>
      <c r="B1499" s="1" t="s">
        <v>19</v>
      </c>
      <c r="C1499" s="1" t="str">
        <f t="shared" ref="C1499:C1507" si="30">"020070"</f>
        <v>020070</v>
      </c>
      <c r="D1499" s="1" t="str">
        <f>"112206027"</f>
        <v>112206027</v>
      </c>
      <c r="E1499" s="1">
        <v>67</v>
      </c>
      <c r="F1499" s="1">
        <v>53.5</v>
      </c>
      <c r="H1499" s="1">
        <v>61.6</v>
      </c>
    </row>
    <row r="1500" s="1" customFormat="1" spans="1:8">
      <c r="A1500" s="1" t="s">
        <v>20</v>
      </c>
      <c r="B1500" s="1" t="s">
        <v>19</v>
      </c>
      <c r="C1500" s="1" t="str">
        <f t="shared" si="30"/>
        <v>020070</v>
      </c>
      <c r="D1500" s="1" t="str">
        <f>"112206028"</f>
        <v>112206028</v>
      </c>
      <c r="E1500" s="1">
        <v>75</v>
      </c>
      <c r="F1500" s="1">
        <v>101.5</v>
      </c>
      <c r="H1500" s="1">
        <v>85.6</v>
      </c>
    </row>
    <row r="1501" s="1" customFormat="1" spans="1:8">
      <c r="A1501" s="1" t="s">
        <v>20</v>
      </c>
      <c r="B1501" s="1" t="s">
        <v>19</v>
      </c>
      <c r="C1501" s="1" t="str">
        <f t="shared" si="30"/>
        <v>020070</v>
      </c>
      <c r="D1501" s="1" t="str">
        <f>"112206029"</f>
        <v>112206029</v>
      </c>
      <c r="E1501" s="1">
        <v>63.5</v>
      </c>
      <c r="F1501" s="1">
        <v>60</v>
      </c>
      <c r="H1501" s="1">
        <v>62.1</v>
      </c>
    </row>
    <row r="1502" s="1" customFormat="1" spans="1:8">
      <c r="A1502" s="1" t="s">
        <v>20</v>
      </c>
      <c r="B1502" s="1" t="s">
        <v>19</v>
      </c>
      <c r="C1502" s="1" t="str">
        <f t="shared" si="30"/>
        <v>020070</v>
      </c>
      <c r="D1502" s="1" t="str">
        <f>"112206030"</f>
        <v>112206030</v>
      </c>
      <c r="E1502" s="1">
        <v>49.5</v>
      </c>
      <c r="F1502" s="1">
        <v>49.5</v>
      </c>
      <c r="H1502" s="1">
        <v>49.5</v>
      </c>
    </row>
    <row r="1503" s="1" customFormat="1" spans="1:8">
      <c r="A1503" s="1" t="s">
        <v>20</v>
      </c>
      <c r="B1503" s="1" t="s">
        <v>19</v>
      </c>
      <c r="C1503" s="1" t="str">
        <f t="shared" si="30"/>
        <v>020070</v>
      </c>
      <c r="D1503" s="1" t="str">
        <f>"112206101"</f>
        <v>112206101</v>
      </c>
      <c r="E1503" s="1">
        <v>64</v>
      </c>
      <c r="F1503" s="1">
        <v>70.5</v>
      </c>
      <c r="H1503" s="1">
        <v>66.6</v>
      </c>
    </row>
    <row r="1504" s="1" customFormat="1" spans="1:8">
      <c r="A1504" s="1" t="s">
        <v>20</v>
      </c>
      <c r="B1504" s="1" t="s">
        <v>19</v>
      </c>
      <c r="C1504" s="1" t="str">
        <f t="shared" si="30"/>
        <v>020070</v>
      </c>
      <c r="D1504" s="1" t="str">
        <f>"112206102"</f>
        <v>112206102</v>
      </c>
      <c r="E1504" s="1">
        <v>80.5</v>
      </c>
      <c r="F1504" s="1">
        <v>65</v>
      </c>
      <c r="H1504" s="1">
        <v>74.3</v>
      </c>
    </row>
    <row r="1505" s="1" customFormat="1" spans="1:8">
      <c r="A1505" s="1" t="s">
        <v>20</v>
      </c>
      <c r="B1505" s="1" t="s">
        <v>19</v>
      </c>
      <c r="C1505" s="1" t="str">
        <f t="shared" si="30"/>
        <v>020070</v>
      </c>
      <c r="D1505" s="1" t="str">
        <f>"112206103"</f>
        <v>112206103</v>
      </c>
      <c r="E1505" s="1">
        <v>76</v>
      </c>
      <c r="F1505" s="1">
        <v>92</v>
      </c>
      <c r="H1505" s="1">
        <v>82.4</v>
      </c>
    </row>
    <row r="1506" s="1" customFormat="1" spans="1:8">
      <c r="A1506" s="1" t="s">
        <v>20</v>
      </c>
      <c r="B1506" s="1" t="s">
        <v>19</v>
      </c>
      <c r="C1506" s="1" t="str">
        <f t="shared" si="30"/>
        <v>020070</v>
      </c>
      <c r="D1506" s="1" t="str">
        <f>"112206104"</f>
        <v>112206104</v>
      </c>
      <c r="E1506" s="1">
        <v>61</v>
      </c>
      <c r="F1506" s="1">
        <v>77</v>
      </c>
      <c r="H1506" s="1">
        <v>67.4</v>
      </c>
    </row>
    <row r="1507" s="1" customFormat="1" spans="1:8">
      <c r="A1507" s="1" t="s">
        <v>20</v>
      </c>
      <c r="B1507" s="1" t="s">
        <v>19</v>
      </c>
      <c r="C1507" s="1" t="str">
        <f t="shared" si="30"/>
        <v>020070</v>
      </c>
      <c r="D1507" s="1" t="str">
        <f>"112206105"</f>
        <v>112206105</v>
      </c>
      <c r="E1507" s="1">
        <v>75</v>
      </c>
      <c r="F1507" s="1">
        <v>76</v>
      </c>
      <c r="H1507" s="1">
        <v>75.4</v>
      </c>
    </row>
    <row r="1508" s="1" customFormat="1" spans="1:8">
      <c r="A1508" s="1" t="s">
        <v>12</v>
      </c>
      <c r="B1508" s="1" t="s">
        <v>19</v>
      </c>
      <c r="C1508" s="1" t="str">
        <f t="shared" ref="C1508:C1571" si="31">"020071"</f>
        <v>020071</v>
      </c>
      <c r="D1508" s="1" t="str">
        <f>"112206106"</f>
        <v>112206106</v>
      </c>
      <c r="E1508" s="1">
        <v>77.5</v>
      </c>
      <c r="F1508" s="1">
        <v>58</v>
      </c>
      <c r="H1508" s="1">
        <v>69.7</v>
      </c>
    </row>
    <row r="1509" s="1" customFormat="1" spans="1:8">
      <c r="A1509" s="1" t="s">
        <v>12</v>
      </c>
      <c r="B1509" s="1" t="s">
        <v>19</v>
      </c>
      <c r="C1509" s="1" t="str">
        <f t="shared" si="31"/>
        <v>020071</v>
      </c>
      <c r="D1509" s="1" t="str">
        <f>"112206107"</f>
        <v>112206107</v>
      </c>
      <c r="E1509" s="1">
        <v>65</v>
      </c>
      <c r="F1509" s="1">
        <v>54</v>
      </c>
      <c r="H1509" s="1">
        <v>60.6</v>
      </c>
    </row>
    <row r="1510" s="1" customFormat="1" spans="1:8">
      <c r="A1510" s="1" t="s">
        <v>12</v>
      </c>
      <c r="B1510" s="1" t="s">
        <v>19</v>
      </c>
      <c r="C1510" s="1" t="str">
        <f t="shared" si="31"/>
        <v>020071</v>
      </c>
      <c r="D1510" s="1" t="str">
        <f>"112206108"</f>
        <v>112206108</v>
      </c>
      <c r="E1510" s="1">
        <v>0</v>
      </c>
      <c r="F1510" s="1">
        <v>0</v>
      </c>
      <c r="H1510" s="1">
        <v>0</v>
      </c>
    </row>
    <row r="1511" s="1" customFormat="1" spans="1:8">
      <c r="A1511" s="1" t="s">
        <v>12</v>
      </c>
      <c r="B1511" s="1" t="s">
        <v>19</v>
      </c>
      <c r="C1511" s="1" t="str">
        <f t="shared" si="31"/>
        <v>020071</v>
      </c>
      <c r="D1511" s="1" t="str">
        <f>"112206109"</f>
        <v>112206109</v>
      </c>
      <c r="E1511" s="1">
        <v>61.5</v>
      </c>
      <c r="F1511" s="1">
        <v>66</v>
      </c>
      <c r="H1511" s="1">
        <v>63.3</v>
      </c>
    </row>
    <row r="1512" s="1" customFormat="1" spans="1:8">
      <c r="A1512" s="1" t="s">
        <v>12</v>
      </c>
      <c r="B1512" s="1" t="s">
        <v>19</v>
      </c>
      <c r="C1512" s="1" t="str">
        <f t="shared" si="31"/>
        <v>020071</v>
      </c>
      <c r="D1512" s="1" t="str">
        <f>"112206110"</f>
        <v>112206110</v>
      </c>
      <c r="E1512" s="1">
        <v>34</v>
      </c>
      <c r="F1512" s="1">
        <v>0</v>
      </c>
      <c r="H1512" s="1">
        <v>20.4</v>
      </c>
    </row>
    <row r="1513" s="1" customFormat="1" spans="1:8">
      <c r="A1513" s="1" t="s">
        <v>12</v>
      </c>
      <c r="B1513" s="1" t="s">
        <v>19</v>
      </c>
      <c r="C1513" s="1" t="str">
        <f t="shared" si="31"/>
        <v>020071</v>
      </c>
      <c r="D1513" s="1" t="str">
        <f>"112206111"</f>
        <v>112206111</v>
      </c>
      <c r="E1513" s="1">
        <v>57</v>
      </c>
      <c r="F1513" s="1">
        <v>76.5</v>
      </c>
      <c r="H1513" s="1">
        <v>64.8</v>
      </c>
    </row>
    <row r="1514" s="1" customFormat="1" spans="1:8">
      <c r="A1514" s="1" t="s">
        <v>12</v>
      </c>
      <c r="B1514" s="1" t="s">
        <v>19</v>
      </c>
      <c r="C1514" s="1" t="str">
        <f t="shared" si="31"/>
        <v>020071</v>
      </c>
      <c r="D1514" s="1" t="str">
        <f>"112206112"</f>
        <v>112206112</v>
      </c>
      <c r="E1514" s="1">
        <v>0</v>
      </c>
      <c r="F1514" s="1">
        <v>0</v>
      </c>
      <c r="H1514" s="1">
        <v>0</v>
      </c>
    </row>
    <row r="1515" s="1" customFormat="1" spans="1:8">
      <c r="A1515" s="1" t="s">
        <v>12</v>
      </c>
      <c r="B1515" s="1" t="s">
        <v>19</v>
      </c>
      <c r="C1515" s="1" t="str">
        <f t="shared" si="31"/>
        <v>020071</v>
      </c>
      <c r="D1515" s="1" t="str">
        <f>"112206113"</f>
        <v>112206113</v>
      </c>
      <c r="E1515" s="1">
        <v>0</v>
      </c>
      <c r="F1515" s="1">
        <v>0</v>
      </c>
      <c r="H1515" s="1">
        <v>0</v>
      </c>
    </row>
    <row r="1516" s="1" customFormat="1" spans="1:8">
      <c r="A1516" s="1" t="s">
        <v>12</v>
      </c>
      <c r="B1516" s="1" t="s">
        <v>19</v>
      </c>
      <c r="C1516" s="1" t="str">
        <f t="shared" si="31"/>
        <v>020071</v>
      </c>
      <c r="D1516" s="1" t="str">
        <f>"112206114"</f>
        <v>112206114</v>
      </c>
      <c r="E1516" s="1">
        <v>0</v>
      </c>
      <c r="F1516" s="1">
        <v>0</v>
      </c>
      <c r="H1516" s="1">
        <v>0</v>
      </c>
    </row>
    <row r="1517" s="1" customFormat="1" spans="1:8">
      <c r="A1517" s="1" t="s">
        <v>12</v>
      </c>
      <c r="B1517" s="1" t="s">
        <v>19</v>
      </c>
      <c r="C1517" s="1" t="str">
        <f t="shared" si="31"/>
        <v>020071</v>
      </c>
      <c r="D1517" s="1" t="str">
        <f>"112206115"</f>
        <v>112206115</v>
      </c>
      <c r="E1517" s="1">
        <v>66</v>
      </c>
      <c r="F1517" s="1">
        <v>57.5</v>
      </c>
      <c r="H1517" s="1">
        <v>62.6</v>
      </c>
    </row>
    <row r="1518" s="1" customFormat="1" spans="1:8">
      <c r="A1518" s="1" t="s">
        <v>12</v>
      </c>
      <c r="B1518" s="1" t="s">
        <v>19</v>
      </c>
      <c r="C1518" s="1" t="str">
        <f t="shared" si="31"/>
        <v>020071</v>
      </c>
      <c r="D1518" s="1" t="str">
        <f>"112206116"</f>
        <v>112206116</v>
      </c>
      <c r="E1518" s="1">
        <v>71.5</v>
      </c>
      <c r="F1518" s="1">
        <v>64.5</v>
      </c>
      <c r="H1518" s="1">
        <v>68.7</v>
      </c>
    </row>
    <row r="1519" s="1" customFormat="1" spans="1:8">
      <c r="A1519" s="1" t="s">
        <v>12</v>
      </c>
      <c r="B1519" s="1" t="s">
        <v>19</v>
      </c>
      <c r="C1519" s="1" t="str">
        <f t="shared" si="31"/>
        <v>020071</v>
      </c>
      <c r="D1519" s="1" t="str">
        <f>"112206117"</f>
        <v>112206117</v>
      </c>
      <c r="E1519" s="1">
        <v>0</v>
      </c>
      <c r="F1519" s="1">
        <v>0</v>
      </c>
      <c r="H1519" s="1">
        <v>0</v>
      </c>
    </row>
    <row r="1520" s="1" customFormat="1" spans="1:8">
      <c r="A1520" s="1" t="s">
        <v>12</v>
      </c>
      <c r="B1520" s="1" t="s">
        <v>19</v>
      </c>
      <c r="C1520" s="1" t="str">
        <f t="shared" si="31"/>
        <v>020071</v>
      </c>
      <c r="D1520" s="1" t="str">
        <f>"112206118"</f>
        <v>112206118</v>
      </c>
      <c r="E1520" s="1">
        <v>76</v>
      </c>
      <c r="F1520" s="1">
        <v>65.5</v>
      </c>
      <c r="H1520" s="1">
        <v>71.8</v>
      </c>
    </row>
    <row r="1521" s="1" customFormat="1" spans="1:8">
      <c r="A1521" s="1" t="s">
        <v>12</v>
      </c>
      <c r="B1521" s="1" t="s">
        <v>19</v>
      </c>
      <c r="C1521" s="1" t="str">
        <f t="shared" si="31"/>
        <v>020071</v>
      </c>
      <c r="D1521" s="1" t="str">
        <f>"112206119"</f>
        <v>112206119</v>
      </c>
      <c r="E1521" s="1">
        <v>0</v>
      </c>
      <c r="F1521" s="1">
        <v>0</v>
      </c>
      <c r="H1521" s="1">
        <v>0</v>
      </c>
    </row>
    <row r="1522" s="1" customFormat="1" spans="1:8">
      <c r="A1522" s="1" t="s">
        <v>12</v>
      </c>
      <c r="B1522" s="1" t="s">
        <v>19</v>
      </c>
      <c r="C1522" s="1" t="str">
        <f t="shared" si="31"/>
        <v>020071</v>
      </c>
      <c r="D1522" s="1" t="str">
        <f>"112206120"</f>
        <v>112206120</v>
      </c>
      <c r="E1522" s="1">
        <v>65</v>
      </c>
      <c r="F1522" s="1">
        <v>51.5</v>
      </c>
      <c r="H1522" s="1">
        <v>59.6</v>
      </c>
    </row>
    <row r="1523" s="1" customFormat="1" spans="1:8">
      <c r="A1523" s="1" t="s">
        <v>12</v>
      </c>
      <c r="B1523" s="1" t="s">
        <v>19</v>
      </c>
      <c r="C1523" s="1" t="str">
        <f t="shared" si="31"/>
        <v>020071</v>
      </c>
      <c r="D1523" s="1" t="str">
        <f>"112206121"</f>
        <v>112206121</v>
      </c>
      <c r="E1523" s="1">
        <v>72</v>
      </c>
      <c r="F1523" s="1">
        <v>77</v>
      </c>
      <c r="H1523" s="1">
        <v>74</v>
      </c>
    </row>
    <row r="1524" s="1" customFormat="1" spans="1:8">
      <c r="A1524" s="1" t="s">
        <v>12</v>
      </c>
      <c r="B1524" s="1" t="s">
        <v>19</v>
      </c>
      <c r="C1524" s="1" t="str">
        <f t="shared" si="31"/>
        <v>020071</v>
      </c>
      <c r="D1524" s="1" t="str">
        <f>"112206122"</f>
        <v>112206122</v>
      </c>
      <c r="E1524" s="1">
        <v>62.5</v>
      </c>
      <c r="F1524" s="1">
        <v>52.5</v>
      </c>
      <c r="H1524" s="1">
        <v>58.5</v>
      </c>
    </row>
    <row r="1525" s="1" customFormat="1" spans="1:8">
      <c r="A1525" s="1" t="s">
        <v>12</v>
      </c>
      <c r="B1525" s="1" t="s">
        <v>19</v>
      </c>
      <c r="C1525" s="1" t="str">
        <f t="shared" si="31"/>
        <v>020071</v>
      </c>
      <c r="D1525" s="1" t="str">
        <f>"112206123"</f>
        <v>112206123</v>
      </c>
      <c r="E1525" s="1">
        <v>0</v>
      </c>
      <c r="F1525" s="1">
        <v>0</v>
      </c>
      <c r="H1525" s="1">
        <v>0</v>
      </c>
    </row>
    <row r="1526" s="1" customFormat="1" spans="1:8">
      <c r="A1526" s="1" t="s">
        <v>12</v>
      </c>
      <c r="B1526" s="1" t="s">
        <v>19</v>
      </c>
      <c r="C1526" s="1" t="str">
        <f t="shared" si="31"/>
        <v>020071</v>
      </c>
      <c r="D1526" s="1" t="str">
        <f>"112206124"</f>
        <v>112206124</v>
      </c>
      <c r="E1526" s="1">
        <v>74.5</v>
      </c>
      <c r="F1526" s="1">
        <v>79.5</v>
      </c>
      <c r="H1526" s="1">
        <v>76.5</v>
      </c>
    </row>
    <row r="1527" s="1" customFormat="1" spans="1:8">
      <c r="A1527" s="1" t="s">
        <v>12</v>
      </c>
      <c r="B1527" s="1" t="s">
        <v>19</v>
      </c>
      <c r="C1527" s="1" t="str">
        <f t="shared" si="31"/>
        <v>020071</v>
      </c>
      <c r="D1527" s="1" t="str">
        <f>"112206125"</f>
        <v>112206125</v>
      </c>
      <c r="E1527" s="1">
        <v>85.5</v>
      </c>
      <c r="F1527" s="1">
        <v>81</v>
      </c>
      <c r="H1527" s="1">
        <v>83.7</v>
      </c>
    </row>
    <row r="1528" s="1" customFormat="1" spans="1:8">
      <c r="A1528" s="1" t="s">
        <v>12</v>
      </c>
      <c r="B1528" s="1" t="s">
        <v>19</v>
      </c>
      <c r="C1528" s="1" t="str">
        <f t="shared" si="31"/>
        <v>020071</v>
      </c>
      <c r="D1528" s="1" t="str">
        <f>"112206126"</f>
        <v>112206126</v>
      </c>
      <c r="E1528" s="1">
        <v>84.5</v>
      </c>
      <c r="F1528" s="1">
        <v>94.5</v>
      </c>
      <c r="H1528" s="1">
        <v>88.5</v>
      </c>
    </row>
    <row r="1529" s="1" customFormat="1" spans="1:8">
      <c r="A1529" s="1" t="s">
        <v>12</v>
      </c>
      <c r="B1529" s="1" t="s">
        <v>19</v>
      </c>
      <c r="C1529" s="1" t="str">
        <f t="shared" si="31"/>
        <v>020071</v>
      </c>
      <c r="D1529" s="1" t="str">
        <f>"112206127"</f>
        <v>112206127</v>
      </c>
      <c r="E1529" s="1">
        <v>65.5</v>
      </c>
      <c r="F1529" s="1">
        <v>89.5</v>
      </c>
      <c r="H1529" s="1">
        <v>75.1</v>
      </c>
    </row>
    <row r="1530" s="1" customFormat="1" spans="1:8">
      <c r="A1530" s="1" t="s">
        <v>12</v>
      </c>
      <c r="B1530" s="1" t="s">
        <v>19</v>
      </c>
      <c r="C1530" s="1" t="str">
        <f t="shared" si="31"/>
        <v>020071</v>
      </c>
      <c r="D1530" s="1" t="str">
        <f>"112206128"</f>
        <v>112206128</v>
      </c>
      <c r="E1530" s="1">
        <v>0</v>
      </c>
      <c r="F1530" s="1">
        <v>0</v>
      </c>
      <c r="H1530" s="1">
        <v>0</v>
      </c>
    </row>
    <row r="1531" s="1" customFormat="1" spans="1:8">
      <c r="A1531" s="1" t="s">
        <v>12</v>
      </c>
      <c r="B1531" s="1" t="s">
        <v>19</v>
      </c>
      <c r="C1531" s="1" t="str">
        <f t="shared" si="31"/>
        <v>020071</v>
      </c>
      <c r="D1531" s="1" t="str">
        <f>"112206129"</f>
        <v>112206129</v>
      </c>
      <c r="E1531" s="1">
        <v>67</v>
      </c>
      <c r="F1531" s="1">
        <v>71</v>
      </c>
      <c r="H1531" s="1">
        <v>68.6</v>
      </c>
    </row>
    <row r="1532" s="1" customFormat="1" spans="1:8">
      <c r="A1532" s="1" t="s">
        <v>12</v>
      </c>
      <c r="B1532" s="1" t="s">
        <v>19</v>
      </c>
      <c r="C1532" s="1" t="str">
        <f t="shared" si="31"/>
        <v>020071</v>
      </c>
      <c r="D1532" s="1" t="str">
        <f>"112206130"</f>
        <v>112206130</v>
      </c>
      <c r="E1532" s="1">
        <v>75.5</v>
      </c>
      <c r="F1532" s="1">
        <v>63</v>
      </c>
      <c r="H1532" s="1">
        <v>70.5</v>
      </c>
    </row>
    <row r="1533" s="1" customFormat="1" spans="1:8">
      <c r="A1533" s="1" t="s">
        <v>12</v>
      </c>
      <c r="B1533" s="1" t="s">
        <v>19</v>
      </c>
      <c r="C1533" s="1" t="str">
        <f t="shared" si="31"/>
        <v>020071</v>
      </c>
      <c r="D1533" s="1" t="str">
        <f>"112206201"</f>
        <v>112206201</v>
      </c>
      <c r="E1533" s="1">
        <v>70.5</v>
      </c>
      <c r="F1533" s="1">
        <v>52</v>
      </c>
      <c r="H1533" s="1">
        <v>63.1</v>
      </c>
    </row>
    <row r="1534" s="1" customFormat="1" spans="1:8">
      <c r="A1534" s="1" t="s">
        <v>12</v>
      </c>
      <c r="B1534" s="1" t="s">
        <v>19</v>
      </c>
      <c r="C1534" s="1" t="str">
        <f t="shared" si="31"/>
        <v>020071</v>
      </c>
      <c r="D1534" s="1" t="str">
        <f>"112206202"</f>
        <v>112206202</v>
      </c>
      <c r="E1534" s="1">
        <v>71</v>
      </c>
      <c r="F1534" s="1">
        <v>50.5</v>
      </c>
      <c r="H1534" s="1">
        <v>62.8</v>
      </c>
    </row>
    <row r="1535" s="1" customFormat="1" spans="1:8">
      <c r="A1535" s="1" t="s">
        <v>12</v>
      </c>
      <c r="B1535" s="1" t="s">
        <v>19</v>
      </c>
      <c r="C1535" s="1" t="str">
        <f t="shared" si="31"/>
        <v>020071</v>
      </c>
      <c r="D1535" s="1" t="str">
        <f>"112206203"</f>
        <v>112206203</v>
      </c>
      <c r="E1535" s="1">
        <v>0</v>
      </c>
      <c r="F1535" s="1">
        <v>0</v>
      </c>
      <c r="H1535" s="1">
        <v>0</v>
      </c>
    </row>
    <row r="1536" s="1" customFormat="1" spans="1:8">
      <c r="A1536" s="1" t="s">
        <v>12</v>
      </c>
      <c r="B1536" s="1" t="s">
        <v>19</v>
      </c>
      <c r="C1536" s="1" t="str">
        <f t="shared" si="31"/>
        <v>020071</v>
      </c>
      <c r="D1536" s="1" t="str">
        <f>"112206204"</f>
        <v>112206204</v>
      </c>
      <c r="E1536" s="1">
        <v>0</v>
      </c>
      <c r="F1536" s="1">
        <v>0</v>
      </c>
      <c r="H1536" s="1">
        <v>0</v>
      </c>
    </row>
    <row r="1537" s="1" customFormat="1" spans="1:8">
      <c r="A1537" s="1" t="s">
        <v>12</v>
      </c>
      <c r="B1537" s="1" t="s">
        <v>19</v>
      </c>
      <c r="C1537" s="1" t="str">
        <f t="shared" si="31"/>
        <v>020071</v>
      </c>
      <c r="D1537" s="1" t="str">
        <f>"112206205"</f>
        <v>112206205</v>
      </c>
      <c r="E1537" s="1">
        <v>0</v>
      </c>
      <c r="F1537" s="1">
        <v>0</v>
      </c>
      <c r="H1537" s="1">
        <v>0</v>
      </c>
    </row>
    <row r="1538" s="1" customFormat="1" spans="1:8">
      <c r="A1538" s="1" t="s">
        <v>12</v>
      </c>
      <c r="B1538" s="1" t="s">
        <v>19</v>
      </c>
      <c r="C1538" s="1" t="str">
        <f t="shared" si="31"/>
        <v>020071</v>
      </c>
      <c r="D1538" s="1" t="str">
        <f>"112206206"</f>
        <v>112206206</v>
      </c>
      <c r="E1538" s="1">
        <v>76.5</v>
      </c>
      <c r="F1538" s="1">
        <v>72</v>
      </c>
      <c r="H1538" s="1">
        <v>74.7</v>
      </c>
    </row>
    <row r="1539" s="1" customFormat="1" spans="1:8">
      <c r="A1539" s="1" t="s">
        <v>12</v>
      </c>
      <c r="B1539" s="1" t="s">
        <v>19</v>
      </c>
      <c r="C1539" s="1" t="str">
        <f t="shared" si="31"/>
        <v>020071</v>
      </c>
      <c r="D1539" s="1" t="str">
        <f>"112206207"</f>
        <v>112206207</v>
      </c>
      <c r="E1539" s="1">
        <v>59</v>
      </c>
      <c r="F1539" s="1">
        <v>63</v>
      </c>
      <c r="H1539" s="1">
        <v>60.6</v>
      </c>
    </row>
    <row r="1540" s="1" customFormat="1" spans="1:8">
      <c r="A1540" s="1" t="s">
        <v>12</v>
      </c>
      <c r="B1540" s="1" t="s">
        <v>19</v>
      </c>
      <c r="C1540" s="1" t="str">
        <f t="shared" si="31"/>
        <v>020071</v>
      </c>
      <c r="D1540" s="1" t="str">
        <f>"112206208"</f>
        <v>112206208</v>
      </c>
      <c r="E1540" s="1">
        <v>70</v>
      </c>
      <c r="F1540" s="1">
        <v>75</v>
      </c>
      <c r="H1540" s="1">
        <v>72</v>
      </c>
    </row>
    <row r="1541" s="1" customFormat="1" spans="1:8">
      <c r="A1541" s="1" t="s">
        <v>12</v>
      </c>
      <c r="B1541" s="1" t="s">
        <v>19</v>
      </c>
      <c r="C1541" s="1" t="str">
        <f t="shared" si="31"/>
        <v>020071</v>
      </c>
      <c r="D1541" s="1" t="str">
        <f>"112206209"</f>
        <v>112206209</v>
      </c>
      <c r="E1541" s="1">
        <v>72.5</v>
      </c>
      <c r="F1541" s="1">
        <v>74.5</v>
      </c>
      <c r="H1541" s="1">
        <v>73.3</v>
      </c>
    </row>
    <row r="1542" s="1" customFormat="1" spans="1:8">
      <c r="A1542" s="1" t="s">
        <v>12</v>
      </c>
      <c r="B1542" s="1" t="s">
        <v>19</v>
      </c>
      <c r="C1542" s="1" t="str">
        <f t="shared" si="31"/>
        <v>020071</v>
      </c>
      <c r="D1542" s="1" t="str">
        <f>"112206210"</f>
        <v>112206210</v>
      </c>
      <c r="E1542" s="1">
        <v>0</v>
      </c>
      <c r="F1542" s="1">
        <v>0</v>
      </c>
      <c r="H1542" s="1">
        <v>0</v>
      </c>
    </row>
    <row r="1543" s="1" customFormat="1" spans="1:8">
      <c r="A1543" s="1" t="s">
        <v>12</v>
      </c>
      <c r="B1543" s="1" t="s">
        <v>19</v>
      </c>
      <c r="C1543" s="1" t="str">
        <f t="shared" si="31"/>
        <v>020071</v>
      </c>
      <c r="D1543" s="1" t="str">
        <f>"112206211"</f>
        <v>112206211</v>
      </c>
      <c r="E1543" s="1">
        <v>55</v>
      </c>
      <c r="F1543" s="1">
        <v>59</v>
      </c>
      <c r="H1543" s="1">
        <v>56.6</v>
      </c>
    </row>
    <row r="1544" s="1" customFormat="1" spans="1:8">
      <c r="A1544" s="1" t="s">
        <v>12</v>
      </c>
      <c r="B1544" s="1" t="s">
        <v>19</v>
      </c>
      <c r="C1544" s="1" t="str">
        <f t="shared" si="31"/>
        <v>020071</v>
      </c>
      <c r="D1544" s="1" t="str">
        <f>"112206212"</f>
        <v>112206212</v>
      </c>
      <c r="E1544" s="1">
        <v>76.5</v>
      </c>
      <c r="F1544" s="1">
        <v>63.5</v>
      </c>
      <c r="H1544" s="1">
        <v>71.3</v>
      </c>
    </row>
    <row r="1545" s="1" customFormat="1" spans="1:8">
      <c r="A1545" s="1" t="s">
        <v>12</v>
      </c>
      <c r="B1545" s="1" t="s">
        <v>19</v>
      </c>
      <c r="C1545" s="1" t="str">
        <f t="shared" si="31"/>
        <v>020071</v>
      </c>
      <c r="D1545" s="1" t="str">
        <f>"112206213"</f>
        <v>112206213</v>
      </c>
      <c r="E1545" s="1">
        <v>66.5</v>
      </c>
      <c r="F1545" s="1">
        <v>61</v>
      </c>
      <c r="H1545" s="1">
        <v>64.3</v>
      </c>
    </row>
    <row r="1546" s="1" customFormat="1" spans="1:8">
      <c r="A1546" s="1" t="s">
        <v>12</v>
      </c>
      <c r="B1546" s="1" t="s">
        <v>19</v>
      </c>
      <c r="C1546" s="1" t="str">
        <f t="shared" si="31"/>
        <v>020071</v>
      </c>
      <c r="D1546" s="1" t="str">
        <f>"112206214"</f>
        <v>112206214</v>
      </c>
      <c r="E1546" s="1">
        <v>69.5</v>
      </c>
      <c r="F1546" s="1">
        <v>53</v>
      </c>
      <c r="H1546" s="1">
        <v>62.9</v>
      </c>
    </row>
    <row r="1547" s="1" customFormat="1" spans="1:8">
      <c r="A1547" s="1" t="s">
        <v>12</v>
      </c>
      <c r="B1547" s="1" t="s">
        <v>19</v>
      </c>
      <c r="C1547" s="1" t="str">
        <f t="shared" si="31"/>
        <v>020071</v>
      </c>
      <c r="D1547" s="1" t="str">
        <f>"112206215"</f>
        <v>112206215</v>
      </c>
      <c r="E1547" s="1">
        <v>0</v>
      </c>
      <c r="F1547" s="1">
        <v>0</v>
      </c>
      <c r="H1547" s="1">
        <v>0</v>
      </c>
    </row>
    <row r="1548" s="1" customFormat="1" spans="1:8">
      <c r="A1548" s="1" t="s">
        <v>12</v>
      </c>
      <c r="B1548" s="1" t="s">
        <v>19</v>
      </c>
      <c r="C1548" s="1" t="str">
        <f t="shared" si="31"/>
        <v>020071</v>
      </c>
      <c r="D1548" s="1" t="str">
        <f>"112206216"</f>
        <v>112206216</v>
      </c>
      <c r="E1548" s="1">
        <v>86.5</v>
      </c>
      <c r="F1548" s="1">
        <v>97</v>
      </c>
      <c r="H1548" s="1">
        <v>90.7</v>
      </c>
    </row>
    <row r="1549" s="1" customFormat="1" spans="1:8">
      <c r="A1549" s="1" t="s">
        <v>12</v>
      </c>
      <c r="B1549" s="1" t="s">
        <v>19</v>
      </c>
      <c r="C1549" s="1" t="str">
        <f t="shared" si="31"/>
        <v>020071</v>
      </c>
      <c r="D1549" s="1" t="str">
        <f>"112206217"</f>
        <v>112206217</v>
      </c>
      <c r="E1549" s="1">
        <v>75</v>
      </c>
      <c r="F1549" s="1">
        <v>85.5</v>
      </c>
      <c r="H1549" s="1">
        <v>79.2</v>
      </c>
    </row>
    <row r="1550" s="1" customFormat="1" spans="1:8">
      <c r="A1550" s="1" t="s">
        <v>12</v>
      </c>
      <c r="B1550" s="1" t="s">
        <v>19</v>
      </c>
      <c r="C1550" s="1" t="str">
        <f t="shared" si="31"/>
        <v>020071</v>
      </c>
      <c r="D1550" s="1" t="str">
        <f>"112206218"</f>
        <v>112206218</v>
      </c>
      <c r="E1550" s="1">
        <v>63.5</v>
      </c>
      <c r="F1550" s="1">
        <v>60.5</v>
      </c>
      <c r="H1550" s="1">
        <v>62.3</v>
      </c>
    </row>
    <row r="1551" s="1" customFormat="1" spans="1:8">
      <c r="A1551" s="1" t="s">
        <v>12</v>
      </c>
      <c r="B1551" s="1" t="s">
        <v>19</v>
      </c>
      <c r="C1551" s="1" t="str">
        <f t="shared" si="31"/>
        <v>020071</v>
      </c>
      <c r="D1551" s="1" t="str">
        <f>"112206219"</f>
        <v>112206219</v>
      </c>
      <c r="E1551" s="1">
        <v>75</v>
      </c>
      <c r="F1551" s="1">
        <v>73.5</v>
      </c>
      <c r="H1551" s="1">
        <v>74.4</v>
      </c>
    </row>
    <row r="1552" s="1" customFormat="1" spans="1:8">
      <c r="A1552" s="1" t="s">
        <v>12</v>
      </c>
      <c r="B1552" s="1" t="s">
        <v>19</v>
      </c>
      <c r="C1552" s="1" t="str">
        <f t="shared" si="31"/>
        <v>020071</v>
      </c>
      <c r="D1552" s="1" t="str">
        <f>"112206220"</f>
        <v>112206220</v>
      </c>
      <c r="E1552" s="1">
        <v>70.5</v>
      </c>
      <c r="F1552" s="1">
        <v>69</v>
      </c>
      <c r="H1552" s="1">
        <v>69.9</v>
      </c>
    </row>
    <row r="1553" s="1" customFormat="1" spans="1:8">
      <c r="A1553" s="1" t="s">
        <v>12</v>
      </c>
      <c r="B1553" s="1" t="s">
        <v>19</v>
      </c>
      <c r="C1553" s="1" t="str">
        <f t="shared" si="31"/>
        <v>020071</v>
      </c>
      <c r="D1553" s="1" t="str">
        <f>"112206221"</f>
        <v>112206221</v>
      </c>
      <c r="E1553" s="1">
        <v>76.5</v>
      </c>
      <c r="F1553" s="1">
        <v>65.5</v>
      </c>
      <c r="H1553" s="1">
        <v>72.1</v>
      </c>
    </row>
    <row r="1554" s="1" customFormat="1" spans="1:8">
      <c r="A1554" s="1" t="s">
        <v>12</v>
      </c>
      <c r="B1554" s="1" t="s">
        <v>19</v>
      </c>
      <c r="C1554" s="1" t="str">
        <f t="shared" si="31"/>
        <v>020071</v>
      </c>
      <c r="D1554" s="1" t="str">
        <f>"112206222"</f>
        <v>112206222</v>
      </c>
      <c r="E1554" s="1">
        <v>62</v>
      </c>
      <c r="F1554" s="1">
        <v>74.5</v>
      </c>
      <c r="H1554" s="1">
        <v>67</v>
      </c>
    </row>
    <row r="1555" s="1" customFormat="1" spans="1:8">
      <c r="A1555" s="1" t="s">
        <v>12</v>
      </c>
      <c r="B1555" s="1" t="s">
        <v>19</v>
      </c>
      <c r="C1555" s="1" t="str">
        <f t="shared" si="31"/>
        <v>020071</v>
      </c>
      <c r="D1555" s="1" t="str">
        <f>"112206223"</f>
        <v>112206223</v>
      </c>
      <c r="E1555" s="1">
        <v>70.5</v>
      </c>
      <c r="F1555" s="1">
        <v>90</v>
      </c>
      <c r="H1555" s="1">
        <v>78.3</v>
      </c>
    </row>
    <row r="1556" s="1" customFormat="1" spans="1:8">
      <c r="A1556" s="1" t="s">
        <v>12</v>
      </c>
      <c r="B1556" s="1" t="s">
        <v>19</v>
      </c>
      <c r="C1556" s="1" t="str">
        <f t="shared" si="31"/>
        <v>020071</v>
      </c>
      <c r="D1556" s="1" t="str">
        <f>"112206224"</f>
        <v>112206224</v>
      </c>
      <c r="E1556" s="1">
        <v>65</v>
      </c>
      <c r="F1556" s="1">
        <v>69.5</v>
      </c>
      <c r="H1556" s="1">
        <v>66.8</v>
      </c>
    </row>
    <row r="1557" s="1" customFormat="1" spans="1:8">
      <c r="A1557" s="1" t="s">
        <v>12</v>
      </c>
      <c r="B1557" s="1" t="s">
        <v>19</v>
      </c>
      <c r="C1557" s="1" t="str">
        <f t="shared" si="31"/>
        <v>020071</v>
      </c>
      <c r="D1557" s="1" t="str">
        <f>"112206225"</f>
        <v>112206225</v>
      </c>
      <c r="E1557" s="1">
        <v>70</v>
      </c>
      <c r="F1557" s="1">
        <v>57</v>
      </c>
      <c r="H1557" s="1">
        <v>64.8</v>
      </c>
    </row>
    <row r="1558" s="1" customFormat="1" spans="1:8">
      <c r="A1558" s="1" t="s">
        <v>12</v>
      </c>
      <c r="B1558" s="1" t="s">
        <v>19</v>
      </c>
      <c r="C1558" s="1" t="str">
        <f t="shared" si="31"/>
        <v>020071</v>
      </c>
      <c r="D1558" s="1" t="str">
        <f>"112206226"</f>
        <v>112206226</v>
      </c>
      <c r="E1558" s="1">
        <v>79</v>
      </c>
      <c r="F1558" s="1">
        <v>77.5</v>
      </c>
      <c r="H1558" s="1">
        <v>78.4</v>
      </c>
    </row>
    <row r="1559" s="1" customFormat="1" spans="1:8">
      <c r="A1559" s="1" t="s">
        <v>12</v>
      </c>
      <c r="B1559" s="1" t="s">
        <v>19</v>
      </c>
      <c r="C1559" s="1" t="str">
        <f t="shared" si="31"/>
        <v>020071</v>
      </c>
      <c r="D1559" s="1" t="str">
        <f>"112206227"</f>
        <v>112206227</v>
      </c>
      <c r="E1559" s="1">
        <v>0</v>
      </c>
      <c r="F1559" s="1">
        <v>0</v>
      </c>
      <c r="H1559" s="1">
        <v>0</v>
      </c>
    </row>
    <row r="1560" s="1" customFormat="1" spans="1:8">
      <c r="A1560" s="1" t="s">
        <v>12</v>
      </c>
      <c r="B1560" s="1" t="s">
        <v>19</v>
      </c>
      <c r="C1560" s="1" t="str">
        <f t="shared" si="31"/>
        <v>020071</v>
      </c>
      <c r="D1560" s="1" t="str">
        <f>"112206228"</f>
        <v>112206228</v>
      </c>
      <c r="E1560" s="1">
        <v>62</v>
      </c>
      <c r="F1560" s="1">
        <v>72</v>
      </c>
      <c r="H1560" s="1">
        <v>66</v>
      </c>
    </row>
    <row r="1561" s="1" customFormat="1" spans="1:8">
      <c r="A1561" s="1" t="s">
        <v>12</v>
      </c>
      <c r="B1561" s="1" t="s">
        <v>19</v>
      </c>
      <c r="C1561" s="1" t="str">
        <f t="shared" si="31"/>
        <v>020071</v>
      </c>
      <c r="D1561" s="1" t="str">
        <f>"112206229"</f>
        <v>112206229</v>
      </c>
      <c r="E1561" s="1">
        <v>67</v>
      </c>
      <c r="F1561" s="1">
        <v>66.5</v>
      </c>
      <c r="H1561" s="1">
        <v>66.8</v>
      </c>
    </row>
    <row r="1562" s="1" customFormat="1" spans="1:8">
      <c r="A1562" s="1" t="s">
        <v>12</v>
      </c>
      <c r="B1562" s="1" t="s">
        <v>19</v>
      </c>
      <c r="C1562" s="1" t="str">
        <f t="shared" si="31"/>
        <v>020071</v>
      </c>
      <c r="D1562" s="1" t="str">
        <f>"112206230"</f>
        <v>112206230</v>
      </c>
      <c r="E1562" s="1">
        <v>72.5</v>
      </c>
      <c r="F1562" s="1">
        <v>69.5</v>
      </c>
      <c r="H1562" s="1">
        <v>71.3</v>
      </c>
    </row>
    <row r="1563" s="1" customFormat="1" spans="1:8">
      <c r="A1563" s="1" t="s">
        <v>12</v>
      </c>
      <c r="B1563" s="1" t="s">
        <v>19</v>
      </c>
      <c r="C1563" s="1" t="str">
        <f t="shared" si="31"/>
        <v>020071</v>
      </c>
      <c r="D1563" s="1" t="str">
        <f>"112206301"</f>
        <v>112206301</v>
      </c>
      <c r="E1563" s="1">
        <v>0</v>
      </c>
      <c r="F1563" s="1">
        <v>0</v>
      </c>
      <c r="H1563" s="1">
        <v>0</v>
      </c>
    </row>
    <row r="1564" s="1" customFormat="1" spans="1:8">
      <c r="A1564" s="1" t="s">
        <v>12</v>
      </c>
      <c r="B1564" s="1" t="s">
        <v>19</v>
      </c>
      <c r="C1564" s="1" t="str">
        <f t="shared" si="31"/>
        <v>020071</v>
      </c>
      <c r="D1564" s="1" t="str">
        <f>"112206302"</f>
        <v>112206302</v>
      </c>
      <c r="E1564" s="1">
        <v>79.5</v>
      </c>
      <c r="F1564" s="1">
        <v>94</v>
      </c>
      <c r="H1564" s="1">
        <v>85.3</v>
      </c>
    </row>
    <row r="1565" s="1" customFormat="1" spans="1:8">
      <c r="A1565" s="1" t="s">
        <v>12</v>
      </c>
      <c r="B1565" s="1" t="s">
        <v>19</v>
      </c>
      <c r="C1565" s="1" t="str">
        <f t="shared" si="31"/>
        <v>020071</v>
      </c>
      <c r="D1565" s="1" t="str">
        <f>"112206303"</f>
        <v>112206303</v>
      </c>
      <c r="E1565" s="1">
        <v>78</v>
      </c>
      <c r="F1565" s="1">
        <v>55</v>
      </c>
      <c r="H1565" s="1">
        <v>68.8</v>
      </c>
    </row>
    <row r="1566" s="1" customFormat="1" spans="1:8">
      <c r="A1566" s="1" t="s">
        <v>12</v>
      </c>
      <c r="B1566" s="1" t="s">
        <v>19</v>
      </c>
      <c r="C1566" s="1" t="str">
        <f t="shared" si="31"/>
        <v>020071</v>
      </c>
      <c r="D1566" s="1" t="str">
        <f>"112206304"</f>
        <v>112206304</v>
      </c>
      <c r="E1566" s="1">
        <v>72</v>
      </c>
      <c r="F1566" s="1">
        <v>58</v>
      </c>
      <c r="H1566" s="1">
        <v>66.4</v>
      </c>
    </row>
    <row r="1567" s="1" customFormat="1" spans="1:8">
      <c r="A1567" s="1" t="s">
        <v>12</v>
      </c>
      <c r="B1567" s="1" t="s">
        <v>19</v>
      </c>
      <c r="C1567" s="1" t="str">
        <f t="shared" si="31"/>
        <v>020071</v>
      </c>
      <c r="D1567" s="1" t="str">
        <f>"112206305"</f>
        <v>112206305</v>
      </c>
      <c r="E1567" s="1">
        <v>71.5</v>
      </c>
      <c r="F1567" s="1">
        <v>54</v>
      </c>
      <c r="H1567" s="1">
        <v>64.5</v>
      </c>
    </row>
    <row r="1568" s="1" customFormat="1" spans="1:8">
      <c r="A1568" s="1" t="s">
        <v>12</v>
      </c>
      <c r="B1568" s="1" t="s">
        <v>19</v>
      </c>
      <c r="C1568" s="1" t="str">
        <f t="shared" si="31"/>
        <v>020071</v>
      </c>
      <c r="D1568" s="1" t="str">
        <f>"112206306"</f>
        <v>112206306</v>
      </c>
      <c r="E1568" s="1">
        <v>62</v>
      </c>
      <c r="F1568" s="1">
        <v>52</v>
      </c>
      <c r="H1568" s="1">
        <v>58</v>
      </c>
    </row>
    <row r="1569" s="1" customFormat="1" spans="1:8">
      <c r="A1569" s="1" t="s">
        <v>12</v>
      </c>
      <c r="B1569" s="1" t="s">
        <v>19</v>
      </c>
      <c r="C1569" s="1" t="str">
        <f t="shared" si="31"/>
        <v>020071</v>
      </c>
      <c r="D1569" s="1" t="str">
        <f>"112206307"</f>
        <v>112206307</v>
      </c>
      <c r="E1569" s="1">
        <v>77</v>
      </c>
      <c r="F1569" s="1">
        <v>63</v>
      </c>
      <c r="H1569" s="1">
        <v>71.4</v>
      </c>
    </row>
    <row r="1570" s="1" customFormat="1" spans="1:8">
      <c r="A1570" s="1" t="s">
        <v>12</v>
      </c>
      <c r="B1570" s="1" t="s">
        <v>19</v>
      </c>
      <c r="C1570" s="1" t="str">
        <f t="shared" si="31"/>
        <v>020071</v>
      </c>
      <c r="D1570" s="1" t="str">
        <f>"112206308"</f>
        <v>112206308</v>
      </c>
      <c r="E1570" s="1">
        <v>64</v>
      </c>
      <c r="F1570" s="1">
        <v>56.5</v>
      </c>
      <c r="H1570" s="1">
        <v>61</v>
      </c>
    </row>
    <row r="1571" s="1" customFormat="1" spans="1:8">
      <c r="A1571" s="1" t="s">
        <v>12</v>
      </c>
      <c r="B1571" s="1" t="s">
        <v>19</v>
      </c>
      <c r="C1571" s="1" t="str">
        <f t="shared" si="31"/>
        <v>020071</v>
      </c>
      <c r="D1571" s="1" t="str">
        <f>"112206309"</f>
        <v>112206309</v>
      </c>
      <c r="E1571" s="1">
        <v>0</v>
      </c>
      <c r="F1571" s="1">
        <v>0</v>
      </c>
      <c r="H1571" s="1">
        <v>0</v>
      </c>
    </row>
    <row r="1572" s="1" customFormat="1" spans="1:8">
      <c r="A1572" s="1" t="s">
        <v>12</v>
      </c>
      <c r="B1572" s="1" t="s">
        <v>19</v>
      </c>
      <c r="C1572" s="1" t="str">
        <f t="shared" ref="C1572:C1606" si="32">"020071"</f>
        <v>020071</v>
      </c>
      <c r="D1572" s="1" t="str">
        <f>"112206310"</f>
        <v>112206310</v>
      </c>
      <c r="E1572" s="1">
        <v>0</v>
      </c>
      <c r="F1572" s="1">
        <v>0</v>
      </c>
      <c r="H1572" s="1">
        <v>0</v>
      </c>
    </row>
    <row r="1573" s="1" customFormat="1" spans="1:8">
      <c r="A1573" s="1" t="s">
        <v>12</v>
      </c>
      <c r="B1573" s="1" t="s">
        <v>19</v>
      </c>
      <c r="C1573" s="1" t="str">
        <f t="shared" si="32"/>
        <v>020071</v>
      </c>
      <c r="D1573" s="1" t="str">
        <f>"112206311"</f>
        <v>112206311</v>
      </c>
      <c r="E1573" s="1">
        <v>0</v>
      </c>
      <c r="F1573" s="1">
        <v>0</v>
      </c>
      <c r="H1573" s="1">
        <v>0</v>
      </c>
    </row>
    <row r="1574" s="1" customFormat="1" spans="1:8">
      <c r="A1574" s="1" t="s">
        <v>12</v>
      </c>
      <c r="B1574" s="1" t="s">
        <v>19</v>
      </c>
      <c r="C1574" s="1" t="str">
        <f t="shared" si="32"/>
        <v>020071</v>
      </c>
      <c r="D1574" s="1" t="str">
        <f>"112206312"</f>
        <v>112206312</v>
      </c>
      <c r="E1574" s="1">
        <v>0</v>
      </c>
      <c r="F1574" s="1">
        <v>0</v>
      </c>
      <c r="H1574" s="1">
        <v>0</v>
      </c>
    </row>
    <row r="1575" s="1" customFormat="1" spans="1:8">
      <c r="A1575" s="1" t="s">
        <v>12</v>
      </c>
      <c r="B1575" s="1" t="s">
        <v>19</v>
      </c>
      <c r="C1575" s="1" t="str">
        <f t="shared" si="32"/>
        <v>020071</v>
      </c>
      <c r="D1575" s="1" t="str">
        <f>"112206313"</f>
        <v>112206313</v>
      </c>
      <c r="E1575" s="1">
        <v>73.5</v>
      </c>
      <c r="F1575" s="1">
        <v>52</v>
      </c>
      <c r="H1575" s="1">
        <v>64.9</v>
      </c>
    </row>
    <row r="1576" s="1" customFormat="1" spans="1:8">
      <c r="A1576" s="1" t="s">
        <v>12</v>
      </c>
      <c r="B1576" s="1" t="s">
        <v>19</v>
      </c>
      <c r="C1576" s="1" t="str">
        <f t="shared" si="32"/>
        <v>020071</v>
      </c>
      <c r="D1576" s="1" t="str">
        <f>"112206314"</f>
        <v>112206314</v>
      </c>
      <c r="E1576" s="1">
        <v>0</v>
      </c>
      <c r="F1576" s="1">
        <v>0</v>
      </c>
      <c r="H1576" s="1">
        <v>0</v>
      </c>
    </row>
    <row r="1577" s="1" customFormat="1" spans="1:8">
      <c r="A1577" s="1" t="s">
        <v>12</v>
      </c>
      <c r="B1577" s="1" t="s">
        <v>19</v>
      </c>
      <c r="C1577" s="1" t="str">
        <f t="shared" si="32"/>
        <v>020071</v>
      </c>
      <c r="D1577" s="1" t="str">
        <f>"112206315"</f>
        <v>112206315</v>
      </c>
      <c r="E1577" s="1">
        <v>0</v>
      </c>
      <c r="F1577" s="1">
        <v>0</v>
      </c>
      <c r="H1577" s="1">
        <v>0</v>
      </c>
    </row>
    <row r="1578" s="1" customFormat="1" spans="1:8">
      <c r="A1578" s="1" t="s">
        <v>12</v>
      </c>
      <c r="B1578" s="1" t="s">
        <v>19</v>
      </c>
      <c r="C1578" s="1" t="str">
        <f t="shared" si="32"/>
        <v>020071</v>
      </c>
      <c r="D1578" s="1" t="str">
        <f>"112206316"</f>
        <v>112206316</v>
      </c>
      <c r="E1578" s="1">
        <v>88.5</v>
      </c>
      <c r="F1578" s="1">
        <v>72</v>
      </c>
      <c r="H1578" s="1">
        <v>81.9</v>
      </c>
    </row>
    <row r="1579" s="1" customFormat="1" spans="1:8">
      <c r="A1579" s="1" t="s">
        <v>12</v>
      </c>
      <c r="B1579" s="1" t="s">
        <v>19</v>
      </c>
      <c r="C1579" s="1" t="str">
        <f t="shared" si="32"/>
        <v>020071</v>
      </c>
      <c r="D1579" s="1" t="str">
        <f>"112206317"</f>
        <v>112206317</v>
      </c>
      <c r="E1579" s="1">
        <v>68.5</v>
      </c>
      <c r="F1579" s="1">
        <v>70</v>
      </c>
      <c r="H1579" s="1">
        <v>69.1</v>
      </c>
    </row>
    <row r="1580" s="1" customFormat="1" spans="1:8">
      <c r="A1580" s="1" t="s">
        <v>12</v>
      </c>
      <c r="B1580" s="1" t="s">
        <v>19</v>
      </c>
      <c r="C1580" s="1" t="str">
        <f t="shared" si="32"/>
        <v>020071</v>
      </c>
      <c r="D1580" s="1" t="str">
        <f>"112206318"</f>
        <v>112206318</v>
      </c>
      <c r="E1580" s="1">
        <v>76</v>
      </c>
      <c r="F1580" s="1">
        <v>75</v>
      </c>
      <c r="H1580" s="1">
        <v>75.6</v>
      </c>
    </row>
    <row r="1581" s="1" customFormat="1" spans="1:8">
      <c r="A1581" s="1" t="s">
        <v>12</v>
      </c>
      <c r="B1581" s="1" t="s">
        <v>19</v>
      </c>
      <c r="C1581" s="1" t="str">
        <f t="shared" si="32"/>
        <v>020071</v>
      </c>
      <c r="D1581" s="1" t="str">
        <f>"112206319"</f>
        <v>112206319</v>
      </c>
      <c r="E1581" s="1">
        <v>67.5</v>
      </c>
      <c r="F1581" s="1">
        <v>53.5</v>
      </c>
      <c r="H1581" s="1">
        <v>61.9</v>
      </c>
    </row>
    <row r="1582" s="1" customFormat="1" spans="1:8">
      <c r="A1582" s="1" t="s">
        <v>12</v>
      </c>
      <c r="B1582" s="1" t="s">
        <v>19</v>
      </c>
      <c r="C1582" s="1" t="str">
        <f t="shared" si="32"/>
        <v>020071</v>
      </c>
      <c r="D1582" s="1" t="str">
        <f>"112206320"</f>
        <v>112206320</v>
      </c>
      <c r="E1582" s="1">
        <v>70</v>
      </c>
      <c r="F1582" s="1">
        <v>71</v>
      </c>
      <c r="H1582" s="1">
        <v>70.4</v>
      </c>
    </row>
    <row r="1583" s="1" customFormat="1" spans="1:8">
      <c r="A1583" s="1" t="s">
        <v>12</v>
      </c>
      <c r="B1583" s="1" t="s">
        <v>19</v>
      </c>
      <c r="C1583" s="1" t="str">
        <f t="shared" si="32"/>
        <v>020071</v>
      </c>
      <c r="D1583" s="1" t="str">
        <f>"112206321"</f>
        <v>112206321</v>
      </c>
      <c r="E1583" s="1">
        <v>65</v>
      </c>
      <c r="F1583" s="1">
        <v>75.5</v>
      </c>
      <c r="H1583" s="1">
        <v>69.2</v>
      </c>
    </row>
    <row r="1584" s="1" customFormat="1" spans="1:8">
      <c r="A1584" s="1" t="s">
        <v>12</v>
      </c>
      <c r="B1584" s="1" t="s">
        <v>19</v>
      </c>
      <c r="C1584" s="1" t="str">
        <f t="shared" si="32"/>
        <v>020071</v>
      </c>
      <c r="D1584" s="1" t="str">
        <f>"112206322"</f>
        <v>112206322</v>
      </c>
      <c r="E1584" s="1">
        <v>42.5</v>
      </c>
      <c r="F1584" s="1">
        <v>53.5</v>
      </c>
      <c r="H1584" s="1">
        <v>46.9</v>
      </c>
    </row>
    <row r="1585" s="1" customFormat="1" spans="1:8">
      <c r="A1585" s="1" t="s">
        <v>12</v>
      </c>
      <c r="B1585" s="1" t="s">
        <v>19</v>
      </c>
      <c r="C1585" s="1" t="str">
        <f t="shared" si="32"/>
        <v>020071</v>
      </c>
      <c r="D1585" s="1" t="str">
        <f>"112206323"</f>
        <v>112206323</v>
      </c>
      <c r="E1585" s="1">
        <v>0</v>
      </c>
      <c r="F1585" s="1">
        <v>0</v>
      </c>
      <c r="H1585" s="1">
        <v>0</v>
      </c>
    </row>
    <row r="1586" s="1" customFormat="1" spans="1:8">
      <c r="A1586" s="1" t="s">
        <v>12</v>
      </c>
      <c r="B1586" s="1" t="s">
        <v>19</v>
      </c>
      <c r="C1586" s="1" t="str">
        <f t="shared" si="32"/>
        <v>020071</v>
      </c>
      <c r="D1586" s="1" t="str">
        <f>"112206324"</f>
        <v>112206324</v>
      </c>
      <c r="E1586" s="1">
        <v>90</v>
      </c>
      <c r="F1586" s="1">
        <v>97.5</v>
      </c>
      <c r="H1586" s="1">
        <v>93</v>
      </c>
    </row>
    <row r="1587" s="1" customFormat="1" spans="1:8">
      <c r="A1587" s="1" t="s">
        <v>12</v>
      </c>
      <c r="B1587" s="1" t="s">
        <v>19</v>
      </c>
      <c r="C1587" s="1" t="str">
        <f t="shared" si="32"/>
        <v>020071</v>
      </c>
      <c r="D1587" s="1" t="str">
        <f>"112206325"</f>
        <v>112206325</v>
      </c>
      <c r="E1587" s="1">
        <v>67.5</v>
      </c>
      <c r="F1587" s="1">
        <v>64.5</v>
      </c>
      <c r="H1587" s="1">
        <v>66.3</v>
      </c>
    </row>
    <row r="1588" s="1" customFormat="1" spans="1:8">
      <c r="A1588" s="1" t="s">
        <v>12</v>
      </c>
      <c r="B1588" s="1" t="s">
        <v>19</v>
      </c>
      <c r="C1588" s="1" t="str">
        <f t="shared" si="32"/>
        <v>020071</v>
      </c>
      <c r="D1588" s="1" t="str">
        <f>"112206326"</f>
        <v>112206326</v>
      </c>
      <c r="E1588" s="1">
        <v>75.5</v>
      </c>
      <c r="F1588" s="1">
        <v>88.5</v>
      </c>
      <c r="H1588" s="1">
        <v>80.7</v>
      </c>
    </row>
    <row r="1589" s="1" customFormat="1" spans="1:8">
      <c r="A1589" s="1" t="s">
        <v>12</v>
      </c>
      <c r="B1589" s="1" t="s">
        <v>19</v>
      </c>
      <c r="C1589" s="1" t="str">
        <f t="shared" si="32"/>
        <v>020071</v>
      </c>
      <c r="D1589" s="1" t="str">
        <f>"112206327"</f>
        <v>112206327</v>
      </c>
      <c r="E1589" s="1">
        <v>77.5</v>
      </c>
      <c r="F1589" s="1">
        <v>80.5</v>
      </c>
      <c r="H1589" s="1">
        <v>78.7</v>
      </c>
    </row>
    <row r="1590" s="1" customFormat="1" spans="1:8">
      <c r="A1590" s="1" t="s">
        <v>12</v>
      </c>
      <c r="B1590" s="1" t="s">
        <v>19</v>
      </c>
      <c r="C1590" s="1" t="str">
        <f t="shared" si="32"/>
        <v>020071</v>
      </c>
      <c r="D1590" s="1" t="str">
        <f>"112206328"</f>
        <v>112206328</v>
      </c>
      <c r="E1590" s="1">
        <v>0</v>
      </c>
      <c r="F1590" s="1">
        <v>0</v>
      </c>
      <c r="H1590" s="1">
        <v>0</v>
      </c>
    </row>
    <row r="1591" s="1" customFormat="1" spans="1:8">
      <c r="A1591" s="1" t="s">
        <v>12</v>
      </c>
      <c r="B1591" s="1" t="s">
        <v>19</v>
      </c>
      <c r="C1591" s="1" t="str">
        <f t="shared" si="32"/>
        <v>020071</v>
      </c>
      <c r="D1591" s="1" t="str">
        <f>"112206329"</f>
        <v>112206329</v>
      </c>
      <c r="E1591" s="1">
        <v>54</v>
      </c>
      <c r="F1591" s="1">
        <v>49.5</v>
      </c>
      <c r="H1591" s="1">
        <v>52.2</v>
      </c>
    </row>
    <row r="1592" s="1" customFormat="1" spans="1:8">
      <c r="A1592" s="1" t="s">
        <v>12</v>
      </c>
      <c r="B1592" s="1" t="s">
        <v>19</v>
      </c>
      <c r="C1592" s="1" t="str">
        <f t="shared" si="32"/>
        <v>020071</v>
      </c>
      <c r="D1592" s="1" t="str">
        <f>"112206330"</f>
        <v>112206330</v>
      </c>
      <c r="E1592" s="1">
        <v>71.5</v>
      </c>
      <c r="F1592" s="1">
        <v>78.5</v>
      </c>
      <c r="H1592" s="1">
        <v>74.3</v>
      </c>
    </row>
    <row r="1593" s="1" customFormat="1" spans="1:8">
      <c r="A1593" s="1" t="s">
        <v>12</v>
      </c>
      <c r="B1593" s="1" t="s">
        <v>19</v>
      </c>
      <c r="C1593" s="1" t="str">
        <f t="shared" si="32"/>
        <v>020071</v>
      </c>
      <c r="D1593" s="1" t="str">
        <f>"112206401"</f>
        <v>112206401</v>
      </c>
      <c r="E1593" s="1">
        <v>69</v>
      </c>
      <c r="F1593" s="1">
        <v>84.5</v>
      </c>
      <c r="H1593" s="1">
        <v>75.2</v>
      </c>
    </row>
    <row r="1594" s="1" customFormat="1" spans="1:8">
      <c r="A1594" s="1" t="s">
        <v>12</v>
      </c>
      <c r="B1594" s="1" t="s">
        <v>19</v>
      </c>
      <c r="C1594" s="1" t="str">
        <f t="shared" si="32"/>
        <v>020071</v>
      </c>
      <c r="D1594" s="1" t="str">
        <f>"112206402"</f>
        <v>112206402</v>
      </c>
      <c r="E1594" s="1">
        <v>59.5</v>
      </c>
      <c r="F1594" s="1">
        <v>73.5</v>
      </c>
      <c r="H1594" s="1">
        <v>65.1</v>
      </c>
    </row>
    <row r="1595" s="1" customFormat="1" spans="1:8">
      <c r="A1595" s="1" t="s">
        <v>12</v>
      </c>
      <c r="B1595" s="1" t="s">
        <v>19</v>
      </c>
      <c r="C1595" s="1" t="str">
        <f t="shared" si="32"/>
        <v>020071</v>
      </c>
      <c r="D1595" s="1" t="str">
        <f>"112206403"</f>
        <v>112206403</v>
      </c>
      <c r="E1595" s="1">
        <v>78.5</v>
      </c>
      <c r="F1595" s="1">
        <v>90</v>
      </c>
      <c r="H1595" s="1">
        <v>83.1</v>
      </c>
    </row>
    <row r="1596" s="1" customFormat="1" spans="1:8">
      <c r="A1596" s="1" t="s">
        <v>12</v>
      </c>
      <c r="B1596" s="1" t="s">
        <v>19</v>
      </c>
      <c r="C1596" s="1" t="str">
        <f t="shared" si="32"/>
        <v>020071</v>
      </c>
      <c r="D1596" s="1" t="str">
        <f>"112206404"</f>
        <v>112206404</v>
      </c>
      <c r="E1596" s="1">
        <v>0</v>
      </c>
      <c r="F1596" s="1">
        <v>0</v>
      </c>
      <c r="H1596" s="1">
        <v>0</v>
      </c>
    </row>
    <row r="1597" s="1" customFormat="1" spans="1:8">
      <c r="A1597" s="1" t="s">
        <v>12</v>
      </c>
      <c r="B1597" s="1" t="s">
        <v>19</v>
      </c>
      <c r="C1597" s="1" t="str">
        <f t="shared" si="32"/>
        <v>020071</v>
      </c>
      <c r="D1597" s="1" t="str">
        <f>"112206405"</f>
        <v>112206405</v>
      </c>
      <c r="E1597" s="1">
        <v>88.5</v>
      </c>
      <c r="F1597" s="1">
        <v>62</v>
      </c>
      <c r="H1597" s="1">
        <v>77.9</v>
      </c>
    </row>
    <row r="1598" s="1" customFormat="1" spans="1:8">
      <c r="A1598" s="1" t="s">
        <v>12</v>
      </c>
      <c r="B1598" s="1" t="s">
        <v>19</v>
      </c>
      <c r="C1598" s="1" t="str">
        <f t="shared" si="32"/>
        <v>020071</v>
      </c>
      <c r="D1598" s="1" t="str">
        <f>"112206406"</f>
        <v>112206406</v>
      </c>
      <c r="E1598" s="1">
        <v>76.5</v>
      </c>
      <c r="F1598" s="1">
        <v>60.5</v>
      </c>
      <c r="H1598" s="1">
        <v>70.1</v>
      </c>
    </row>
    <row r="1599" s="1" customFormat="1" spans="1:8">
      <c r="A1599" s="1" t="s">
        <v>12</v>
      </c>
      <c r="B1599" s="1" t="s">
        <v>19</v>
      </c>
      <c r="C1599" s="1" t="str">
        <f t="shared" si="32"/>
        <v>020071</v>
      </c>
      <c r="D1599" s="1" t="str">
        <f>"112206407"</f>
        <v>112206407</v>
      </c>
      <c r="E1599" s="1">
        <v>65</v>
      </c>
      <c r="F1599" s="1">
        <v>59</v>
      </c>
      <c r="H1599" s="1">
        <v>62.6</v>
      </c>
    </row>
    <row r="1600" s="1" customFormat="1" spans="1:8">
      <c r="A1600" s="1" t="s">
        <v>12</v>
      </c>
      <c r="B1600" s="1" t="s">
        <v>19</v>
      </c>
      <c r="C1600" s="1" t="str">
        <f t="shared" si="32"/>
        <v>020071</v>
      </c>
      <c r="D1600" s="1" t="str">
        <f>"112206408"</f>
        <v>112206408</v>
      </c>
      <c r="E1600" s="1">
        <v>0</v>
      </c>
      <c r="F1600" s="1">
        <v>0</v>
      </c>
      <c r="H1600" s="1">
        <v>0</v>
      </c>
    </row>
    <row r="1601" s="1" customFormat="1" spans="1:8">
      <c r="A1601" s="1" t="s">
        <v>12</v>
      </c>
      <c r="B1601" s="1" t="s">
        <v>19</v>
      </c>
      <c r="C1601" s="1" t="str">
        <f t="shared" si="32"/>
        <v>020071</v>
      </c>
      <c r="D1601" s="1" t="str">
        <f>"112206409"</f>
        <v>112206409</v>
      </c>
      <c r="E1601" s="1">
        <v>51</v>
      </c>
      <c r="F1601" s="1">
        <v>61.5</v>
      </c>
      <c r="H1601" s="1">
        <v>55.2</v>
      </c>
    </row>
    <row r="1602" s="1" customFormat="1" spans="1:8">
      <c r="A1602" s="1" t="s">
        <v>12</v>
      </c>
      <c r="B1602" s="1" t="s">
        <v>19</v>
      </c>
      <c r="C1602" s="1" t="str">
        <f t="shared" si="32"/>
        <v>020071</v>
      </c>
      <c r="D1602" s="1" t="str">
        <f>"112206410"</f>
        <v>112206410</v>
      </c>
      <c r="E1602" s="1">
        <v>74</v>
      </c>
      <c r="F1602" s="1">
        <v>77.5</v>
      </c>
      <c r="H1602" s="1">
        <v>75.4</v>
      </c>
    </row>
    <row r="1603" s="1" customFormat="1" spans="1:8">
      <c r="A1603" s="1" t="s">
        <v>12</v>
      </c>
      <c r="B1603" s="1" t="s">
        <v>19</v>
      </c>
      <c r="C1603" s="1" t="str">
        <f t="shared" si="32"/>
        <v>020071</v>
      </c>
      <c r="D1603" s="1" t="str">
        <f>"112206411"</f>
        <v>112206411</v>
      </c>
      <c r="E1603" s="1">
        <v>59</v>
      </c>
      <c r="F1603" s="1">
        <v>42.5</v>
      </c>
      <c r="H1603" s="1">
        <v>52.4</v>
      </c>
    </row>
    <row r="1604" s="1" customFormat="1" spans="1:8">
      <c r="A1604" s="1" t="s">
        <v>12</v>
      </c>
      <c r="B1604" s="1" t="s">
        <v>19</v>
      </c>
      <c r="C1604" s="1" t="str">
        <f t="shared" si="32"/>
        <v>020071</v>
      </c>
      <c r="D1604" s="1" t="str">
        <f>"112206412"</f>
        <v>112206412</v>
      </c>
      <c r="E1604" s="1">
        <v>0</v>
      </c>
      <c r="F1604" s="1">
        <v>0</v>
      </c>
      <c r="H1604" s="1">
        <v>0</v>
      </c>
    </row>
    <row r="1605" s="1" customFormat="1" spans="1:8">
      <c r="A1605" s="1" t="s">
        <v>12</v>
      </c>
      <c r="B1605" s="1" t="s">
        <v>19</v>
      </c>
      <c r="C1605" s="1" t="str">
        <f t="shared" si="32"/>
        <v>020071</v>
      </c>
      <c r="D1605" s="1" t="str">
        <f>"112206413"</f>
        <v>112206413</v>
      </c>
      <c r="E1605" s="1">
        <v>65</v>
      </c>
      <c r="F1605" s="1">
        <v>69.5</v>
      </c>
      <c r="H1605" s="1">
        <v>66.8</v>
      </c>
    </row>
    <row r="1606" s="1" customFormat="1" spans="1:8">
      <c r="A1606" s="1" t="s">
        <v>12</v>
      </c>
      <c r="B1606" s="1" t="s">
        <v>19</v>
      </c>
      <c r="C1606" s="1" t="str">
        <f t="shared" si="32"/>
        <v>020071</v>
      </c>
      <c r="D1606" s="1" t="str">
        <f>"112206414"</f>
        <v>112206414</v>
      </c>
      <c r="E1606" s="1">
        <v>0</v>
      </c>
      <c r="F1606" s="1">
        <v>0</v>
      </c>
      <c r="H1606" s="1">
        <v>0</v>
      </c>
    </row>
    <row r="1607" s="1" customFormat="1" spans="1:8">
      <c r="A1607" s="1" t="s">
        <v>13</v>
      </c>
      <c r="B1607" s="1" t="s">
        <v>19</v>
      </c>
      <c r="C1607" s="1" t="str">
        <f t="shared" ref="C1607:C1670" si="33">"020080"</f>
        <v>020080</v>
      </c>
      <c r="D1607" s="1" t="str">
        <f>"112206415"</f>
        <v>112206415</v>
      </c>
      <c r="E1607" s="1">
        <v>68.5</v>
      </c>
      <c r="F1607" s="1">
        <v>54</v>
      </c>
      <c r="H1607" s="1">
        <v>62.7</v>
      </c>
    </row>
    <row r="1608" s="1" customFormat="1" spans="1:8">
      <c r="A1608" s="1" t="s">
        <v>13</v>
      </c>
      <c r="B1608" s="1" t="s">
        <v>19</v>
      </c>
      <c r="C1608" s="1" t="str">
        <f t="shared" si="33"/>
        <v>020080</v>
      </c>
      <c r="D1608" s="1" t="str">
        <f>"112206416"</f>
        <v>112206416</v>
      </c>
      <c r="E1608" s="1">
        <v>72</v>
      </c>
      <c r="F1608" s="1">
        <v>76.5</v>
      </c>
      <c r="H1608" s="1">
        <v>73.8</v>
      </c>
    </row>
    <row r="1609" s="1" customFormat="1" spans="1:8">
      <c r="A1609" s="1" t="s">
        <v>13</v>
      </c>
      <c r="B1609" s="1" t="s">
        <v>19</v>
      </c>
      <c r="C1609" s="1" t="str">
        <f t="shared" si="33"/>
        <v>020080</v>
      </c>
      <c r="D1609" s="1" t="str">
        <f>"112206417"</f>
        <v>112206417</v>
      </c>
      <c r="E1609" s="1">
        <v>53</v>
      </c>
      <c r="F1609" s="1">
        <v>66.5</v>
      </c>
      <c r="H1609" s="1">
        <v>58.4</v>
      </c>
    </row>
    <row r="1610" s="1" customFormat="1" spans="1:8">
      <c r="A1610" s="1" t="s">
        <v>13</v>
      </c>
      <c r="B1610" s="1" t="s">
        <v>19</v>
      </c>
      <c r="C1610" s="1" t="str">
        <f t="shared" si="33"/>
        <v>020080</v>
      </c>
      <c r="D1610" s="1" t="str">
        <f>"112206418"</f>
        <v>112206418</v>
      </c>
      <c r="E1610" s="1">
        <v>68</v>
      </c>
      <c r="F1610" s="1">
        <v>49</v>
      </c>
      <c r="H1610" s="1">
        <v>60.4</v>
      </c>
    </row>
    <row r="1611" s="1" customFormat="1" spans="1:8">
      <c r="A1611" s="1" t="s">
        <v>13</v>
      </c>
      <c r="B1611" s="1" t="s">
        <v>19</v>
      </c>
      <c r="C1611" s="1" t="str">
        <f t="shared" si="33"/>
        <v>020080</v>
      </c>
      <c r="D1611" s="1" t="str">
        <f>"112206419"</f>
        <v>112206419</v>
      </c>
      <c r="E1611" s="1">
        <v>77</v>
      </c>
      <c r="F1611" s="1">
        <v>85.5</v>
      </c>
      <c r="H1611" s="1">
        <v>80.4</v>
      </c>
    </row>
    <row r="1612" s="1" customFormat="1" spans="1:8">
      <c r="A1612" s="1" t="s">
        <v>13</v>
      </c>
      <c r="B1612" s="1" t="s">
        <v>19</v>
      </c>
      <c r="C1612" s="1" t="str">
        <f t="shared" si="33"/>
        <v>020080</v>
      </c>
      <c r="D1612" s="1" t="str">
        <f>"112206420"</f>
        <v>112206420</v>
      </c>
      <c r="E1612" s="1">
        <v>82</v>
      </c>
      <c r="F1612" s="1">
        <v>83</v>
      </c>
      <c r="H1612" s="1">
        <v>82.4</v>
      </c>
    </row>
    <row r="1613" s="1" customFormat="1" spans="1:8">
      <c r="A1613" s="1" t="s">
        <v>13</v>
      </c>
      <c r="B1613" s="1" t="s">
        <v>19</v>
      </c>
      <c r="C1613" s="1" t="str">
        <f t="shared" si="33"/>
        <v>020080</v>
      </c>
      <c r="D1613" s="1" t="str">
        <f>"112206421"</f>
        <v>112206421</v>
      </c>
      <c r="E1613" s="1">
        <v>71</v>
      </c>
      <c r="F1613" s="1">
        <v>63.5</v>
      </c>
      <c r="H1613" s="1">
        <v>68</v>
      </c>
    </row>
    <row r="1614" s="1" customFormat="1" spans="1:8">
      <c r="A1614" s="1" t="s">
        <v>13</v>
      </c>
      <c r="B1614" s="1" t="s">
        <v>19</v>
      </c>
      <c r="C1614" s="1" t="str">
        <f t="shared" si="33"/>
        <v>020080</v>
      </c>
      <c r="D1614" s="1" t="str">
        <f>"112206422"</f>
        <v>112206422</v>
      </c>
      <c r="E1614" s="1">
        <v>0</v>
      </c>
      <c r="F1614" s="1">
        <v>0</v>
      </c>
      <c r="H1614" s="1">
        <v>0</v>
      </c>
    </row>
    <row r="1615" s="1" customFormat="1" spans="1:8">
      <c r="A1615" s="1" t="s">
        <v>13</v>
      </c>
      <c r="B1615" s="1" t="s">
        <v>19</v>
      </c>
      <c r="C1615" s="1" t="str">
        <f t="shared" si="33"/>
        <v>020080</v>
      </c>
      <c r="D1615" s="1" t="str">
        <f>"112206423"</f>
        <v>112206423</v>
      </c>
      <c r="E1615" s="1">
        <v>63</v>
      </c>
      <c r="F1615" s="1">
        <v>71.5</v>
      </c>
      <c r="H1615" s="1">
        <v>66.4</v>
      </c>
    </row>
    <row r="1616" s="1" customFormat="1" spans="1:8">
      <c r="A1616" s="1" t="s">
        <v>13</v>
      </c>
      <c r="B1616" s="1" t="s">
        <v>19</v>
      </c>
      <c r="C1616" s="1" t="str">
        <f t="shared" si="33"/>
        <v>020080</v>
      </c>
      <c r="D1616" s="1" t="str">
        <f>"112206424"</f>
        <v>112206424</v>
      </c>
      <c r="E1616" s="1">
        <v>84.5</v>
      </c>
      <c r="F1616" s="1">
        <v>91</v>
      </c>
      <c r="H1616" s="1">
        <v>87.1</v>
      </c>
    </row>
    <row r="1617" s="1" customFormat="1" spans="1:8">
      <c r="A1617" s="1" t="s">
        <v>13</v>
      </c>
      <c r="B1617" s="1" t="s">
        <v>19</v>
      </c>
      <c r="C1617" s="1" t="str">
        <f t="shared" si="33"/>
        <v>020080</v>
      </c>
      <c r="D1617" s="1" t="str">
        <f>"112206425"</f>
        <v>112206425</v>
      </c>
      <c r="E1617" s="1">
        <v>88.5</v>
      </c>
      <c r="F1617" s="1">
        <v>92.5</v>
      </c>
      <c r="H1617" s="1">
        <v>90.1</v>
      </c>
    </row>
    <row r="1618" s="1" customFormat="1" spans="1:8">
      <c r="A1618" s="1" t="s">
        <v>13</v>
      </c>
      <c r="B1618" s="1" t="s">
        <v>19</v>
      </c>
      <c r="C1618" s="1" t="str">
        <f t="shared" si="33"/>
        <v>020080</v>
      </c>
      <c r="D1618" s="1" t="str">
        <f>"112206426"</f>
        <v>112206426</v>
      </c>
      <c r="E1618" s="1">
        <v>67</v>
      </c>
      <c r="F1618" s="1">
        <v>72</v>
      </c>
      <c r="H1618" s="1">
        <v>69</v>
      </c>
    </row>
    <row r="1619" s="1" customFormat="1" spans="1:8">
      <c r="A1619" s="1" t="s">
        <v>13</v>
      </c>
      <c r="B1619" s="1" t="s">
        <v>19</v>
      </c>
      <c r="C1619" s="1" t="str">
        <f t="shared" si="33"/>
        <v>020080</v>
      </c>
      <c r="D1619" s="1" t="str">
        <f>"112206427"</f>
        <v>112206427</v>
      </c>
      <c r="E1619" s="1">
        <v>84</v>
      </c>
      <c r="F1619" s="1">
        <v>92</v>
      </c>
      <c r="H1619" s="1">
        <v>87.2</v>
      </c>
    </row>
    <row r="1620" s="1" customFormat="1" spans="1:8">
      <c r="A1620" s="1" t="s">
        <v>13</v>
      </c>
      <c r="B1620" s="1" t="s">
        <v>19</v>
      </c>
      <c r="C1620" s="1" t="str">
        <f t="shared" si="33"/>
        <v>020080</v>
      </c>
      <c r="D1620" s="1" t="str">
        <f>"112206428"</f>
        <v>112206428</v>
      </c>
      <c r="E1620" s="1">
        <v>68.5</v>
      </c>
      <c r="F1620" s="1">
        <v>85</v>
      </c>
      <c r="H1620" s="1">
        <v>75.1</v>
      </c>
    </row>
    <row r="1621" s="1" customFormat="1" spans="1:8">
      <c r="A1621" s="1" t="s">
        <v>13</v>
      </c>
      <c r="B1621" s="1" t="s">
        <v>19</v>
      </c>
      <c r="C1621" s="1" t="str">
        <f t="shared" si="33"/>
        <v>020080</v>
      </c>
      <c r="D1621" s="1" t="str">
        <f>"112206429"</f>
        <v>112206429</v>
      </c>
      <c r="E1621" s="1">
        <v>72</v>
      </c>
      <c r="F1621" s="1">
        <v>66</v>
      </c>
      <c r="H1621" s="1">
        <v>69.6</v>
      </c>
    </row>
    <row r="1622" s="1" customFormat="1" spans="1:8">
      <c r="A1622" s="1" t="s">
        <v>13</v>
      </c>
      <c r="B1622" s="1" t="s">
        <v>19</v>
      </c>
      <c r="C1622" s="1" t="str">
        <f t="shared" si="33"/>
        <v>020080</v>
      </c>
      <c r="D1622" s="1" t="str">
        <f>"112206430"</f>
        <v>112206430</v>
      </c>
      <c r="E1622" s="1">
        <v>0</v>
      </c>
      <c r="F1622" s="1">
        <v>0</v>
      </c>
      <c r="H1622" s="1">
        <v>0</v>
      </c>
    </row>
    <row r="1623" s="1" customFormat="1" spans="1:8">
      <c r="A1623" s="1" t="s">
        <v>13</v>
      </c>
      <c r="B1623" s="1" t="s">
        <v>19</v>
      </c>
      <c r="C1623" s="1" t="str">
        <f t="shared" si="33"/>
        <v>020080</v>
      </c>
      <c r="D1623" s="1" t="str">
        <f>"112206501"</f>
        <v>112206501</v>
      </c>
      <c r="E1623" s="1">
        <v>68</v>
      </c>
      <c r="F1623" s="1">
        <v>89.5</v>
      </c>
      <c r="H1623" s="1">
        <v>76.6</v>
      </c>
    </row>
    <row r="1624" s="1" customFormat="1" spans="1:8">
      <c r="A1624" s="1" t="s">
        <v>13</v>
      </c>
      <c r="B1624" s="1" t="s">
        <v>19</v>
      </c>
      <c r="C1624" s="1" t="str">
        <f t="shared" si="33"/>
        <v>020080</v>
      </c>
      <c r="D1624" s="1" t="str">
        <f>"112206502"</f>
        <v>112206502</v>
      </c>
      <c r="E1624" s="1">
        <v>81</v>
      </c>
      <c r="F1624" s="1">
        <v>77.5</v>
      </c>
      <c r="H1624" s="1">
        <v>79.6</v>
      </c>
    </row>
    <row r="1625" s="1" customFormat="1" spans="1:8">
      <c r="A1625" s="1" t="s">
        <v>13</v>
      </c>
      <c r="B1625" s="1" t="s">
        <v>19</v>
      </c>
      <c r="C1625" s="1" t="str">
        <f t="shared" si="33"/>
        <v>020080</v>
      </c>
      <c r="D1625" s="1" t="str">
        <f>"112206503"</f>
        <v>112206503</v>
      </c>
      <c r="E1625" s="1">
        <v>75</v>
      </c>
      <c r="F1625" s="1">
        <v>90.5</v>
      </c>
      <c r="H1625" s="1">
        <v>81.2</v>
      </c>
    </row>
    <row r="1626" s="1" customFormat="1" spans="1:8">
      <c r="A1626" s="1" t="s">
        <v>13</v>
      </c>
      <c r="B1626" s="1" t="s">
        <v>19</v>
      </c>
      <c r="C1626" s="1" t="str">
        <f t="shared" si="33"/>
        <v>020080</v>
      </c>
      <c r="D1626" s="1" t="str">
        <f>"112206504"</f>
        <v>112206504</v>
      </c>
      <c r="E1626" s="1">
        <v>64</v>
      </c>
      <c r="F1626" s="1">
        <v>67.5</v>
      </c>
      <c r="G1626" s="1">
        <v>2</v>
      </c>
      <c r="H1626" s="1">
        <v>67.4</v>
      </c>
    </row>
    <row r="1627" s="1" customFormat="1" spans="1:8">
      <c r="A1627" s="1" t="s">
        <v>13</v>
      </c>
      <c r="B1627" s="1" t="s">
        <v>19</v>
      </c>
      <c r="C1627" s="1" t="str">
        <f t="shared" si="33"/>
        <v>020080</v>
      </c>
      <c r="D1627" s="1" t="str">
        <f>"112206505"</f>
        <v>112206505</v>
      </c>
      <c r="E1627" s="1">
        <v>75.5</v>
      </c>
      <c r="F1627" s="1">
        <v>76</v>
      </c>
      <c r="H1627" s="1">
        <v>75.7</v>
      </c>
    </row>
    <row r="1628" s="1" customFormat="1" spans="1:8">
      <c r="A1628" s="1" t="s">
        <v>13</v>
      </c>
      <c r="B1628" s="1" t="s">
        <v>19</v>
      </c>
      <c r="C1628" s="1" t="str">
        <f t="shared" si="33"/>
        <v>020080</v>
      </c>
      <c r="D1628" s="1" t="str">
        <f>"112206506"</f>
        <v>112206506</v>
      </c>
      <c r="E1628" s="1">
        <v>61</v>
      </c>
      <c r="F1628" s="1">
        <v>63</v>
      </c>
      <c r="H1628" s="1">
        <v>61.8</v>
      </c>
    </row>
    <row r="1629" s="1" customFormat="1" spans="1:8">
      <c r="A1629" s="1" t="s">
        <v>13</v>
      </c>
      <c r="B1629" s="1" t="s">
        <v>19</v>
      </c>
      <c r="C1629" s="1" t="str">
        <f t="shared" si="33"/>
        <v>020080</v>
      </c>
      <c r="D1629" s="1" t="str">
        <f>"112206507"</f>
        <v>112206507</v>
      </c>
      <c r="E1629" s="1">
        <v>64.5</v>
      </c>
      <c r="F1629" s="1">
        <v>62</v>
      </c>
      <c r="H1629" s="1">
        <v>63.5</v>
      </c>
    </row>
    <row r="1630" s="1" customFormat="1" spans="1:8">
      <c r="A1630" s="1" t="s">
        <v>13</v>
      </c>
      <c r="B1630" s="1" t="s">
        <v>19</v>
      </c>
      <c r="C1630" s="1" t="str">
        <f t="shared" si="33"/>
        <v>020080</v>
      </c>
      <c r="D1630" s="1" t="str">
        <f>"112206508"</f>
        <v>112206508</v>
      </c>
      <c r="E1630" s="1">
        <v>69</v>
      </c>
      <c r="F1630" s="1">
        <v>68</v>
      </c>
      <c r="H1630" s="1">
        <v>68.6</v>
      </c>
    </row>
    <row r="1631" s="1" customFormat="1" spans="1:8">
      <c r="A1631" s="1" t="s">
        <v>13</v>
      </c>
      <c r="B1631" s="1" t="s">
        <v>19</v>
      </c>
      <c r="C1631" s="1" t="str">
        <f t="shared" si="33"/>
        <v>020080</v>
      </c>
      <c r="D1631" s="1" t="str">
        <f>"112206509"</f>
        <v>112206509</v>
      </c>
      <c r="E1631" s="1">
        <v>79.5</v>
      </c>
      <c r="F1631" s="1">
        <v>85.5</v>
      </c>
      <c r="H1631" s="1">
        <v>81.9</v>
      </c>
    </row>
    <row r="1632" s="1" customFormat="1" spans="1:8">
      <c r="A1632" s="1" t="s">
        <v>13</v>
      </c>
      <c r="B1632" s="1" t="s">
        <v>19</v>
      </c>
      <c r="C1632" s="1" t="str">
        <f t="shared" si="33"/>
        <v>020080</v>
      </c>
      <c r="D1632" s="1" t="str">
        <f>"112206510"</f>
        <v>112206510</v>
      </c>
      <c r="E1632" s="1">
        <v>80.5</v>
      </c>
      <c r="F1632" s="1">
        <v>82.5</v>
      </c>
      <c r="H1632" s="1">
        <v>81.3</v>
      </c>
    </row>
    <row r="1633" s="1" customFormat="1" spans="1:8">
      <c r="A1633" s="1" t="s">
        <v>13</v>
      </c>
      <c r="B1633" s="1" t="s">
        <v>19</v>
      </c>
      <c r="C1633" s="1" t="str">
        <f t="shared" si="33"/>
        <v>020080</v>
      </c>
      <c r="D1633" s="1" t="str">
        <f>"112206511"</f>
        <v>112206511</v>
      </c>
      <c r="E1633" s="1">
        <v>76</v>
      </c>
      <c r="F1633" s="1">
        <v>91</v>
      </c>
      <c r="H1633" s="1">
        <v>82</v>
      </c>
    </row>
    <row r="1634" s="1" customFormat="1" spans="1:8">
      <c r="A1634" s="1" t="s">
        <v>13</v>
      </c>
      <c r="B1634" s="1" t="s">
        <v>19</v>
      </c>
      <c r="C1634" s="1" t="str">
        <f t="shared" si="33"/>
        <v>020080</v>
      </c>
      <c r="D1634" s="1" t="str">
        <f>"112206512"</f>
        <v>112206512</v>
      </c>
      <c r="E1634" s="1">
        <v>77.5</v>
      </c>
      <c r="F1634" s="1">
        <v>80</v>
      </c>
      <c r="H1634" s="1">
        <v>78.5</v>
      </c>
    </row>
    <row r="1635" s="1" customFormat="1" spans="1:8">
      <c r="A1635" s="1" t="s">
        <v>13</v>
      </c>
      <c r="B1635" s="1" t="s">
        <v>19</v>
      </c>
      <c r="C1635" s="1" t="str">
        <f t="shared" si="33"/>
        <v>020080</v>
      </c>
      <c r="D1635" s="1" t="str">
        <f>"112206513"</f>
        <v>112206513</v>
      </c>
      <c r="E1635" s="1">
        <v>86</v>
      </c>
      <c r="F1635" s="1">
        <v>74</v>
      </c>
      <c r="H1635" s="1">
        <v>81.2</v>
      </c>
    </row>
    <row r="1636" s="1" customFormat="1" spans="1:8">
      <c r="A1636" s="1" t="s">
        <v>13</v>
      </c>
      <c r="B1636" s="1" t="s">
        <v>19</v>
      </c>
      <c r="C1636" s="1" t="str">
        <f t="shared" si="33"/>
        <v>020080</v>
      </c>
      <c r="D1636" s="1" t="str">
        <f>"112206514"</f>
        <v>112206514</v>
      </c>
      <c r="E1636" s="1">
        <v>70.5</v>
      </c>
      <c r="F1636" s="1">
        <v>72</v>
      </c>
      <c r="H1636" s="1">
        <v>71.1</v>
      </c>
    </row>
    <row r="1637" s="1" customFormat="1" spans="1:8">
      <c r="A1637" s="1" t="s">
        <v>13</v>
      </c>
      <c r="B1637" s="1" t="s">
        <v>19</v>
      </c>
      <c r="C1637" s="1" t="str">
        <f t="shared" si="33"/>
        <v>020080</v>
      </c>
      <c r="D1637" s="1" t="str">
        <f>"112206515"</f>
        <v>112206515</v>
      </c>
      <c r="E1637" s="1">
        <v>67.5</v>
      </c>
      <c r="F1637" s="1">
        <v>55.5</v>
      </c>
      <c r="H1637" s="1">
        <v>62.7</v>
      </c>
    </row>
    <row r="1638" s="1" customFormat="1" spans="1:8">
      <c r="A1638" s="1" t="s">
        <v>13</v>
      </c>
      <c r="B1638" s="1" t="s">
        <v>19</v>
      </c>
      <c r="C1638" s="1" t="str">
        <f t="shared" si="33"/>
        <v>020080</v>
      </c>
      <c r="D1638" s="1" t="str">
        <f>"112206516"</f>
        <v>112206516</v>
      </c>
      <c r="E1638" s="1">
        <v>0</v>
      </c>
      <c r="F1638" s="1">
        <v>0</v>
      </c>
      <c r="H1638" s="1">
        <v>0</v>
      </c>
    </row>
    <row r="1639" s="1" customFormat="1" spans="1:8">
      <c r="A1639" s="1" t="s">
        <v>13</v>
      </c>
      <c r="B1639" s="1" t="s">
        <v>19</v>
      </c>
      <c r="C1639" s="1" t="str">
        <f t="shared" si="33"/>
        <v>020080</v>
      </c>
      <c r="D1639" s="1" t="str">
        <f>"112206517"</f>
        <v>112206517</v>
      </c>
      <c r="E1639" s="1">
        <v>72.5</v>
      </c>
      <c r="F1639" s="1">
        <v>94</v>
      </c>
      <c r="H1639" s="1">
        <v>81.1</v>
      </c>
    </row>
    <row r="1640" s="1" customFormat="1" spans="1:8">
      <c r="A1640" s="1" t="s">
        <v>13</v>
      </c>
      <c r="B1640" s="1" t="s">
        <v>19</v>
      </c>
      <c r="C1640" s="1" t="str">
        <f t="shared" si="33"/>
        <v>020080</v>
      </c>
      <c r="D1640" s="1" t="str">
        <f>"112206518"</f>
        <v>112206518</v>
      </c>
      <c r="E1640" s="1">
        <v>75.5</v>
      </c>
      <c r="F1640" s="1">
        <v>74</v>
      </c>
      <c r="H1640" s="1">
        <v>74.9</v>
      </c>
    </row>
    <row r="1641" s="1" customFormat="1" spans="1:8">
      <c r="A1641" s="1" t="s">
        <v>13</v>
      </c>
      <c r="B1641" s="1" t="s">
        <v>19</v>
      </c>
      <c r="C1641" s="1" t="str">
        <f t="shared" si="33"/>
        <v>020080</v>
      </c>
      <c r="D1641" s="1" t="str">
        <f>"112206519"</f>
        <v>112206519</v>
      </c>
      <c r="E1641" s="1">
        <v>80.5</v>
      </c>
      <c r="F1641" s="1">
        <v>82.5</v>
      </c>
      <c r="H1641" s="1">
        <v>81.3</v>
      </c>
    </row>
    <row r="1642" s="1" customFormat="1" spans="1:8">
      <c r="A1642" s="1" t="s">
        <v>13</v>
      </c>
      <c r="B1642" s="1" t="s">
        <v>19</v>
      </c>
      <c r="C1642" s="1" t="str">
        <f t="shared" si="33"/>
        <v>020080</v>
      </c>
      <c r="D1642" s="1" t="str">
        <f>"112206520"</f>
        <v>112206520</v>
      </c>
      <c r="E1642" s="1">
        <v>0</v>
      </c>
      <c r="F1642" s="1">
        <v>0</v>
      </c>
      <c r="H1642" s="1">
        <v>0</v>
      </c>
    </row>
    <row r="1643" s="1" customFormat="1" spans="1:8">
      <c r="A1643" s="1" t="s">
        <v>13</v>
      </c>
      <c r="B1643" s="1" t="s">
        <v>19</v>
      </c>
      <c r="C1643" s="1" t="str">
        <f t="shared" si="33"/>
        <v>020080</v>
      </c>
      <c r="D1643" s="1" t="str">
        <f>"112206521"</f>
        <v>112206521</v>
      </c>
      <c r="E1643" s="1">
        <v>0</v>
      </c>
      <c r="F1643" s="1">
        <v>0</v>
      </c>
      <c r="H1643" s="1">
        <v>0</v>
      </c>
    </row>
    <row r="1644" s="1" customFormat="1" spans="1:8">
      <c r="A1644" s="1" t="s">
        <v>13</v>
      </c>
      <c r="B1644" s="1" t="s">
        <v>19</v>
      </c>
      <c r="C1644" s="1" t="str">
        <f t="shared" si="33"/>
        <v>020080</v>
      </c>
      <c r="D1644" s="1" t="str">
        <f>"112206522"</f>
        <v>112206522</v>
      </c>
      <c r="E1644" s="1">
        <v>0</v>
      </c>
      <c r="F1644" s="1">
        <v>0</v>
      </c>
      <c r="H1644" s="1">
        <v>0</v>
      </c>
    </row>
    <row r="1645" s="1" customFormat="1" spans="1:8">
      <c r="A1645" s="1" t="s">
        <v>13</v>
      </c>
      <c r="B1645" s="1" t="s">
        <v>19</v>
      </c>
      <c r="C1645" s="1" t="str">
        <f t="shared" si="33"/>
        <v>020080</v>
      </c>
      <c r="D1645" s="1" t="str">
        <f>"112206523"</f>
        <v>112206523</v>
      </c>
      <c r="E1645" s="1">
        <v>74.5</v>
      </c>
      <c r="F1645" s="1">
        <v>76.5</v>
      </c>
      <c r="H1645" s="1">
        <v>75.3</v>
      </c>
    </row>
    <row r="1646" s="1" customFormat="1" spans="1:8">
      <c r="A1646" s="1" t="s">
        <v>13</v>
      </c>
      <c r="B1646" s="1" t="s">
        <v>19</v>
      </c>
      <c r="C1646" s="1" t="str">
        <f t="shared" si="33"/>
        <v>020080</v>
      </c>
      <c r="D1646" s="1" t="str">
        <f>"112206524"</f>
        <v>112206524</v>
      </c>
      <c r="E1646" s="1">
        <v>91.5</v>
      </c>
      <c r="F1646" s="1">
        <v>100.5</v>
      </c>
      <c r="H1646" s="1">
        <v>95.1</v>
      </c>
    </row>
    <row r="1647" s="1" customFormat="1" spans="1:8">
      <c r="A1647" s="1" t="s">
        <v>13</v>
      </c>
      <c r="B1647" s="1" t="s">
        <v>19</v>
      </c>
      <c r="C1647" s="1" t="str">
        <f t="shared" si="33"/>
        <v>020080</v>
      </c>
      <c r="D1647" s="1" t="str">
        <f>"112206525"</f>
        <v>112206525</v>
      </c>
      <c r="E1647" s="1">
        <v>70</v>
      </c>
      <c r="F1647" s="1">
        <v>51</v>
      </c>
      <c r="H1647" s="1">
        <v>62.4</v>
      </c>
    </row>
    <row r="1648" s="1" customFormat="1" spans="1:8">
      <c r="A1648" s="1" t="s">
        <v>13</v>
      </c>
      <c r="B1648" s="1" t="s">
        <v>19</v>
      </c>
      <c r="C1648" s="1" t="str">
        <f t="shared" si="33"/>
        <v>020080</v>
      </c>
      <c r="D1648" s="1" t="str">
        <f>"112206526"</f>
        <v>112206526</v>
      </c>
      <c r="E1648" s="1">
        <v>71.5</v>
      </c>
      <c r="F1648" s="1">
        <v>82.5</v>
      </c>
      <c r="H1648" s="1">
        <v>75.9</v>
      </c>
    </row>
    <row r="1649" s="1" customFormat="1" spans="1:8">
      <c r="A1649" s="1" t="s">
        <v>13</v>
      </c>
      <c r="B1649" s="1" t="s">
        <v>19</v>
      </c>
      <c r="C1649" s="1" t="str">
        <f t="shared" si="33"/>
        <v>020080</v>
      </c>
      <c r="D1649" s="1" t="str">
        <f>"112206527"</f>
        <v>112206527</v>
      </c>
      <c r="E1649" s="1">
        <v>66.5</v>
      </c>
      <c r="F1649" s="1">
        <v>59</v>
      </c>
      <c r="H1649" s="1">
        <v>63.5</v>
      </c>
    </row>
    <row r="1650" s="1" customFormat="1" spans="1:8">
      <c r="A1650" s="1" t="s">
        <v>13</v>
      </c>
      <c r="B1650" s="1" t="s">
        <v>19</v>
      </c>
      <c r="C1650" s="1" t="str">
        <f t="shared" si="33"/>
        <v>020080</v>
      </c>
      <c r="D1650" s="1" t="str">
        <f>"112206528"</f>
        <v>112206528</v>
      </c>
      <c r="E1650" s="1">
        <v>0</v>
      </c>
      <c r="F1650" s="1">
        <v>0</v>
      </c>
      <c r="H1650" s="1">
        <v>0</v>
      </c>
    </row>
    <row r="1651" s="1" customFormat="1" spans="1:8">
      <c r="A1651" s="1" t="s">
        <v>13</v>
      </c>
      <c r="B1651" s="1" t="s">
        <v>19</v>
      </c>
      <c r="C1651" s="1" t="str">
        <f t="shared" si="33"/>
        <v>020080</v>
      </c>
      <c r="D1651" s="1" t="str">
        <f>"112206529"</f>
        <v>112206529</v>
      </c>
      <c r="E1651" s="1">
        <v>63.5</v>
      </c>
      <c r="F1651" s="1">
        <v>85.5</v>
      </c>
      <c r="H1651" s="1">
        <v>72.3</v>
      </c>
    </row>
    <row r="1652" s="1" customFormat="1" spans="1:8">
      <c r="A1652" s="1" t="s">
        <v>13</v>
      </c>
      <c r="B1652" s="1" t="s">
        <v>19</v>
      </c>
      <c r="C1652" s="1" t="str">
        <f t="shared" si="33"/>
        <v>020080</v>
      </c>
      <c r="D1652" s="1" t="str">
        <f>"112206530"</f>
        <v>112206530</v>
      </c>
      <c r="E1652" s="1">
        <v>0</v>
      </c>
      <c r="F1652" s="1">
        <v>0</v>
      </c>
      <c r="H1652" s="1">
        <v>0</v>
      </c>
    </row>
    <row r="1653" s="1" customFormat="1" spans="1:8">
      <c r="A1653" s="1" t="s">
        <v>13</v>
      </c>
      <c r="B1653" s="1" t="s">
        <v>19</v>
      </c>
      <c r="C1653" s="1" t="str">
        <f t="shared" si="33"/>
        <v>020080</v>
      </c>
      <c r="D1653" s="1" t="str">
        <f>"112206601"</f>
        <v>112206601</v>
      </c>
      <c r="E1653" s="1">
        <v>0</v>
      </c>
      <c r="F1653" s="1">
        <v>0</v>
      </c>
      <c r="H1653" s="1">
        <v>0</v>
      </c>
    </row>
    <row r="1654" s="1" customFormat="1" spans="1:8">
      <c r="A1654" s="1" t="s">
        <v>13</v>
      </c>
      <c r="B1654" s="1" t="s">
        <v>19</v>
      </c>
      <c r="C1654" s="1" t="str">
        <f t="shared" si="33"/>
        <v>020080</v>
      </c>
      <c r="D1654" s="1" t="str">
        <f>"112206602"</f>
        <v>112206602</v>
      </c>
      <c r="E1654" s="1">
        <v>67</v>
      </c>
      <c r="F1654" s="1">
        <v>52.5</v>
      </c>
      <c r="H1654" s="1">
        <v>61.2</v>
      </c>
    </row>
    <row r="1655" s="1" customFormat="1" spans="1:8">
      <c r="A1655" s="1" t="s">
        <v>13</v>
      </c>
      <c r="B1655" s="1" t="s">
        <v>19</v>
      </c>
      <c r="C1655" s="1" t="str">
        <f t="shared" si="33"/>
        <v>020080</v>
      </c>
      <c r="D1655" s="1" t="str">
        <f>"112206603"</f>
        <v>112206603</v>
      </c>
      <c r="E1655" s="1">
        <v>73</v>
      </c>
      <c r="F1655" s="1">
        <v>85.5</v>
      </c>
      <c r="H1655" s="1">
        <v>78</v>
      </c>
    </row>
    <row r="1656" s="1" customFormat="1" spans="1:8">
      <c r="A1656" s="1" t="s">
        <v>13</v>
      </c>
      <c r="B1656" s="1" t="s">
        <v>19</v>
      </c>
      <c r="C1656" s="1" t="str">
        <f t="shared" si="33"/>
        <v>020080</v>
      </c>
      <c r="D1656" s="1" t="str">
        <f>"112206604"</f>
        <v>112206604</v>
      </c>
      <c r="E1656" s="1">
        <v>75</v>
      </c>
      <c r="F1656" s="1">
        <v>67.5</v>
      </c>
      <c r="H1656" s="1">
        <v>72</v>
      </c>
    </row>
    <row r="1657" s="1" customFormat="1" spans="1:8">
      <c r="A1657" s="1" t="s">
        <v>13</v>
      </c>
      <c r="B1657" s="1" t="s">
        <v>19</v>
      </c>
      <c r="C1657" s="1" t="str">
        <f t="shared" si="33"/>
        <v>020080</v>
      </c>
      <c r="D1657" s="1" t="str">
        <f>"112206605"</f>
        <v>112206605</v>
      </c>
      <c r="E1657" s="1">
        <v>76.5</v>
      </c>
      <c r="F1657" s="1">
        <v>50.5</v>
      </c>
      <c r="H1657" s="1">
        <v>66.1</v>
      </c>
    </row>
    <row r="1658" s="1" customFormat="1" spans="1:8">
      <c r="A1658" s="1" t="s">
        <v>13</v>
      </c>
      <c r="B1658" s="1" t="s">
        <v>19</v>
      </c>
      <c r="C1658" s="1" t="str">
        <f t="shared" si="33"/>
        <v>020080</v>
      </c>
      <c r="D1658" s="1" t="str">
        <f>"112206606"</f>
        <v>112206606</v>
      </c>
      <c r="E1658" s="1">
        <v>72</v>
      </c>
      <c r="F1658" s="1">
        <v>84</v>
      </c>
      <c r="H1658" s="1">
        <v>76.8</v>
      </c>
    </row>
    <row r="1659" s="1" customFormat="1" spans="1:8">
      <c r="A1659" s="1" t="s">
        <v>13</v>
      </c>
      <c r="B1659" s="1" t="s">
        <v>19</v>
      </c>
      <c r="C1659" s="1" t="str">
        <f t="shared" si="33"/>
        <v>020080</v>
      </c>
      <c r="D1659" s="1" t="str">
        <f>"112206607"</f>
        <v>112206607</v>
      </c>
      <c r="E1659" s="1">
        <v>0</v>
      </c>
      <c r="F1659" s="1">
        <v>0</v>
      </c>
      <c r="H1659" s="1">
        <v>0</v>
      </c>
    </row>
    <row r="1660" s="1" customFormat="1" spans="1:8">
      <c r="A1660" s="1" t="s">
        <v>13</v>
      </c>
      <c r="B1660" s="1" t="s">
        <v>19</v>
      </c>
      <c r="C1660" s="1" t="str">
        <f t="shared" si="33"/>
        <v>020080</v>
      </c>
      <c r="D1660" s="1" t="str">
        <f>"112206608"</f>
        <v>112206608</v>
      </c>
      <c r="E1660" s="1">
        <v>68.5</v>
      </c>
      <c r="F1660" s="1">
        <v>56.5</v>
      </c>
      <c r="H1660" s="1">
        <v>63.7</v>
      </c>
    </row>
    <row r="1661" s="1" customFormat="1" spans="1:8">
      <c r="A1661" s="1" t="s">
        <v>13</v>
      </c>
      <c r="B1661" s="1" t="s">
        <v>19</v>
      </c>
      <c r="C1661" s="1" t="str">
        <f t="shared" si="33"/>
        <v>020080</v>
      </c>
      <c r="D1661" s="1" t="str">
        <f>"112206609"</f>
        <v>112206609</v>
      </c>
      <c r="E1661" s="1">
        <v>53</v>
      </c>
      <c r="F1661" s="1">
        <v>51.5</v>
      </c>
      <c r="H1661" s="1">
        <v>52.4</v>
      </c>
    </row>
    <row r="1662" s="1" customFormat="1" spans="1:8">
      <c r="A1662" s="1" t="s">
        <v>13</v>
      </c>
      <c r="B1662" s="1" t="s">
        <v>19</v>
      </c>
      <c r="C1662" s="1" t="str">
        <f t="shared" si="33"/>
        <v>020080</v>
      </c>
      <c r="D1662" s="1" t="str">
        <f>"112206610"</f>
        <v>112206610</v>
      </c>
      <c r="E1662" s="1">
        <v>57</v>
      </c>
      <c r="F1662" s="1">
        <v>80</v>
      </c>
      <c r="H1662" s="1">
        <v>66.2</v>
      </c>
    </row>
    <row r="1663" s="1" customFormat="1" spans="1:8">
      <c r="A1663" s="1" t="s">
        <v>13</v>
      </c>
      <c r="B1663" s="1" t="s">
        <v>19</v>
      </c>
      <c r="C1663" s="1" t="str">
        <f t="shared" si="33"/>
        <v>020080</v>
      </c>
      <c r="D1663" s="1" t="str">
        <f>"112206611"</f>
        <v>112206611</v>
      </c>
      <c r="E1663" s="1">
        <v>0</v>
      </c>
      <c r="F1663" s="1">
        <v>0</v>
      </c>
      <c r="H1663" s="1">
        <v>0</v>
      </c>
    </row>
    <row r="1664" s="1" customFormat="1" spans="1:8">
      <c r="A1664" s="1" t="s">
        <v>13</v>
      </c>
      <c r="B1664" s="1" t="s">
        <v>19</v>
      </c>
      <c r="C1664" s="1" t="str">
        <f t="shared" si="33"/>
        <v>020080</v>
      </c>
      <c r="D1664" s="1" t="str">
        <f>"112206612"</f>
        <v>112206612</v>
      </c>
      <c r="E1664" s="1">
        <v>88.5</v>
      </c>
      <c r="F1664" s="1">
        <v>94</v>
      </c>
      <c r="H1664" s="1">
        <v>90.7</v>
      </c>
    </row>
    <row r="1665" s="1" customFormat="1" spans="1:8">
      <c r="A1665" s="1" t="s">
        <v>13</v>
      </c>
      <c r="B1665" s="1" t="s">
        <v>19</v>
      </c>
      <c r="C1665" s="1" t="str">
        <f t="shared" si="33"/>
        <v>020080</v>
      </c>
      <c r="D1665" s="1" t="str">
        <f>"112206613"</f>
        <v>112206613</v>
      </c>
      <c r="E1665" s="1">
        <v>87</v>
      </c>
      <c r="F1665" s="1">
        <v>72</v>
      </c>
      <c r="H1665" s="1">
        <v>81</v>
      </c>
    </row>
    <row r="1666" s="1" customFormat="1" spans="1:8">
      <c r="A1666" s="1" t="s">
        <v>13</v>
      </c>
      <c r="B1666" s="1" t="s">
        <v>19</v>
      </c>
      <c r="C1666" s="1" t="str">
        <f t="shared" si="33"/>
        <v>020080</v>
      </c>
      <c r="D1666" s="1" t="str">
        <f>"112206614"</f>
        <v>112206614</v>
      </c>
      <c r="E1666" s="1">
        <v>89.5</v>
      </c>
      <c r="F1666" s="1">
        <v>76.5</v>
      </c>
      <c r="H1666" s="1">
        <v>84.3</v>
      </c>
    </row>
    <row r="1667" s="1" customFormat="1" spans="1:8">
      <c r="A1667" s="1" t="s">
        <v>13</v>
      </c>
      <c r="B1667" s="1" t="s">
        <v>19</v>
      </c>
      <c r="C1667" s="1" t="str">
        <f t="shared" si="33"/>
        <v>020080</v>
      </c>
      <c r="D1667" s="1" t="str">
        <f>"112206615"</f>
        <v>112206615</v>
      </c>
      <c r="E1667" s="1">
        <v>65</v>
      </c>
      <c r="F1667" s="1">
        <v>73</v>
      </c>
      <c r="H1667" s="1">
        <v>68.2</v>
      </c>
    </row>
    <row r="1668" s="1" customFormat="1" spans="1:8">
      <c r="A1668" s="1" t="s">
        <v>13</v>
      </c>
      <c r="B1668" s="1" t="s">
        <v>19</v>
      </c>
      <c r="C1668" s="1" t="str">
        <f t="shared" si="33"/>
        <v>020080</v>
      </c>
      <c r="D1668" s="1" t="str">
        <f>"112206616"</f>
        <v>112206616</v>
      </c>
      <c r="E1668" s="1">
        <v>0</v>
      </c>
      <c r="F1668" s="1">
        <v>0</v>
      </c>
      <c r="H1668" s="1">
        <v>0</v>
      </c>
    </row>
    <row r="1669" s="1" customFormat="1" spans="1:8">
      <c r="A1669" s="1" t="s">
        <v>13</v>
      </c>
      <c r="B1669" s="1" t="s">
        <v>19</v>
      </c>
      <c r="C1669" s="1" t="str">
        <f t="shared" si="33"/>
        <v>020080</v>
      </c>
      <c r="D1669" s="1" t="str">
        <f>"112206617"</f>
        <v>112206617</v>
      </c>
      <c r="E1669" s="1">
        <v>58</v>
      </c>
      <c r="F1669" s="1">
        <v>48.5</v>
      </c>
      <c r="H1669" s="1">
        <v>54.2</v>
      </c>
    </row>
    <row r="1670" s="1" customFormat="1" spans="1:8">
      <c r="A1670" s="1" t="s">
        <v>13</v>
      </c>
      <c r="B1670" s="1" t="s">
        <v>19</v>
      </c>
      <c r="C1670" s="1" t="str">
        <f t="shared" si="33"/>
        <v>020080</v>
      </c>
      <c r="D1670" s="1" t="str">
        <f>"112206618"</f>
        <v>112206618</v>
      </c>
      <c r="E1670" s="1">
        <v>78</v>
      </c>
      <c r="F1670" s="1">
        <v>82</v>
      </c>
      <c r="H1670" s="1">
        <v>79.6</v>
      </c>
    </row>
    <row r="1671" s="1" customFormat="1" spans="1:8">
      <c r="A1671" s="1" t="s">
        <v>13</v>
      </c>
      <c r="B1671" s="1" t="s">
        <v>19</v>
      </c>
      <c r="C1671" s="1" t="str">
        <f t="shared" ref="C1671:C1734" si="34">"020080"</f>
        <v>020080</v>
      </c>
      <c r="D1671" s="1" t="str">
        <f>"112206619"</f>
        <v>112206619</v>
      </c>
      <c r="E1671" s="1">
        <v>69.5</v>
      </c>
      <c r="F1671" s="1">
        <v>72.5</v>
      </c>
      <c r="H1671" s="1">
        <v>70.7</v>
      </c>
    </row>
    <row r="1672" s="1" customFormat="1" spans="1:8">
      <c r="A1672" s="1" t="s">
        <v>13</v>
      </c>
      <c r="B1672" s="1" t="s">
        <v>19</v>
      </c>
      <c r="C1672" s="1" t="str">
        <f t="shared" si="34"/>
        <v>020080</v>
      </c>
      <c r="D1672" s="1" t="str">
        <f>"112206620"</f>
        <v>112206620</v>
      </c>
      <c r="E1672" s="1">
        <v>62.5</v>
      </c>
      <c r="F1672" s="1">
        <v>69</v>
      </c>
      <c r="H1672" s="1">
        <v>65.1</v>
      </c>
    </row>
    <row r="1673" s="1" customFormat="1" spans="1:8">
      <c r="A1673" s="1" t="s">
        <v>13</v>
      </c>
      <c r="B1673" s="1" t="s">
        <v>19</v>
      </c>
      <c r="C1673" s="1" t="str">
        <f t="shared" si="34"/>
        <v>020080</v>
      </c>
      <c r="D1673" s="1" t="str">
        <f>"112206621"</f>
        <v>112206621</v>
      </c>
      <c r="E1673" s="1">
        <v>76</v>
      </c>
      <c r="F1673" s="1">
        <v>51.5</v>
      </c>
      <c r="H1673" s="1">
        <v>66.2</v>
      </c>
    </row>
    <row r="1674" s="1" customFormat="1" spans="1:8">
      <c r="A1674" s="1" t="s">
        <v>13</v>
      </c>
      <c r="B1674" s="1" t="s">
        <v>19</v>
      </c>
      <c r="C1674" s="1" t="str">
        <f t="shared" si="34"/>
        <v>020080</v>
      </c>
      <c r="D1674" s="1" t="str">
        <f>"112206622"</f>
        <v>112206622</v>
      </c>
      <c r="E1674" s="1">
        <v>53</v>
      </c>
      <c r="F1674" s="1">
        <v>68</v>
      </c>
      <c r="H1674" s="1">
        <v>59</v>
      </c>
    </row>
    <row r="1675" s="1" customFormat="1" spans="1:8">
      <c r="A1675" s="1" t="s">
        <v>13</v>
      </c>
      <c r="B1675" s="1" t="s">
        <v>19</v>
      </c>
      <c r="C1675" s="1" t="str">
        <f t="shared" si="34"/>
        <v>020080</v>
      </c>
      <c r="D1675" s="1" t="str">
        <f>"112206623"</f>
        <v>112206623</v>
      </c>
      <c r="E1675" s="1">
        <v>77</v>
      </c>
      <c r="F1675" s="1">
        <v>97.5</v>
      </c>
      <c r="H1675" s="1">
        <v>85.2</v>
      </c>
    </row>
    <row r="1676" s="1" customFormat="1" spans="1:8">
      <c r="A1676" s="1" t="s">
        <v>13</v>
      </c>
      <c r="B1676" s="1" t="s">
        <v>19</v>
      </c>
      <c r="C1676" s="1" t="str">
        <f t="shared" si="34"/>
        <v>020080</v>
      </c>
      <c r="D1676" s="1" t="str">
        <f>"112206624"</f>
        <v>112206624</v>
      </c>
      <c r="E1676" s="1">
        <v>55</v>
      </c>
      <c r="F1676" s="1">
        <v>54.5</v>
      </c>
      <c r="H1676" s="1">
        <v>54.8</v>
      </c>
    </row>
    <row r="1677" s="1" customFormat="1" spans="1:8">
      <c r="A1677" s="1" t="s">
        <v>13</v>
      </c>
      <c r="B1677" s="1" t="s">
        <v>19</v>
      </c>
      <c r="C1677" s="1" t="str">
        <f t="shared" si="34"/>
        <v>020080</v>
      </c>
      <c r="D1677" s="1" t="str">
        <f>"112206625"</f>
        <v>112206625</v>
      </c>
      <c r="E1677" s="1">
        <v>71.5</v>
      </c>
      <c r="F1677" s="1">
        <v>70.5</v>
      </c>
      <c r="H1677" s="1">
        <v>71.1</v>
      </c>
    </row>
    <row r="1678" s="1" customFormat="1" spans="1:8">
      <c r="A1678" s="1" t="s">
        <v>13</v>
      </c>
      <c r="B1678" s="1" t="s">
        <v>19</v>
      </c>
      <c r="C1678" s="1" t="str">
        <f t="shared" si="34"/>
        <v>020080</v>
      </c>
      <c r="D1678" s="1" t="str">
        <f>"112206626"</f>
        <v>112206626</v>
      </c>
      <c r="E1678" s="1">
        <v>83.5</v>
      </c>
      <c r="F1678" s="1">
        <v>76.5</v>
      </c>
      <c r="H1678" s="1">
        <v>80.7</v>
      </c>
    </row>
    <row r="1679" s="1" customFormat="1" spans="1:8">
      <c r="A1679" s="1" t="s">
        <v>13</v>
      </c>
      <c r="B1679" s="1" t="s">
        <v>19</v>
      </c>
      <c r="C1679" s="1" t="str">
        <f t="shared" si="34"/>
        <v>020080</v>
      </c>
      <c r="D1679" s="1" t="str">
        <f>"112206627"</f>
        <v>112206627</v>
      </c>
      <c r="E1679" s="1">
        <v>83</v>
      </c>
      <c r="F1679" s="1">
        <v>83.5</v>
      </c>
      <c r="H1679" s="1">
        <v>83.2</v>
      </c>
    </row>
    <row r="1680" s="1" customFormat="1" spans="1:8">
      <c r="A1680" s="1" t="s">
        <v>13</v>
      </c>
      <c r="B1680" s="1" t="s">
        <v>19</v>
      </c>
      <c r="C1680" s="1" t="str">
        <f t="shared" si="34"/>
        <v>020080</v>
      </c>
      <c r="D1680" s="1" t="str">
        <f>"112206628"</f>
        <v>112206628</v>
      </c>
      <c r="E1680" s="1">
        <v>0</v>
      </c>
      <c r="F1680" s="1">
        <v>0</v>
      </c>
      <c r="H1680" s="1">
        <v>0</v>
      </c>
    </row>
    <row r="1681" s="1" customFormat="1" spans="1:8">
      <c r="A1681" s="1" t="s">
        <v>13</v>
      </c>
      <c r="B1681" s="1" t="s">
        <v>19</v>
      </c>
      <c r="C1681" s="1" t="str">
        <f t="shared" si="34"/>
        <v>020080</v>
      </c>
      <c r="D1681" s="1" t="str">
        <f>"112206629"</f>
        <v>112206629</v>
      </c>
      <c r="E1681" s="1">
        <v>0</v>
      </c>
      <c r="F1681" s="1">
        <v>0</v>
      </c>
      <c r="H1681" s="1">
        <v>0</v>
      </c>
    </row>
    <row r="1682" s="1" customFormat="1" spans="1:8">
      <c r="A1682" s="1" t="s">
        <v>13</v>
      </c>
      <c r="B1682" s="1" t="s">
        <v>19</v>
      </c>
      <c r="C1682" s="1" t="str">
        <f t="shared" si="34"/>
        <v>020080</v>
      </c>
      <c r="D1682" s="1" t="str">
        <f>"112206630"</f>
        <v>112206630</v>
      </c>
      <c r="E1682" s="1">
        <v>65</v>
      </c>
      <c r="F1682" s="1">
        <v>71</v>
      </c>
      <c r="H1682" s="1">
        <v>67.4</v>
      </c>
    </row>
    <row r="1683" s="1" customFormat="1" spans="1:8">
      <c r="A1683" s="1" t="s">
        <v>13</v>
      </c>
      <c r="B1683" s="1" t="s">
        <v>19</v>
      </c>
      <c r="C1683" s="1" t="str">
        <f t="shared" si="34"/>
        <v>020080</v>
      </c>
      <c r="D1683" s="1" t="str">
        <f>"112206701"</f>
        <v>112206701</v>
      </c>
      <c r="E1683" s="1">
        <v>0</v>
      </c>
      <c r="F1683" s="1">
        <v>0</v>
      </c>
      <c r="H1683" s="1">
        <v>0</v>
      </c>
    </row>
    <row r="1684" s="1" customFormat="1" spans="1:8">
      <c r="A1684" s="1" t="s">
        <v>13</v>
      </c>
      <c r="B1684" s="1" t="s">
        <v>19</v>
      </c>
      <c r="C1684" s="1" t="str">
        <f t="shared" si="34"/>
        <v>020080</v>
      </c>
      <c r="D1684" s="1" t="str">
        <f>"112206702"</f>
        <v>112206702</v>
      </c>
      <c r="E1684" s="1">
        <v>68</v>
      </c>
      <c r="F1684" s="1">
        <v>77</v>
      </c>
      <c r="H1684" s="1">
        <v>71.6</v>
      </c>
    </row>
    <row r="1685" s="1" customFormat="1" spans="1:8">
      <c r="A1685" s="1" t="s">
        <v>13</v>
      </c>
      <c r="B1685" s="1" t="s">
        <v>19</v>
      </c>
      <c r="C1685" s="1" t="str">
        <f t="shared" si="34"/>
        <v>020080</v>
      </c>
      <c r="D1685" s="1" t="str">
        <f>"112206703"</f>
        <v>112206703</v>
      </c>
      <c r="E1685" s="1">
        <v>82.5</v>
      </c>
      <c r="F1685" s="1">
        <v>89</v>
      </c>
      <c r="H1685" s="1">
        <v>85.1</v>
      </c>
    </row>
    <row r="1686" s="1" customFormat="1" spans="1:8">
      <c r="A1686" s="1" t="s">
        <v>13</v>
      </c>
      <c r="B1686" s="1" t="s">
        <v>19</v>
      </c>
      <c r="C1686" s="1" t="str">
        <f t="shared" si="34"/>
        <v>020080</v>
      </c>
      <c r="D1686" s="1" t="str">
        <f>"112206704"</f>
        <v>112206704</v>
      </c>
      <c r="E1686" s="1">
        <v>79</v>
      </c>
      <c r="F1686" s="1">
        <v>71.5</v>
      </c>
      <c r="H1686" s="1">
        <v>76</v>
      </c>
    </row>
    <row r="1687" s="1" customFormat="1" spans="1:8">
      <c r="A1687" s="1" t="s">
        <v>13</v>
      </c>
      <c r="B1687" s="1" t="s">
        <v>19</v>
      </c>
      <c r="C1687" s="1" t="str">
        <f t="shared" si="34"/>
        <v>020080</v>
      </c>
      <c r="D1687" s="1" t="str">
        <f>"112206705"</f>
        <v>112206705</v>
      </c>
      <c r="E1687" s="1">
        <v>82.5</v>
      </c>
      <c r="F1687" s="1">
        <v>87.5</v>
      </c>
      <c r="H1687" s="1">
        <v>84.5</v>
      </c>
    </row>
    <row r="1688" s="1" customFormat="1" spans="1:8">
      <c r="A1688" s="1" t="s">
        <v>13</v>
      </c>
      <c r="B1688" s="1" t="s">
        <v>19</v>
      </c>
      <c r="C1688" s="1" t="str">
        <f t="shared" si="34"/>
        <v>020080</v>
      </c>
      <c r="D1688" s="1" t="str">
        <f>"112206706"</f>
        <v>112206706</v>
      </c>
      <c r="E1688" s="1">
        <v>70</v>
      </c>
      <c r="F1688" s="1">
        <v>69.5</v>
      </c>
      <c r="H1688" s="1">
        <v>69.8</v>
      </c>
    </row>
    <row r="1689" s="1" customFormat="1" spans="1:8">
      <c r="A1689" s="1" t="s">
        <v>13</v>
      </c>
      <c r="B1689" s="1" t="s">
        <v>19</v>
      </c>
      <c r="C1689" s="1" t="str">
        <f t="shared" si="34"/>
        <v>020080</v>
      </c>
      <c r="D1689" s="1" t="str">
        <f>"112206707"</f>
        <v>112206707</v>
      </c>
      <c r="E1689" s="1">
        <v>77.5</v>
      </c>
      <c r="F1689" s="1">
        <v>96</v>
      </c>
      <c r="H1689" s="1">
        <v>84.9</v>
      </c>
    </row>
    <row r="1690" s="1" customFormat="1" spans="1:8">
      <c r="A1690" s="1" t="s">
        <v>13</v>
      </c>
      <c r="B1690" s="1" t="s">
        <v>19</v>
      </c>
      <c r="C1690" s="1" t="str">
        <f t="shared" si="34"/>
        <v>020080</v>
      </c>
      <c r="D1690" s="1" t="str">
        <f>"112206708"</f>
        <v>112206708</v>
      </c>
      <c r="E1690" s="1">
        <v>68.5</v>
      </c>
      <c r="F1690" s="1">
        <v>58.5</v>
      </c>
      <c r="H1690" s="1">
        <v>64.5</v>
      </c>
    </row>
    <row r="1691" s="1" customFormat="1" spans="1:8">
      <c r="A1691" s="1" t="s">
        <v>13</v>
      </c>
      <c r="B1691" s="1" t="s">
        <v>19</v>
      </c>
      <c r="C1691" s="1" t="str">
        <f t="shared" si="34"/>
        <v>020080</v>
      </c>
      <c r="D1691" s="1" t="str">
        <f>"112206709"</f>
        <v>112206709</v>
      </c>
      <c r="E1691" s="1">
        <v>62</v>
      </c>
      <c r="F1691" s="1">
        <v>64</v>
      </c>
      <c r="H1691" s="1">
        <v>62.8</v>
      </c>
    </row>
    <row r="1692" s="1" customFormat="1" spans="1:8">
      <c r="A1692" s="1" t="s">
        <v>13</v>
      </c>
      <c r="B1692" s="1" t="s">
        <v>19</v>
      </c>
      <c r="C1692" s="1" t="str">
        <f t="shared" si="34"/>
        <v>020080</v>
      </c>
      <c r="D1692" s="1" t="str">
        <f>"112206710"</f>
        <v>112206710</v>
      </c>
      <c r="E1692" s="1">
        <v>79</v>
      </c>
      <c r="F1692" s="1">
        <v>83</v>
      </c>
      <c r="H1692" s="1">
        <v>80.6</v>
      </c>
    </row>
    <row r="1693" s="1" customFormat="1" spans="1:8">
      <c r="A1693" s="1" t="s">
        <v>13</v>
      </c>
      <c r="B1693" s="1" t="s">
        <v>19</v>
      </c>
      <c r="C1693" s="1" t="str">
        <f t="shared" si="34"/>
        <v>020080</v>
      </c>
      <c r="D1693" s="1" t="str">
        <f>"112206711"</f>
        <v>112206711</v>
      </c>
      <c r="E1693" s="1">
        <v>70</v>
      </c>
      <c r="F1693" s="1">
        <v>73.5</v>
      </c>
      <c r="H1693" s="1">
        <v>71.4</v>
      </c>
    </row>
    <row r="1694" s="1" customFormat="1" spans="1:8">
      <c r="A1694" s="1" t="s">
        <v>13</v>
      </c>
      <c r="B1694" s="1" t="s">
        <v>19</v>
      </c>
      <c r="C1694" s="1" t="str">
        <f t="shared" si="34"/>
        <v>020080</v>
      </c>
      <c r="D1694" s="1" t="str">
        <f>"112206712"</f>
        <v>112206712</v>
      </c>
      <c r="E1694" s="1">
        <v>73.5</v>
      </c>
      <c r="F1694" s="1">
        <v>54.5</v>
      </c>
      <c r="H1694" s="1">
        <v>65.9</v>
      </c>
    </row>
    <row r="1695" s="1" customFormat="1" spans="1:8">
      <c r="A1695" s="1" t="s">
        <v>13</v>
      </c>
      <c r="B1695" s="1" t="s">
        <v>19</v>
      </c>
      <c r="C1695" s="1" t="str">
        <f t="shared" si="34"/>
        <v>020080</v>
      </c>
      <c r="D1695" s="1" t="str">
        <f>"112206713"</f>
        <v>112206713</v>
      </c>
      <c r="E1695" s="1">
        <v>76</v>
      </c>
      <c r="F1695" s="1">
        <v>67.5</v>
      </c>
      <c r="H1695" s="1">
        <v>72.6</v>
      </c>
    </row>
    <row r="1696" s="1" customFormat="1" spans="1:8">
      <c r="A1696" s="1" t="s">
        <v>13</v>
      </c>
      <c r="B1696" s="1" t="s">
        <v>19</v>
      </c>
      <c r="C1696" s="1" t="str">
        <f t="shared" si="34"/>
        <v>020080</v>
      </c>
      <c r="D1696" s="1" t="str">
        <f>"112206714"</f>
        <v>112206714</v>
      </c>
      <c r="E1696" s="1">
        <v>77</v>
      </c>
      <c r="F1696" s="1">
        <v>80</v>
      </c>
      <c r="H1696" s="1">
        <v>78.2</v>
      </c>
    </row>
    <row r="1697" s="1" customFormat="1" spans="1:8">
      <c r="A1697" s="1" t="s">
        <v>13</v>
      </c>
      <c r="B1697" s="1" t="s">
        <v>19</v>
      </c>
      <c r="C1697" s="1" t="str">
        <f t="shared" si="34"/>
        <v>020080</v>
      </c>
      <c r="D1697" s="1" t="str">
        <f>"112206715"</f>
        <v>112206715</v>
      </c>
      <c r="E1697" s="1">
        <v>0</v>
      </c>
      <c r="F1697" s="1">
        <v>0</v>
      </c>
      <c r="H1697" s="1">
        <v>0</v>
      </c>
    </row>
    <row r="1698" s="1" customFormat="1" spans="1:8">
      <c r="A1698" s="1" t="s">
        <v>13</v>
      </c>
      <c r="B1698" s="1" t="s">
        <v>19</v>
      </c>
      <c r="C1698" s="1" t="str">
        <f t="shared" si="34"/>
        <v>020080</v>
      </c>
      <c r="D1698" s="1" t="str">
        <f>"112206716"</f>
        <v>112206716</v>
      </c>
      <c r="E1698" s="1">
        <v>0</v>
      </c>
      <c r="F1698" s="1">
        <v>0</v>
      </c>
      <c r="H1698" s="1">
        <v>0</v>
      </c>
    </row>
    <row r="1699" s="1" customFormat="1" spans="1:8">
      <c r="A1699" s="1" t="s">
        <v>13</v>
      </c>
      <c r="B1699" s="1" t="s">
        <v>19</v>
      </c>
      <c r="C1699" s="1" t="str">
        <f t="shared" si="34"/>
        <v>020080</v>
      </c>
      <c r="D1699" s="1" t="str">
        <f>"112206717"</f>
        <v>112206717</v>
      </c>
      <c r="E1699" s="1">
        <v>81</v>
      </c>
      <c r="F1699" s="1">
        <v>75.5</v>
      </c>
      <c r="H1699" s="1">
        <v>78.8</v>
      </c>
    </row>
    <row r="1700" s="1" customFormat="1" spans="1:8">
      <c r="A1700" s="1" t="s">
        <v>13</v>
      </c>
      <c r="B1700" s="1" t="s">
        <v>19</v>
      </c>
      <c r="C1700" s="1" t="str">
        <f t="shared" si="34"/>
        <v>020080</v>
      </c>
      <c r="D1700" s="1" t="str">
        <f>"112206718"</f>
        <v>112206718</v>
      </c>
      <c r="E1700" s="1">
        <v>85</v>
      </c>
      <c r="F1700" s="1">
        <v>88</v>
      </c>
      <c r="H1700" s="1">
        <v>86.2</v>
      </c>
    </row>
    <row r="1701" s="1" customFormat="1" spans="1:8">
      <c r="A1701" s="1" t="s">
        <v>13</v>
      </c>
      <c r="B1701" s="1" t="s">
        <v>19</v>
      </c>
      <c r="C1701" s="1" t="str">
        <f t="shared" si="34"/>
        <v>020080</v>
      </c>
      <c r="D1701" s="1" t="str">
        <f>"112206719"</f>
        <v>112206719</v>
      </c>
      <c r="E1701" s="1">
        <v>85.5</v>
      </c>
      <c r="F1701" s="1">
        <v>97.5</v>
      </c>
      <c r="H1701" s="1">
        <v>90.3</v>
      </c>
    </row>
    <row r="1702" s="1" customFormat="1" spans="1:8">
      <c r="A1702" s="1" t="s">
        <v>13</v>
      </c>
      <c r="B1702" s="1" t="s">
        <v>19</v>
      </c>
      <c r="C1702" s="1" t="str">
        <f t="shared" si="34"/>
        <v>020080</v>
      </c>
      <c r="D1702" s="1" t="str">
        <f>"112206720"</f>
        <v>112206720</v>
      </c>
      <c r="E1702" s="1">
        <v>71.5</v>
      </c>
      <c r="F1702" s="1">
        <v>79</v>
      </c>
      <c r="H1702" s="1">
        <v>74.5</v>
      </c>
    </row>
    <row r="1703" s="1" customFormat="1" spans="1:8">
      <c r="A1703" s="1" t="s">
        <v>13</v>
      </c>
      <c r="B1703" s="1" t="s">
        <v>19</v>
      </c>
      <c r="C1703" s="1" t="str">
        <f t="shared" si="34"/>
        <v>020080</v>
      </c>
      <c r="D1703" s="1" t="str">
        <f>"112206721"</f>
        <v>112206721</v>
      </c>
      <c r="E1703" s="1">
        <v>73</v>
      </c>
      <c r="F1703" s="1">
        <v>61.5</v>
      </c>
      <c r="H1703" s="1">
        <v>68.4</v>
      </c>
    </row>
    <row r="1704" s="1" customFormat="1" spans="1:8">
      <c r="A1704" s="1" t="s">
        <v>13</v>
      </c>
      <c r="B1704" s="1" t="s">
        <v>19</v>
      </c>
      <c r="C1704" s="1" t="str">
        <f t="shared" si="34"/>
        <v>020080</v>
      </c>
      <c r="D1704" s="1" t="str">
        <f>"112206722"</f>
        <v>112206722</v>
      </c>
      <c r="E1704" s="1">
        <v>0</v>
      </c>
      <c r="F1704" s="1">
        <v>0</v>
      </c>
      <c r="H1704" s="1">
        <v>0</v>
      </c>
    </row>
    <row r="1705" s="1" customFormat="1" spans="1:8">
      <c r="A1705" s="1" t="s">
        <v>13</v>
      </c>
      <c r="B1705" s="1" t="s">
        <v>19</v>
      </c>
      <c r="C1705" s="1" t="str">
        <f t="shared" si="34"/>
        <v>020080</v>
      </c>
      <c r="D1705" s="1" t="str">
        <f>"112206723"</f>
        <v>112206723</v>
      </c>
      <c r="E1705" s="1">
        <v>83.5</v>
      </c>
      <c r="F1705" s="1">
        <v>65</v>
      </c>
      <c r="H1705" s="1">
        <v>76.1</v>
      </c>
    </row>
    <row r="1706" s="1" customFormat="1" spans="1:8">
      <c r="A1706" s="1" t="s">
        <v>13</v>
      </c>
      <c r="B1706" s="1" t="s">
        <v>19</v>
      </c>
      <c r="C1706" s="1" t="str">
        <f t="shared" si="34"/>
        <v>020080</v>
      </c>
      <c r="D1706" s="1" t="str">
        <f>"112206724"</f>
        <v>112206724</v>
      </c>
      <c r="E1706" s="1">
        <v>77.5</v>
      </c>
      <c r="F1706" s="1">
        <v>88.5</v>
      </c>
      <c r="H1706" s="1">
        <v>81.9</v>
      </c>
    </row>
    <row r="1707" s="1" customFormat="1" spans="1:8">
      <c r="A1707" s="1" t="s">
        <v>13</v>
      </c>
      <c r="B1707" s="1" t="s">
        <v>19</v>
      </c>
      <c r="C1707" s="1" t="str">
        <f t="shared" si="34"/>
        <v>020080</v>
      </c>
      <c r="D1707" s="1" t="str">
        <f>"112206725"</f>
        <v>112206725</v>
      </c>
      <c r="E1707" s="1">
        <v>0</v>
      </c>
      <c r="F1707" s="1">
        <v>0</v>
      </c>
      <c r="H1707" s="1">
        <v>0</v>
      </c>
    </row>
    <row r="1708" s="1" customFormat="1" spans="1:8">
      <c r="A1708" s="1" t="s">
        <v>13</v>
      </c>
      <c r="B1708" s="1" t="s">
        <v>19</v>
      </c>
      <c r="C1708" s="1" t="str">
        <f t="shared" si="34"/>
        <v>020080</v>
      </c>
      <c r="D1708" s="1" t="str">
        <f>"112206726"</f>
        <v>112206726</v>
      </c>
      <c r="E1708" s="1">
        <v>64</v>
      </c>
      <c r="F1708" s="1">
        <v>63.5</v>
      </c>
      <c r="H1708" s="1">
        <v>63.8</v>
      </c>
    </row>
    <row r="1709" s="1" customFormat="1" spans="1:8">
      <c r="A1709" s="1" t="s">
        <v>13</v>
      </c>
      <c r="B1709" s="1" t="s">
        <v>19</v>
      </c>
      <c r="C1709" s="1" t="str">
        <f t="shared" si="34"/>
        <v>020080</v>
      </c>
      <c r="D1709" s="1" t="str">
        <f>"112206727"</f>
        <v>112206727</v>
      </c>
      <c r="E1709" s="1">
        <v>74</v>
      </c>
      <c r="F1709" s="1">
        <v>76.5</v>
      </c>
      <c r="H1709" s="1">
        <v>75</v>
      </c>
    </row>
    <row r="1710" s="1" customFormat="1" spans="1:8">
      <c r="A1710" s="1" t="s">
        <v>13</v>
      </c>
      <c r="B1710" s="1" t="s">
        <v>19</v>
      </c>
      <c r="C1710" s="1" t="str">
        <f t="shared" si="34"/>
        <v>020080</v>
      </c>
      <c r="D1710" s="1" t="str">
        <f>"112206728"</f>
        <v>112206728</v>
      </c>
      <c r="E1710" s="1">
        <v>73</v>
      </c>
      <c r="F1710" s="1">
        <v>54</v>
      </c>
      <c r="H1710" s="1">
        <v>65.4</v>
      </c>
    </row>
    <row r="1711" s="1" customFormat="1" spans="1:8">
      <c r="A1711" s="1" t="s">
        <v>13</v>
      </c>
      <c r="B1711" s="1" t="s">
        <v>19</v>
      </c>
      <c r="C1711" s="1" t="str">
        <f t="shared" si="34"/>
        <v>020080</v>
      </c>
      <c r="D1711" s="1" t="str">
        <f>"112206729"</f>
        <v>112206729</v>
      </c>
      <c r="E1711" s="1">
        <v>0</v>
      </c>
      <c r="F1711" s="1">
        <v>0</v>
      </c>
      <c r="H1711" s="1">
        <v>0</v>
      </c>
    </row>
    <row r="1712" s="1" customFormat="1" spans="1:8">
      <c r="A1712" s="1" t="s">
        <v>13</v>
      </c>
      <c r="B1712" s="1" t="s">
        <v>19</v>
      </c>
      <c r="C1712" s="1" t="str">
        <f t="shared" si="34"/>
        <v>020080</v>
      </c>
      <c r="D1712" s="1" t="str">
        <f>"112206730"</f>
        <v>112206730</v>
      </c>
      <c r="E1712" s="1">
        <v>60.5</v>
      </c>
      <c r="F1712" s="1">
        <v>54</v>
      </c>
      <c r="H1712" s="1">
        <v>57.9</v>
      </c>
    </row>
    <row r="1713" s="1" customFormat="1" spans="1:8">
      <c r="A1713" s="1" t="s">
        <v>13</v>
      </c>
      <c r="B1713" s="1" t="s">
        <v>19</v>
      </c>
      <c r="C1713" s="1" t="str">
        <f t="shared" si="34"/>
        <v>020080</v>
      </c>
      <c r="D1713" s="1" t="str">
        <f>"112206801"</f>
        <v>112206801</v>
      </c>
      <c r="E1713" s="1">
        <v>75</v>
      </c>
      <c r="F1713" s="1">
        <v>81.5</v>
      </c>
      <c r="H1713" s="1">
        <v>77.6</v>
      </c>
    </row>
    <row r="1714" s="1" customFormat="1" spans="1:8">
      <c r="A1714" s="1" t="s">
        <v>13</v>
      </c>
      <c r="B1714" s="1" t="s">
        <v>19</v>
      </c>
      <c r="C1714" s="1" t="str">
        <f t="shared" si="34"/>
        <v>020080</v>
      </c>
      <c r="D1714" s="1" t="str">
        <f>"112206802"</f>
        <v>112206802</v>
      </c>
      <c r="E1714" s="1">
        <v>75.5</v>
      </c>
      <c r="F1714" s="1">
        <v>94.5</v>
      </c>
      <c r="H1714" s="1">
        <v>83.1</v>
      </c>
    </row>
    <row r="1715" s="1" customFormat="1" spans="1:8">
      <c r="A1715" s="1" t="s">
        <v>13</v>
      </c>
      <c r="B1715" s="1" t="s">
        <v>19</v>
      </c>
      <c r="C1715" s="1" t="str">
        <f t="shared" si="34"/>
        <v>020080</v>
      </c>
      <c r="D1715" s="1" t="str">
        <f>"112206803"</f>
        <v>112206803</v>
      </c>
      <c r="E1715" s="1">
        <v>62.5</v>
      </c>
      <c r="F1715" s="1">
        <v>75</v>
      </c>
      <c r="H1715" s="1">
        <v>67.5</v>
      </c>
    </row>
    <row r="1716" s="1" customFormat="1" spans="1:8">
      <c r="A1716" s="1" t="s">
        <v>13</v>
      </c>
      <c r="B1716" s="1" t="s">
        <v>19</v>
      </c>
      <c r="C1716" s="1" t="str">
        <f t="shared" si="34"/>
        <v>020080</v>
      </c>
      <c r="D1716" s="1" t="str">
        <f>"112206804"</f>
        <v>112206804</v>
      </c>
      <c r="E1716" s="1">
        <v>76</v>
      </c>
      <c r="F1716" s="1">
        <v>70</v>
      </c>
      <c r="H1716" s="1">
        <v>73.6</v>
      </c>
    </row>
    <row r="1717" s="1" customFormat="1" spans="1:8">
      <c r="A1717" s="1" t="s">
        <v>13</v>
      </c>
      <c r="B1717" s="1" t="s">
        <v>19</v>
      </c>
      <c r="C1717" s="1" t="str">
        <f t="shared" si="34"/>
        <v>020080</v>
      </c>
      <c r="D1717" s="1" t="str">
        <f>"112206805"</f>
        <v>112206805</v>
      </c>
      <c r="E1717" s="1">
        <v>0</v>
      </c>
      <c r="F1717" s="1">
        <v>0</v>
      </c>
      <c r="H1717" s="1">
        <v>0</v>
      </c>
    </row>
    <row r="1718" s="1" customFormat="1" spans="1:8">
      <c r="A1718" s="1" t="s">
        <v>13</v>
      </c>
      <c r="B1718" s="1" t="s">
        <v>19</v>
      </c>
      <c r="C1718" s="1" t="str">
        <f t="shared" si="34"/>
        <v>020080</v>
      </c>
      <c r="D1718" s="1" t="str">
        <f>"112206806"</f>
        <v>112206806</v>
      </c>
      <c r="E1718" s="1">
        <v>0</v>
      </c>
      <c r="F1718" s="1">
        <v>0</v>
      </c>
      <c r="H1718" s="1">
        <v>0</v>
      </c>
    </row>
    <row r="1719" s="1" customFormat="1" spans="1:8">
      <c r="A1719" s="1" t="s">
        <v>13</v>
      </c>
      <c r="B1719" s="1" t="s">
        <v>19</v>
      </c>
      <c r="C1719" s="1" t="str">
        <f t="shared" si="34"/>
        <v>020080</v>
      </c>
      <c r="D1719" s="1" t="str">
        <f>"112206807"</f>
        <v>112206807</v>
      </c>
      <c r="E1719" s="1">
        <v>66</v>
      </c>
      <c r="F1719" s="1">
        <v>91</v>
      </c>
      <c r="H1719" s="1">
        <v>76</v>
      </c>
    </row>
    <row r="1720" s="1" customFormat="1" spans="1:8">
      <c r="A1720" s="1" t="s">
        <v>13</v>
      </c>
      <c r="B1720" s="1" t="s">
        <v>19</v>
      </c>
      <c r="C1720" s="1" t="str">
        <f t="shared" si="34"/>
        <v>020080</v>
      </c>
      <c r="D1720" s="1" t="str">
        <f>"112206808"</f>
        <v>112206808</v>
      </c>
      <c r="E1720" s="1">
        <v>76.5</v>
      </c>
      <c r="F1720" s="1">
        <v>86.5</v>
      </c>
      <c r="H1720" s="1">
        <v>80.5</v>
      </c>
    </row>
    <row r="1721" s="1" customFormat="1" spans="1:8">
      <c r="A1721" s="1" t="s">
        <v>13</v>
      </c>
      <c r="B1721" s="1" t="s">
        <v>19</v>
      </c>
      <c r="C1721" s="1" t="str">
        <f t="shared" si="34"/>
        <v>020080</v>
      </c>
      <c r="D1721" s="1" t="str">
        <f>"112206809"</f>
        <v>112206809</v>
      </c>
      <c r="E1721" s="1">
        <v>76</v>
      </c>
      <c r="F1721" s="1">
        <v>97.5</v>
      </c>
      <c r="H1721" s="1">
        <v>84.6</v>
      </c>
    </row>
    <row r="1722" s="1" customFormat="1" spans="1:8">
      <c r="A1722" s="1" t="s">
        <v>13</v>
      </c>
      <c r="B1722" s="1" t="s">
        <v>19</v>
      </c>
      <c r="C1722" s="1" t="str">
        <f t="shared" si="34"/>
        <v>020080</v>
      </c>
      <c r="D1722" s="1" t="str">
        <f>"112206810"</f>
        <v>112206810</v>
      </c>
      <c r="E1722" s="1">
        <v>16</v>
      </c>
      <c r="F1722" s="1">
        <v>0</v>
      </c>
      <c r="H1722" s="1">
        <v>9.6</v>
      </c>
    </row>
    <row r="1723" s="1" customFormat="1" spans="1:8">
      <c r="A1723" s="1" t="s">
        <v>13</v>
      </c>
      <c r="B1723" s="1" t="s">
        <v>19</v>
      </c>
      <c r="C1723" s="1" t="str">
        <f t="shared" si="34"/>
        <v>020080</v>
      </c>
      <c r="D1723" s="1" t="str">
        <f>"112206811"</f>
        <v>112206811</v>
      </c>
      <c r="E1723" s="1">
        <v>88.5</v>
      </c>
      <c r="F1723" s="1">
        <v>97</v>
      </c>
      <c r="H1723" s="1">
        <v>91.9</v>
      </c>
    </row>
    <row r="1724" s="1" customFormat="1" spans="1:8">
      <c r="A1724" s="1" t="s">
        <v>13</v>
      </c>
      <c r="B1724" s="1" t="s">
        <v>19</v>
      </c>
      <c r="C1724" s="1" t="str">
        <f t="shared" si="34"/>
        <v>020080</v>
      </c>
      <c r="D1724" s="1" t="str">
        <f>"112206812"</f>
        <v>112206812</v>
      </c>
      <c r="E1724" s="1">
        <v>75.5</v>
      </c>
      <c r="F1724" s="1">
        <v>98.5</v>
      </c>
      <c r="H1724" s="1">
        <v>84.7</v>
      </c>
    </row>
    <row r="1725" s="1" customFormat="1" spans="1:8">
      <c r="A1725" s="1" t="s">
        <v>13</v>
      </c>
      <c r="B1725" s="1" t="s">
        <v>19</v>
      </c>
      <c r="C1725" s="1" t="str">
        <f t="shared" si="34"/>
        <v>020080</v>
      </c>
      <c r="D1725" s="1" t="str">
        <f>"112206813"</f>
        <v>112206813</v>
      </c>
      <c r="E1725" s="1">
        <v>69.5</v>
      </c>
      <c r="F1725" s="1">
        <v>0</v>
      </c>
      <c r="H1725" s="1">
        <v>41.7</v>
      </c>
    </row>
    <row r="1726" s="1" customFormat="1" spans="1:8">
      <c r="A1726" s="1" t="s">
        <v>13</v>
      </c>
      <c r="B1726" s="1" t="s">
        <v>19</v>
      </c>
      <c r="C1726" s="1" t="str">
        <f t="shared" si="34"/>
        <v>020080</v>
      </c>
      <c r="D1726" s="1" t="str">
        <f>"112206814"</f>
        <v>112206814</v>
      </c>
      <c r="E1726" s="1">
        <v>75</v>
      </c>
      <c r="F1726" s="1">
        <v>70</v>
      </c>
      <c r="H1726" s="1">
        <v>73</v>
      </c>
    </row>
    <row r="1727" s="1" customFormat="1" spans="1:8">
      <c r="A1727" s="1" t="s">
        <v>13</v>
      </c>
      <c r="B1727" s="1" t="s">
        <v>19</v>
      </c>
      <c r="C1727" s="1" t="str">
        <f t="shared" si="34"/>
        <v>020080</v>
      </c>
      <c r="D1727" s="1" t="str">
        <f>"112206815"</f>
        <v>112206815</v>
      </c>
      <c r="E1727" s="1">
        <v>63.5</v>
      </c>
      <c r="F1727" s="1">
        <v>70</v>
      </c>
      <c r="H1727" s="1">
        <v>66.1</v>
      </c>
    </row>
    <row r="1728" s="1" customFormat="1" spans="1:8">
      <c r="A1728" s="1" t="s">
        <v>13</v>
      </c>
      <c r="B1728" s="1" t="s">
        <v>19</v>
      </c>
      <c r="C1728" s="1" t="str">
        <f t="shared" si="34"/>
        <v>020080</v>
      </c>
      <c r="D1728" s="1" t="str">
        <f>"112206816"</f>
        <v>112206816</v>
      </c>
      <c r="E1728" s="1">
        <v>77</v>
      </c>
      <c r="F1728" s="1">
        <v>95.5</v>
      </c>
      <c r="H1728" s="1">
        <v>84.4</v>
      </c>
    </row>
    <row r="1729" s="1" customFormat="1" spans="1:8">
      <c r="A1729" s="1" t="s">
        <v>13</v>
      </c>
      <c r="B1729" s="1" t="s">
        <v>19</v>
      </c>
      <c r="C1729" s="1" t="str">
        <f t="shared" si="34"/>
        <v>020080</v>
      </c>
      <c r="D1729" s="1" t="str">
        <f>"112206817"</f>
        <v>112206817</v>
      </c>
      <c r="E1729" s="1">
        <v>0</v>
      </c>
      <c r="F1729" s="1">
        <v>0</v>
      </c>
      <c r="H1729" s="1">
        <v>0</v>
      </c>
    </row>
    <row r="1730" s="1" customFormat="1" spans="1:8">
      <c r="A1730" s="1" t="s">
        <v>13</v>
      </c>
      <c r="B1730" s="1" t="s">
        <v>19</v>
      </c>
      <c r="C1730" s="1" t="str">
        <f t="shared" si="34"/>
        <v>020080</v>
      </c>
      <c r="D1730" s="1" t="str">
        <f>"112206818"</f>
        <v>112206818</v>
      </c>
      <c r="E1730" s="1">
        <v>82.5</v>
      </c>
      <c r="F1730" s="1">
        <v>94.5</v>
      </c>
      <c r="H1730" s="1">
        <v>87.3</v>
      </c>
    </row>
    <row r="1731" s="1" customFormat="1" spans="1:8">
      <c r="A1731" s="1" t="s">
        <v>13</v>
      </c>
      <c r="B1731" s="1" t="s">
        <v>19</v>
      </c>
      <c r="C1731" s="1" t="str">
        <f t="shared" si="34"/>
        <v>020080</v>
      </c>
      <c r="D1731" s="1" t="str">
        <f>"112206819"</f>
        <v>112206819</v>
      </c>
      <c r="E1731" s="1">
        <v>65.5</v>
      </c>
      <c r="F1731" s="1">
        <v>65</v>
      </c>
      <c r="H1731" s="1">
        <v>65.3</v>
      </c>
    </row>
    <row r="1732" s="1" customFormat="1" spans="1:8">
      <c r="A1732" s="1" t="s">
        <v>13</v>
      </c>
      <c r="B1732" s="1" t="s">
        <v>19</v>
      </c>
      <c r="C1732" s="1" t="str">
        <f t="shared" si="34"/>
        <v>020080</v>
      </c>
      <c r="D1732" s="1" t="str">
        <f>"112206820"</f>
        <v>112206820</v>
      </c>
      <c r="E1732" s="1">
        <v>82</v>
      </c>
      <c r="F1732" s="1">
        <v>89.5</v>
      </c>
      <c r="H1732" s="1">
        <v>85</v>
      </c>
    </row>
    <row r="1733" s="1" customFormat="1" spans="1:8">
      <c r="A1733" s="1" t="s">
        <v>13</v>
      </c>
      <c r="B1733" s="1" t="s">
        <v>19</v>
      </c>
      <c r="C1733" s="1" t="str">
        <f t="shared" si="34"/>
        <v>020080</v>
      </c>
      <c r="D1733" s="1" t="str">
        <f>"112206821"</f>
        <v>112206821</v>
      </c>
      <c r="E1733" s="1">
        <v>76</v>
      </c>
      <c r="F1733" s="1">
        <v>87</v>
      </c>
      <c r="H1733" s="1">
        <v>80.4</v>
      </c>
    </row>
    <row r="1734" s="1" customFormat="1" spans="1:8">
      <c r="A1734" s="1" t="s">
        <v>13</v>
      </c>
      <c r="B1734" s="1" t="s">
        <v>19</v>
      </c>
      <c r="C1734" s="1" t="str">
        <f t="shared" si="34"/>
        <v>020080</v>
      </c>
      <c r="D1734" s="1" t="str">
        <f>"112206822"</f>
        <v>112206822</v>
      </c>
      <c r="E1734" s="1">
        <v>95.5</v>
      </c>
      <c r="F1734" s="1">
        <v>96</v>
      </c>
      <c r="H1734" s="1">
        <v>95.7</v>
      </c>
    </row>
    <row r="1735" s="1" customFormat="1" spans="1:8">
      <c r="A1735" s="1" t="s">
        <v>13</v>
      </c>
      <c r="B1735" s="1" t="s">
        <v>19</v>
      </c>
      <c r="C1735" s="1" t="str">
        <f t="shared" ref="C1735:C1753" si="35">"020080"</f>
        <v>020080</v>
      </c>
      <c r="D1735" s="1" t="str">
        <f>"112206823"</f>
        <v>112206823</v>
      </c>
      <c r="E1735" s="1">
        <v>0</v>
      </c>
      <c r="F1735" s="1">
        <v>0</v>
      </c>
      <c r="H1735" s="1">
        <v>0</v>
      </c>
    </row>
    <row r="1736" s="1" customFormat="1" spans="1:8">
      <c r="A1736" s="1" t="s">
        <v>13</v>
      </c>
      <c r="B1736" s="1" t="s">
        <v>19</v>
      </c>
      <c r="C1736" s="1" t="str">
        <f t="shared" si="35"/>
        <v>020080</v>
      </c>
      <c r="D1736" s="1" t="str">
        <f>"112206824"</f>
        <v>112206824</v>
      </c>
      <c r="E1736" s="1">
        <v>89.5</v>
      </c>
      <c r="F1736" s="1">
        <v>88</v>
      </c>
      <c r="H1736" s="1">
        <v>88.9</v>
      </c>
    </row>
    <row r="1737" s="1" customFormat="1" spans="1:8">
      <c r="A1737" s="1" t="s">
        <v>13</v>
      </c>
      <c r="B1737" s="1" t="s">
        <v>19</v>
      </c>
      <c r="C1737" s="1" t="str">
        <f t="shared" si="35"/>
        <v>020080</v>
      </c>
      <c r="D1737" s="1" t="str">
        <f>"112206825"</f>
        <v>112206825</v>
      </c>
      <c r="E1737" s="1">
        <v>0</v>
      </c>
      <c r="F1737" s="1">
        <v>0</v>
      </c>
      <c r="H1737" s="1">
        <v>0</v>
      </c>
    </row>
    <row r="1738" s="1" customFormat="1" spans="1:8">
      <c r="A1738" s="1" t="s">
        <v>13</v>
      </c>
      <c r="B1738" s="1" t="s">
        <v>19</v>
      </c>
      <c r="C1738" s="1" t="str">
        <f t="shared" si="35"/>
        <v>020080</v>
      </c>
      <c r="D1738" s="1" t="str">
        <f>"112206826"</f>
        <v>112206826</v>
      </c>
      <c r="E1738" s="1">
        <v>81.5</v>
      </c>
      <c r="F1738" s="1">
        <v>87.5</v>
      </c>
      <c r="H1738" s="1">
        <v>83.9</v>
      </c>
    </row>
    <row r="1739" s="1" customFormat="1" spans="1:8">
      <c r="A1739" s="1" t="s">
        <v>13</v>
      </c>
      <c r="B1739" s="1" t="s">
        <v>19</v>
      </c>
      <c r="C1739" s="1" t="str">
        <f t="shared" si="35"/>
        <v>020080</v>
      </c>
      <c r="D1739" s="1" t="str">
        <f>"112206827"</f>
        <v>112206827</v>
      </c>
      <c r="E1739" s="1">
        <v>0</v>
      </c>
      <c r="F1739" s="1">
        <v>0</v>
      </c>
      <c r="H1739" s="1">
        <v>0</v>
      </c>
    </row>
    <row r="1740" s="1" customFormat="1" spans="1:8">
      <c r="A1740" s="1" t="s">
        <v>13</v>
      </c>
      <c r="B1740" s="1" t="s">
        <v>19</v>
      </c>
      <c r="C1740" s="1" t="str">
        <f t="shared" si="35"/>
        <v>020080</v>
      </c>
      <c r="D1740" s="1" t="str">
        <f>"112206828"</f>
        <v>112206828</v>
      </c>
      <c r="E1740" s="1">
        <v>0</v>
      </c>
      <c r="F1740" s="1">
        <v>0</v>
      </c>
      <c r="H1740" s="1">
        <v>0</v>
      </c>
    </row>
    <row r="1741" s="1" customFormat="1" spans="1:8">
      <c r="A1741" s="1" t="s">
        <v>13</v>
      </c>
      <c r="B1741" s="1" t="s">
        <v>19</v>
      </c>
      <c r="C1741" s="1" t="str">
        <f t="shared" si="35"/>
        <v>020080</v>
      </c>
      <c r="D1741" s="1" t="str">
        <f>"112206829"</f>
        <v>112206829</v>
      </c>
      <c r="E1741" s="1">
        <v>63</v>
      </c>
      <c r="F1741" s="1">
        <v>69.5</v>
      </c>
      <c r="H1741" s="1">
        <v>65.6</v>
      </c>
    </row>
    <row r="1742" s="1" customFormat="1" spans="1:8">
      <c r="A1742" s="1" t="s">
        <v>13</v>
      </c>
      <c r="B1742" s="1" t="s">
        <v>19</v>
      </c>
      <c r="C1742" s="1" t="str">
        <f t="shared" si="35"/>
        <v>020080</v>
      </c>
      <c r="D1742" s="1" t="str">
        <f>"112206830"</f>
        <v>112206830</v>
      </c>
      <c r="E1742" s="1">
        <v>76.5</v>
      </c>
      <c r="F1742" s="1">
        <v>70.5</v>
      </c>
      <c r="H1742" s="1">
        <v>74.1</v>
      </c>
    </row>
    <row r="1743" s="1" customFormat="1" spans="1:8">
      <c r="A1743" s="1" t="s">
        <v>13</v>
      </c>
      <c r="B1743" s="1" t="s">
        <v>19</v>
      </c>
      <c r="C1743" s="1" t="str">
        <f t="shared" si="35"/>
        <v>020080</v>
      </c>
      <c r="D1743" s="1" t="str">
        <f>"112206901"</f>
        <v>112206901</v>
      </c>
      <c r="E1743" s="1">
        <v>68</v>
      </c>
      <c r="F1743" s="1">
        <v>79</v>
      </c>
      <c r="H1743" s="1">
        <v>72.4</v>
      </c>
    </row>
    <row r="1744" s="1" customFormat="1" spans="1:8">
      <c r="A1744" s="1" t="s">
        <v>13</v>
      </c>
      <c r="B1744" s="1" t="s">
        <v>19</v>
      </c>
      <c r="C1744" s="1" t="str">
        <f t="shared" si="35"/>
        <v>020080</v>
      </c>
      <c r="D1744" s="1" t="str">
        <f>"112206902"</f>
        <v>112206902</v>
      </c>
      <c r="E1744" s="1">
        <v>75</v>
      </c>
      <c r="F1744" s="1">
        <v>78</v>
      </c>
      <c r="H1744" s="1">
        <v>76.2</v>
      </c>
    </row>
    <row r="1745" s="1" customFormat="1" spans="1:8">
      <c r="A1745" s="1" t="s">
        <v>13</v>
      </c>
      <c r="B1745" s="1" t="s">
        <v>19</v>
      </c>
      <c r="C1745" s="1" t="str">
        <f t="shared" si="35"/>
        <v>020080</v>
      </c>
      <c r="D1745" s="1" t="str">
        <f>"112206903"</f>
        <v>112206903</v>
      </c>
      <c r="E1745" s="1">
        <v>0</v>
      </c>
      <c r="F1745" s="1">
        <v>0</v>
      </c>
      <c r="H1745" s="1">
        <v>0</v>
      </c>
    </row>
    <row r="1746" s="1" customFormat="1" spans="1:8">
      <c r="A1746" s="1" t="s">
        <v>13</v>
      </c>
      <c r="B1746" s="1" t="s">
        <v>19</v>
      </c>
      <c r="C1746" s="1" t="str">
        <f t="shared" si="35"/>
        <v>020080</v>
      </c>
      <c r="D1746" s="1" t="str">
        <f>"112206904"</f>
        <v>112206904</v>
      </c>
      <c r="E1746" s="1">
        <v>63</v>
      </c>
      <c r="F1746" s="1">
        <v>57.5</v>
      </c>
      <c r="H1746" s="1">
        <v>60.8</v>
      </c>
    </row>
    <row r="1747" s="1" customFormat="1" spans="1:8">
      <c r="A1747" s="1" t="s">
        <v>13</v>
      </c>
      <c r="B1747" s="1" t="s">
        <v>19</v>
      </c>
      <c r="C1747" s="1" t="str">
        <f t="shared" si="35"/>
        <v>020080</v>
      </c>
      <c r="D1747" s="1" t="str">
        <f>"112206905"</f>
        <v>112206905</v>
      </c>
      <c r="E1747" s="1">
        <v>78</v>
      </c>
      <c r="F1747" s="1">
        <v>79</v>
      </c>
      <c r="H1747" s="1">
        <v>78.4</v>
      </c>
    </row>
    <row r="1748" s="1" customFormat="1" spans="1:8">
      <c r="A1748" s="1" t="s">
        <v>13</v>
      </c>
      <c r="B1748" s="1" t="s">
        <v>19</v>
      </c>
      <c r="C1748" s="1" t="str">
        <f t="shared" si="35"/>
        <v>020080</v>
      </c>
      <c r="D1748" s="1" t="str">
        <f>"112206906"</f>
        <v>112206906</v>
      </c>
      <c r="E1748" s="1">
        <v>52</v>
      </c>
      <c r="F1748" s="1">
        <v>68</v>
      </c>
      <c r="H1748" s="1">
        <v>58.4</v>
      </c>
    </row>
    <row r="1749" s="1" customFormat="1" spans="1:8">
      <c r="A1749" s="1" t="s">
        <v>13</v>
      </c>
      <c r="B1749" s="1" t="s">
        <v>19</v>
      </c>
      <c r="C1749" s="1" t="str">
        <f t="shared" si="35"/>
        <v>020080</v>
      </c>
      <c r="D1749" s="1" t="str">
        <f>"112206907"</f>
        <v>112206907</v>
      </c>
      <c r="E1749" s="1">
        <v>79</v>
      </c>
      <c r="F1749" s="1">
        <v>99.5</v>
      </c>
      <c r="H1749" s="1">
        <v>87.2</v>
      </c>
    </row>
    <row r="1750" s="1" customFormat="1" spans="1:8">
      <c r="A1750" s="1" t="s">
        <v>13</v>
      </c>
      <c r="B1750" s="1" t="s">
        <v>19</v>
      </c>
      <c r="C1750" s="1" t="str">
        <f t="shared" si="35"/>
        <v>020080</v>
      </c>
      <c r="D1750" s="1" t="str">
        <f>"112206908"</f>
        <v>112206908</v>
      </c>
      <c r="E1750" s="1">
        <v>57</v>
      </c>
      <c r="F1750" s="1">
        <v>0</v>
      </c>
      <c r="H1750" s="1">
        <v>34.2</v>
      </c>
    </row>
    <row r="1751" s="1" customFormat="1" spans="1:8">
      <c r="A1751" s="1" t="s">
        <v>13</v>
      </c>
      <c r="B1751" s="1" t="s">
        <v>19</v>
      </c>
      <c r="C1751" s="1" t="str">
        <f t="shared" si="35"/>
        <v>020080</v>
      </c>
      <c r="D1751" s="1" t="str">
        <f>"112206909"</f>
        <v>112206909</v>
      </c>
      <c r="E1751" s="1">
        <v>71</v>
      </c>
      <c r="F1751" s="1">
        <v>50</v>
      </c>
      <c r="H1751" s="1">
        <v>62.6</v>
      </c>
    </row>
    <row r="1752" s="1" customFormat="1" spans="1:8">
      <c r="A1752" s="1" t="s">
        <v>13</v>
      </c>
      <c r="B1752" s="1" t="s">
        <v>19</v>
      </c>
      <c r="C1752" s="1" t="str">
        <f t="shared" si="35"/>
        <v>020080</v>
      </c>
      <c r="D1752" s="1" t="str">
        <f>"112206910"</f>
        <v>112206910</v>
      </c>
      <c r="E1752" s="1">
        <v>80</v>
      </c>
      <c r="F1752" s="1">
        <v>87</v>
      </c>
      <c r="H1752" s="1">
        <v>82.8</v>
      </c>
    </row>
    <row r="1753" s="1" customFormat="1" spans="1:8">
      <c r="A1753" s="1" t="s">
        <v>13</v>
      </c>
      <c r="B1753" s="1" t="s">
        <v>19</v>
      </c>
      <c r="C1753" s="1" t="str">
        <f t="shared" si="35"/>
        <v>020080</v>
      </c>
      <c r="D1753" s="1" t="str">
        <f>"112206911"</f>
        <v>112206911</v>
      </c>
      <c r="E1753" s="1">
        <v>64</v>
      </c>
      <c r="F1753" s="1">
        <v>62.5</v>
      </c>
      <c r="H1753" s="1">
        <v>63.4</v>
      </c>
    </row>
    <row r="1754" s="1" customFormat="1" spans="1:8">
      <c r="A1754" s="1" t="s">
        <v>14</v>
      </c>
      <c r="B1754" s="1" t="s">
        <v>19</v>
      </c>
      <c r="C1754" s="1" t="str">
        <f t="shared" ref="C1754:C1817" si="36">"020082"</f>
        <v>020082</v>
      </c>
      <c r="D1754" s="1" t="str">
        <f>"112206912"</f>
        <v>112206912</v>
      </c>
      <c r="E1754" s="1">
        <v>78.5</v>
      </c>
      <c r="F1754" s="1">
        <v>65.5</v>
      </c>
      <c r="H1754" s="1">
        <v>73.3</v>
      </c>
    </row>
    <row r="1755" s="1" customFormat="1" spans="1:8">
      <c r="A1755" s="1" t="s">
        <v>14</v>
      </c>
      <c r="B1755" s="1" t="s">
        <v>19</v>
      </c>
      <c r="C1755" s="1" t="str">
        <f t="shared" si="36"/>
        <v>020082</v>
      </c>
      <c r="D1755" s="1" t="str">
        <f>"112206913"</f>
        <v>112206913</v>
      </c>
      <c r="E1755" s="1">
        <v>78</v>
      </c>
      <c r="F1755" s="1">
        <v>70</v>
      </c>
      <c r="H1755" s="1">
        <v>74.8</v>
      </c>
    </row>
    <row r="1756" s="1" customFormat="1" spans="1:8">
      <c r="A1756" s="1" t="s">
        <v>14</v>
      </c>
      <c r="B1756" s="1" t="s">
        <v>19</v>
      </c>
      <c r="C1756" s="1" t="str">
        <f t="shared" si="36"/>
        <v>020082</v>
      </c>
      <c r="D1756" s="1" t="str">
        <f>"112206914"</f>
        <v>112206914</v>
      </c>
      <c r="E1756" s="1">
        <v>0</v>
      </c>
      <c r="F1756" s="1">
        <v>0</v>
      </c>
      <c r="H1756" s="1">
        <v>0</v>
      </c>
    </row>
    <row r="1757" s="1" customFormat="1" spans="1:8">
      <c r="A1757" s="1" t="s">
        <v>14</v>
      </c>
      <c r="B1757" s="1" t="s">
        <v>19</v>
      </c>
      <c r="C1757" s="1" t="str">
        <f t="shared" si="36"/>
        <v>020082</v>
      </c>
      <c r="D1757" s="1" t="str">
        <f>"112206915"</f>
        <v>112206915</v>
      </c>
      <c r="E1757" s="1">
        <v>0</v>
      </c>
      <c r="F1757" s="1">
        <v>0</v>
      </c>
      <c r="H1757" s="1">
        <v>0</v>
      </c>
    </row>
    <row r="1758" s="1" customFormat="1" spans="1:8">
      <c r="A1758" s="1" t="s">
        <v>14</v>
      </c>
      <c r="B1758" s="1" t="s">
        <v>19</v>
      </c>
      <c r="C1758" s="1" t="str">
        <f t="shared" si="36"/>
        <v>020082</v>
      </c>
      <c r="D1758" s="1" t="str">
        <f>"112206916"</f>
        <v>112206916</v>
      </c>
      <c r="E1758" s="1">
        <v>63</v>
      </c>
      <c r="F1758" s="1">
        <v>75.5</v>
      </c>
      <c r="H1758" s="1">
        <v>68</v>
      </c>
    </row>
    <row r="1759" s="1" customFormat="1" spans="1:8">
      <c r="A1759" s="1" t="s">
        <v>14</v>
      </c>
      <c r="B1759" s="1" t="s">
        <v>19</v>
      </c>
      <c r="C1759" s="1" t="str">
        <f t="shared" si="36"/>
        <v>020082</v>
      </c>
      <c r="D1759" s="1" t="str">
        <f>"112206917"</f>
        <v>112206917</v>
      </c>
      <c r="E1759" s="1">
        <v>0</v>
      </c>
      <c r="F1759" s="1">
        <v>0</v>
      </c>
      <c r="H1759" s="1">
        <v>0</v>
      </c>
    </row>
    <row r="1760" s="1" customFormat="1" spans="1:8">
      <c r="A1760" s="1" t="s">
        <v>14</v>
      </c>
      <c r="B1760" s="1" t="s">
        <v>19</v>
      </c>
      <c r="C1760" s="1" t="str">
        <f t="shared" si="36"/>
        <v>020082</v>
      </c>
      <c r="D1760" s="1" t="str">
        <f>"112206918"</f>
        <v>112206918</v>
      </c>
      <c r="E1760" s="1">
        <v>0</v>
      </c>
      <c r="F1760" s="1">
        <v>0</v>
      </c>
      <c r="H1760" s="1">
        <v>0</v>
      </c>
    </row>
    <row r="1761" s="1" customFormat="1" spans="1:8">
      <c r="A1761" s="1" t="s">
        <v>14</v>
      </c>
      <c r="B1761" s="1" t="s">
        <v>19</v>
      </c>
      <c r="C1761" s="1" t="str">
        <f t="shared" si="36"/>
        <v>020082</v>
      </c>
      <c r="D1761" s="1" t="str">
        <f>"112206919"</f>
        <v>112206919</v>
      </c>
      <c r="E1761" s="1">
        <v>65.5</v>
      </c>
      <c r="F1761" s="1">
        <v>68</v>
      </c>
      <c r="H1761" s="1">
        <v>66.5</v>
      </c>
    </row>
    <row r="1762" s="1" customFormat="1" spans="1:8">
      <c r="A1762" s="1" t="s">
        <v>14</v>
      </c>
      <c r="B1762" s="1" t="s">
        <v>19</v>
      </c>
      <c r="C1762" s="1" t="str">
        <f t="shared" si="36"/>
        <v>020082</v>
      </c>
      <c r="D1762" s="1" t="str">
        <f>"112206920"</f>
        <v>112206920</v>
      </c>
      <c r="E1762" s="1">
        <v>72.5</v>
      </c>
      <c r="F1762" s="1">
        <v>73</v>
      </c>
      <c r="H1762" s="1">
        <v>72.7</v>
      </c>
    </row>
    <row r="1763" s="1" customFormat="1" spans="1:8">
      <c r="A1763" s="1" t="s">
        <v>14</v>
      </c>
      <c r="B1763" s="1" t="s">
        <v>19</v>
      </c>
      <c r="C1763" s="1" t="str">
        <f t="shared" si="36"/>
        <v>020082</v>
      </c>
      <c r="D1763" s="1" t="str">
        <f>"112206921"</f>
        <v>112206921</v>
      </c>
      <c r="E1763" s="1">
        <v>76.5</v>
      </c>
      <c r="F1763" s="1">
        <v>82</v>
      </c>
      <c r="H1763" s="1">
        <v>78.7</v>
      </c>
    </row>
    <row r="1764" s="1" customFormat="1" spans="1:8">
      <c r="A1764" s="1" t="s">
        <v>14</v>
      </c>
      <c r="B1764" s="1" t="s">
        <v>19</v>
      </c>
      <c r="C1764" s="1" t="str">
        <f t="shared" si="36"/>
        <v>020082</v>
      </c>
      <c r="D1764" s="1" t="str">
        <f>"112206922"</f>
        <v>112206922</v>
      </c>
      <c r="E1764" s="1">
        <v>76</v>
      </c>
      <c r="F1764" s="1">
        <v>68</v>
      </c>
      <c r="H1764" s="1">
        <v>72.8</v>
      </c>
    </row>
    <row r="1765" s="1" customFormat="1" spans="1:8">
      <c r="A1765" s="1" t="s">
        <v>14</v>
      </c>
      <c r="B1765" s="1" t="s">
        <v>19</v>
      </c>
      <c r="C1765" s="1" t="str">
        <f t="shared" si="36"/>
        <v>020082</v>
      </c>
      <c r="D1765" s="1" t="str">
        <f>"112206923"</f>
        <v>112206923</v>
      </c>
      <c r="E1765" s="1">
        <v>85.5</v>
      </c>
      <c r="F1765" s="1">
        <v>96</v>
      </c>
      <c r="H1765" s="1">
        <v>89.7</v>
      </c>
    </row>
    <row r="1766" s="1" customFormat="1" spans="1:8">
      <c r="A1766" s="1" t="s">
        <v>14</v>
      </c>
      <c r="B1766" s="1" t="s">
        <v>19</v>
      </c>
      <c r="C1766" s="1" t="str">
        <f t="shared" si="36"/>
        <v>020082</v>
      </c>
      <c r="D1766" s="1" t="str">
        <f>"112206924"</f>
        <v>112206924</v>
      </c>
      <c r="E1766" s="1">
        <v>76.5</v>
      </c>
      <c r="F1766" s="1">
        <v>97.5</v>
      </c>
      <c r="H1766" s="1">
        <v>84.9</v>
      </c>
    </row>
    <row r="1767" s="1" customFormat="1" spans="1:8">
      <c r="A1767" s="1" t="s">
        <v>14</v>
      </c>
      <c r="B1767" s="1" t="s">
        <v>19</v>
      </c>
      <c r="C1767" s="1" t="str">
        <f t="shared" si="36"/>
        <v>020082</v>
      </c>
      <c r="D1767" s="1" t="str">
        <f>"112206925"</f>
        <v>112206925</v>
      </c>
      <c r="E1767" s="1">
        <v>74</v>
      </c>
      <c r="F1767" s="1">
        <v>58</v>
      </c>
      <c r="H1767" s="1">
        <v>67.6</v>
      </c>
    </row>
    <row r="1768" s="1" customFormat="1" spans="1:8">
      <c r="A1768" s="1" t="s">
        <v>14</v>
      </c>
      <c r="B1768" s="1" t="s">
        <v>19</v>
      </c>
      <c r="C1768" s="1" t="str">
        <f t="shared" si="36"/>
        <v>020082</v>
      </c>
      <c r="D1768" s="1" t="str">
        <f>"112206926"</f>
        <v>112206926</v>
      </c>
      <c r="E1768" s="1">
        <v>59.5</v>
      </c>
      <c r="F1768" s="1">
        <v>53</v>
      </c>
      <c r="H1768" s="1">
        <v>56.9</v>
      </c>
    </row>
    <row r="1769" s="1" customFormat="1" spans="1:8">
      <c r="A1769" s="1" t="s">
        <v>14</v>
      </c>
      <c r="B1769" s="1" t="s">
        <v>19</v>
      </c>
      <c r="C1769" s="1" t="str">
        <f t="shared" si="36"/>
        <v>020082</v>
      </c>
      <c r="D1769" s="1" t="str">
        <f>"112206927"</f>
        <v>112206927</v>
      </c>
      <c r="E1769" s="1">
        <v>74</v>
      </c>
      <c r="F1769" s="1">
        <v>57.5</v>
      </c>
      <c r="H1769" s="1">
        <v>67.4</v>
      </c>
    </row>
    <row r="1770" s="1" customFormat="1" spans="1:8">
      <c r="A1770" s="1" t="s">
        <v>14</v>
      </c>
      <c r="B1770" s="1" t="s">
        <v>19</v>
      </c>
      <c r="C1770" s="1" t="str">
        <f t="shared" si="36"/>
        <v>020082</v>
      </c>
      <c r="D1770" s="1" t="str">
        <f>"112206928"</f>
        <v>112206928</v>
      </c>
      <c r="E1770" s="1">
        <v>66</v>
      </c>
      <c r="F1770" s="1">
        <v>76</v>
      </c>
      <c r="H1770" s="1">
        <v>70</v>
      </c>
    </row>
    <row r="1771" s="1" customFormat="1" spans="1:8">
      <c r="A1771" s="1" t="s">
        <v>14</v>
      </c>
      <c r="B1771" s="1" t="s">
        <v>19</v>
      </c>
      <c r="C1771" s="1" t="str">
        <f t="shared" si="36"/>
        <v>020082</v>
      </c>
      <c r="D1771" s="1" t="str">
        <f>"112206929"</f>
        <v>112206929</v>
      </c>
      <c r="E1771" s="1">
        <v>72</v>
      </c>
      <c r="F1771" s="1">
        <v>56</v>
      </c>
      <c r="H1771" s="1">
        <v>65.6</v>
      </c>
    </row>
    <row r="1772" s="1" customFormat="1" spans="1:8">
      <c r="A1772" s="1" t="s">
        <v>14</v>
      </c>
      <c r="B1772" s="1" t="s">
        <v>19</v>
      </c>
      <c r="C1772" s="1" t="str">
        <f t="shared" si="36"/>
        <v>020082</v>
      </c>
      <c r="D1772" s="1" t="str">
        <f>"112206930"</f>
        <v>112206930</v>
      </c>
      <c r="E1772" s="1">
        <v>54.5</v>
      </c>
      <c r="F1772" s="1">
        <v>44.5</v>
      </c>
      <c r="H1772" s="1">
        <v>50.5</v>
      </c>
    </row>
    <row r="1773" s="1" customFormat="1" spans="1:8">
      <c r="A1773" s="1" t="s">
        <v>14</v>
      </c>
      <c r="B1773" s="1" t="s">
        <v>19</v>
      </c>
      <c r="C1773" s="1" t="str">
        <f t="shared" si="36"/>
        <v>020082</v>
      </c>
      <c r="D1773" s="1" t="str">
        <f>"112207001"</f>
        <v>112207001</v>
      </c>
      <c r="E1773" s="1">
        <v>81.5</v>
      </c>
      <c r="F1773" s="1">
        <v>98</v>
      </c>
      <c r="H1773" s="1">
        <v>88.1</v>
      </c>
    </row>
    <row r="1774" s="1" customFormat="1" spans="1:8">
      <c r="A1774" s="1" t="s">
        <v>14</v>
      </c>
      <c r="B1774" s="1" t="s">
        <v>19</v>
      </c>
      <c r="C1774" s="1" t="str">
        <f t="shared" si="36"/>
        <v>020082</v>
      </c>
      <c r="D1774" s="1" t="str">
        <f>"112207002"</f>
        <v>112207002</v>
      </c>
      <c r="E1774" s="1">
        <v>73.5</v>
      </c>
      <c r="F1774" s="1">
        <v>65.5</v>
      </c>
      <c r="H1774" s="1">
        <v>70.3</v>
      </c>
    </row>
    <row r="1775" s="1" customFormat="1" spans="1:8">
      <c r="A1775" s="1" t="s">
        <v>14</v>
      </c>
      <c r="B1775" s="1" t="s">
        <v>19</v>
      </c>
      <c r="C1775" s="1" t="str">
        <f t="shared" si="36"/>
        <v>020082</v>
      </c>
      <c r="D1775" s="1" t="str">
        <f>"112207003"</f>
        <v>112207003</v>
      </c>
      <c r="E1775" s="1">
        <v>0</v>
      </c>
      <c r="F1775" s="1">
        <v>0</v>
      </c>
      <c r="H1775" s="1">
        <v>0</v>
      </c>
    </row>
    <row r="1776" s="1" customFormat="1" spans="1:8">
      <c r="A1776" s="1" t="s">
        <v>14</v>
      </c>
      <c r="B1776" s="1" t="s">
        <v>19</v>
      </c>
      <c r="C1776" s="1" t="str">
        <f t="shared" si="36"/>
        <v>020082</v>
      </c>
      <c r="D1776" s="1" t="str">
        <f>"112207004"</f>
        <v>112207004</v>
      </c>
      <c r="E1776" s="1">
        <v>74.5</v>
      </c>
      <c r="F1776" s="1">
        <v>90.5</v>
      </c>
      <c r="H1776" s="1">
        <v>80.9</v>
      </c>
    </row>
    <row r="1777" s="1" customFormat="1" spans="1:8">
      <c r="A1777" s="1" t="s">
        <v>14</v>
      </c>
      <c r="B1777" s="1" t="s">
        <v>19</v>
      </c>
      <c r="C1777" s="1" t="str">
        <f t="shared" si="36"/>
        <v>020082</v>
      </c>
      <c r="D1777" s="1" t="str">
        <f>"112207005"</f>
        <v>112207005</v>
      </c>
      <c r="E1777" s="1">
        <v>69.5</v>
      </c>
      <c r="F1777" s="1">
        <v>63.5</v>
      </c>
      <c r="H1777" s="1">
        <v>67.1</v>
      </c>
    </row>
    <row r="1778" s="1" customFormat="1" spans="1:8">
      <c r="A1778" s="1" t="s">
        <v>14</v>
      </c>
      <c r="B1778" s="1" t="s">
        <v>19</v>
      </c>
      <c r="C1778" s="1" t="str">
        <f t="shared" si="36"/>
        <v>020082</v>
      </c>
      <c r="D1778" s="1" t="str">
        <f>"112207006"</f>
        <v>112207006</v>
      </c>
      <c r="E1778" s="1">
        <v>0</v>
      </c>
      <c r="F1778" s="1">
        <v>0</v>
      </c>
      <c r="H1778" s="1">
        <v>0</v>
      </c>
    </row>
    <row r="1779" s="1" customFormat="1" spans="1:8">
      <c r="A1779" s="1" t="s">
        <v>14</v>
      </c>
      <c r="B1779" s="1" t="s">
        <v>19</v>
      </c>
      <c r="C1779" s="1" t="str">
        <f t="shared" si="36"/>
        <v>020082</v>
      </c>
      <c r="D1779" s="1" t="str">
        <f>"112207007"</f>
        <v>112207007</v>
      </c>
      <c r="E1779" s="1">
        <v>46</v>
      </c>
      <c r="F1779" s="1">
        <v>43</v>
      </c>
      <c r="H1779" s="1">
        <v>44.8</v>
      </c>
    </row>
    <row r="1780" s="1" customFormat="1" spans="1:8">
      <c r="A1780" s="1" t="s">
        <v>14</v>
      </c>
      <c r="B1780" s="1" t="s">
        <v>19</v>
      </c>
      <c r="C1780" s="1" t="str">
        <f t="shared" si="36"/>
        <v>020082</v>
      </c>
      <c r="D1780" s="1" t="str">
        <f>"112207008"</f>
        <v>112207008</v>
      </c>
      <c r="E1780" s="1">
        <v>80</v>
      </c>
      <c r="F1780" s="1">
        <v>91</v>
      </c>
      <c r="H1780" s="1">
        <v>84.4</v>
      </c>
    </row>
    <row r="1781" s="1" customFormat="1" spans="1:8">
      <c r="A1781" s="1" t="s">
        <v>14</v>
      </c>
      <c r="B1781" s="1" t="s">
        <v>19</v>
      </c>
      <c r="C1781" s="1" t="str">
        <f t="shared" si="36"/>
        <v>020082</v>
      </c>
      <c r="D1781" s="1" t="str">
        <f>"112207009"</f>
        <v>112207009</v>
      </c>
      <c r="E1781" s="1">
        <v>0</v>
      </c>
      <c r="F1781" s="1">
        <v>0</v>
      </c>
      <c r="H1781" s="1">
        <v>0</v>
      </c>
    </row>
    <row r="1782" s="1" customFormat="1" spans="1:8">
      <c r="A1782" s="1" t="s">
        <v>14</v>
      </c>
      <c r="B1782" s="1" t="s">
        <v>19</v>
      </c>
      <c r="C1782" s="1" t="str">
        <f t="shared" si="36"/>
        <v>020082</v>
      </c>
      <c r="D1782" s="1" t="str">
        <f>"112207010"</f>
        <v>112207010</v>
      </c>
      <c r="E1782" s="1">
        <v>62</v>
      </c>
      <c r="F1782" s="1">
        <v>80</v>
      </c>
      <c r="H1782" s="1">
        <v>69.2</v>
      </c>
    </row>
    <row r="1783" s="1" customFormat="1" spans="1:8">
      <c r="A1783" s="1" t="s">
        <v>14</v>
      </c>
      <c r="B1783" s="1" t="s">
        <v>19</v>
      </c>
      <c r="C1783" s="1" t="str">
        <f t="shared" si="36"/>
        <v>020082</v>
      </c>
      <c r="D1783" s="1" t="str">
        <f>"112207011"</f>
        <v>112207011</v>
      </c>
      <c r="E1783" s="1">
        <v>80.5</v>
      </c>
      <c r="F1783" s="1">
        <v>84</v>
      </c>
      <c r="H1783" s="1">
        <v>81.9</v>
      </c>
    </row>
    <row r="1784" s="1" customFormat="1" spans="1:8">
      <c r="A1784" s="1" t="s">
        <v>14</v>
      </c>
      <c r="B1784" s="1" t="s">
        <v>19</v>
      </c>
      <c r="C1784" s="1" t="str">
        <f t="shared" si="36"/>
        <v>020082</v>
      </c>
      <c r="D1784" s="1" t="str">
        <f>"112207012"</f>
        <v>112207012</v>
      </c>
      <c r="E1784" s="1">
        <v>0</v>
      </c>
      <c r="F1784" s="1">
        <v>0</v>
      </c>
      <c r="H1784" s="1">
        <v>0</v>
      </c>
    </row>
    <row r="1785" s="1" customFormat="1" spans="1:8">
      <c r="A1785" s="1" t="s">
        <v>14</v>
      </c>
      <c r="B1785" s="1" t="s">
        <v>19</v>
      </c>
      <c r="C1785" s="1" t="str">
        <f t="shared" si="36"/>
        <v>020082</v>
      </c>
      <c r="D1785" s="1" t="str">
        <f>"112207013"</f>
        <v>112207013</v>
      </c>
      <c r="E1785" s="1">
        <v>80</v>
      </c>
      <c r="F1785" s="1">
        <v>56</v>
      </c>
      <c r="H1785" s="1">
        <v>70.4</v>
      </c>
    </row>
    <row r="1786" s="1" customFormat="1" spans="1:8">
      <c r="A1786" s="1" t="s">
        <v>14</v>
      </c>
      <c r="B1786" s="1" t="s">
        <v>19</v>
      </c>
      <c r="C1786" s="1" t="str">
        <f t="shared" si="36"/>
        <v>020082</v>
      </c>
      <c r="D1786" s="1" t="str">
        <f>"112207014"</f>
        <v>112207014</v>
      </c>
      <c r="E1786" s="1">
        <v>75.5</v>
      </c>
      <c r="F1786" s="1">
        <v>81.5</v>
      </c>
      <c r="H1786" s="1">
        <v>77.9</v>
      </c>
    </row>
    <row r="1787" s="1" customFormat="1" spans="1:8">
      <c r="A1787" s="1" t="s">
        <v>14</v>
      </c>
      <c r="B1787" s="1" t="s">
        <v>19</v>
      </c>
      <c r="C1787" s="1" t="str">
        <f t="shared" si="36"/>
        <v>020082</v>
      </c>
      <c r="D1787" s="1" t="str">
        <f>"112207015"</f>
        <v>112207015</v>
      </c>
      <c r="E1787" s="1">
        <v>82.5</v>
      </c>
      <c r="F1787" s="1">
        <v>90</v>
      </c>
      <c r="H1787" s="1">
        <v>85.5</v>
      </c>
    </row>
    <row r="1788" s="1" customFormat="1" spans="1:8">
      <c r="A1788" s="1" t="s">
        <v>14</v>
      </c>
      <c r="B1788" s="1" t="s">
        <v>19</v>
      </c>
      <c r="C1788" s="1" t="str">
        <f t="shared" si="36"/>
        <v>020082</v>
      </c>
      <c r="D1788" s="1" t="str">
        <f>"112207016"</f>
        <v>112207016</v>
      </c>
      <c r="E1788" s="1">
        <v>69</v>
      </c>
      <c r="F1788" s="1">
        <v>80.5</v>
      </c>
      <c r="H1788" s="1">
        <v>73.6</v>
      </c>
    </row>
    <row r="1789" s="1" customFormat="1" spans="1:8">
      <c r="A1789" s="1" t="s">
        <v>14</v>
      </c>
      <c r="B1789" s="1" t="s">
        <v>19</v>
      </c>
      <c r="C1789" s="1" t="str">
        <f t="shared" si="36"/>
        <v>020082</v>
      </c>
      <c r="D1789" s="1" t="str">
        <f>"112207017"</f>
        <v>112207017</v>
      </c>
      <c r="E1789" s="1">
        <v>66.5</v>
      </c>
      <c r="F1789" s="1">
        <v>78</v>
      </c>
      <c r="H1789" s="1">
        <v>71.1</v>
      </c>
    </row>
    <row r="1790" s="1" customFormat="1" spans="1:8">
      <c r="A1790" s="1" t="s">
        <v>14</v>
      </c>
      <c r="B1790" s="1" t="s">
        <v>19</v>
      </c>
      <c r="C1790" s="1" t="str">
        <f t="shared" si="36"/>
        <v>020082</v>
      </c>
      <c r="D1790" s="1" t="str">
        <f>"112207018"</f>
        <v>112207018</v>
      </c>
      <c r="E1790" s="1">
        <v>66</v>
      </c>
      <c r="F1790" s="1">
        <v>54</v>
      </c>
      <c r="H1790" s="1">
        <v>61.2</v>
      </c>
    </row>
    <row r="1791" s="1" customFormat="1" spans="1:8">
      <c r="A1791" s="1" t="s">
        <v>14</v>
      </c>
      <c r="B1791" s="1" t="s">
        <v>19</v>
      </c>
      <c r="C1791" s="1" t="str">
        <f t="shared" si="36"/>
        <v>020082</v>
      </c>
      <c r="D1791" s="1" t="str">
        <f>"112207019"</f>
        <v>112207019</v>
      </c>
      <c r="E1791" s="1">
        <v>0</v>
      </c>
      <c r="F1791" s="1">
        <v>0</v>
      </c>
      <c r="H1791" s="1">
        <v>0</v>
      </c>
    </row>
    <row r="1792" s="1" customFormat="1" spans="1:8">
      <c r="A1792" s="1" t="s">
        <v>14</v>
      </c>
      <c r="B1792" s="1" t="s">
        <v>19</v>
      </c>
      <c r="C1792" s="1" t="str">
        <f t="shared" si="36"/>
        <v>020082</v>
      </c>
      <c r="D1792" s="1" t="str">
        <f>"112207020"</f>
        <v>112207020</v>
      </c>
      <c r="E1792" s="1">
        <v>73</v>
      </c>
      <c r="F1792" s="1">
        <v>63.5</v>
      </c>
      <c r="H1792" s="1">
        <v>69.2</v>
      </c>
    </row>
    <row r="1793" s="1" customFormat="1" spans="1:8">
      <c r="A1793" s="1" t="s">
        <v>14</v>
      </c>
      <c r="B1793" s="1" t="s">
        <v>19</v>
      </c>
      <c r="C1793" s="1" t="str">
        <f t="shared" si="36"/>
        <v>020082</v>
      </c>
      <c r="D1793" s="1" t="str">
        <f>"112207021"</f>
        <v>112207021</v>
      </c>
      <c r="E1793" s="1">
        <v>0</v>
      </c>
      <c r="F1793" s="1">
        <v>0</v>
      </c>
      <c r="H1793" s="1">
        <v>0</v>
      </c>
    </row>
    <row r="1794" s="1" customFormat="1" spans="1:8">
      <c r="A1794" s="1" t="s">
        <v>14</v>
      </c>
      <c r="B1794" s="1" t="s">
        <v>19</v>
      </c>
      <c r="C1794" s="1" t="str">
        <f t="shared" si="36"/>
        <v>020082</v>
      </c>
      <c r="D1794" s="1" t="str">
        <f>"112207022"</f>
        <v>112207022</v>
      </c>
      <c r="E1794" s="1">
        <v>0</v>
      </c>
      <c r="F1794" s="1">
        <v>0</v>
      </c>
      <c r="H1794" s="1">
        <v>0</v>
      </c>
    </row>
    <row r="1795" s="1" customFormat="1" spans="1:8">
      <c r="A1795" s="1" t="s">
        <v>14</v>
      </c>
      <c r="B1795" s="1" t="s">
        <v>19</v>
      </c>
      <c r="C1795" s="1" t="str">
        <f t="shared" si="36"/>
        <v>020082</v>
      </c>
      <c r="D1795" s="1" t="str">
        <f>"112207023"</f>
        <v>112207023</v>
      </c>
      <c r="E1795" s="1">
        <v>0</v>
      </c>
      <c r="F1795" s="1">
        <v>0</v>
      </c>
      <c r="H1795" s="1">
        <v>0</v>
      </c>
    </row>
    <row r="1796" s="1" customFormat="1" spans="1:8">
      <c r="A1796" s="1" t="s">
        <v>14</v>
      </c>
      <c r="B1796" s="1" t="s">
        <v>19</v>
      </c>
      <c r="C1796" s="1" t="str">
        <f t="shared" si="36"/>
        <v>020082</v>
      </c>
      <c r="D1796" s="1" t="str">
        <f>"112207024"</f>
        <v>112207024</v>
      </c>
      <c r="E1796" s="1">
        <v>80.5</v>
      </c>
      <c r="F1796" s="1">
        <v>76.5</v>
      </c>
      <c r="H1796" s="1">
        <v>78.9</v>
      </c>
    </row>
    <row r="1797" s="1" customFormat="1" spans="1:8">
      <c r="A1797" s="1" t="s">
        <v>14</v>
      </c>
      <c r="B1797" s="1" t="s">
        <v>19</v>
      </c>
      <c r="C1797" s="1" t="str">
        <f t="shared" si="36"/>
        <v>020082</v>
      </c>
      <c r="D1797" s="1" t="str">
        <f>"112207025"</f>
        <v>112207025</v>
      </c>
      <c r="E1797" s="1">
        <v>69</v>
      </c>
      <c r="F1797" s="1">
        <v>82</v>
      </c>
      <c r="H1797" s="1">
        <v>74.2</v>
      </c>
    </row>
    <row r="1798" s="1" customFormat="1" spans="1:8">
      <c r="A1798" s="1" t="s">
        <v>14</v>
      </c>
      <c r="B1798" s="1" t="s">
        <v>19</v>
      </c>
      <c r="C1798" s="1" t="str">
        <f t="shared" si="36"/>
        <v>020082</v>
      </c>
      <c r="D1798" s="1" t="str">
        <f>"112207026"</f>
        <v>112207026</v>
      </c>
      <c r="E1798" s="1">
        <v>56.5</v>
      </c>
      <c r="F1798" s="1">
        <v>64</v>
      </c>
      <c r="H1798" s="1">
        <v>59.5</v>
      </c>
    </row>
    <row r="1799" s="1" customFormat="1" spans="1:8">
      <c r="A1799" s="1" t="s">
        <v>14</v>
      </c>
      <c r="B1799" s="1" t="s">
        <v>19</v>
      </c>
      <c r="C1799" s="1" t="str">
        <f t="shared" si="36"/>
        <v>020082</v>
      </c>
      <c r="D1799" s="1" t="str">
        <f>"112207027"</f>
        <v>112207027</v>
      </c>
      <c r="E1799" s="1">
        <v>92.5</v>
      </c>
      <c r="F1799" s="1">
        <v>69.5</v>
      </c>
      <c r="H1799" s="1">
        <v>83.3</v>
      </c>
    </row>
    <row r="1800" s="1" customFormat="1" spans="1:8">
      <c r="A1800" s="1" t="s">
        <v>14</v>
      </c>
      <c r="B1800" s="1" t="s">
        <v>19</v>
      </c>
      <c r="C1800" s="1" t="str">
        <f t="shared" si="36"/>
        <v>020082</v>
      </c>
      <c r="D1800" s="1" t="str">
        <f>"112207028"</f>
        <v>112207028</v>
      </c>
      <c r="E1800" s="1">
        <v>77.5</v>
      </c>
      <c r="F1800" s="1">
        <v>80.5</v>
      </c>
      <c r="H1800" s="1">
        <v>78.7</v>
      </c>
    </row>
    <row r="1801" s="1" customFormat="1" spans="1:8">
      <c r="A1801" s="1" t="s">
        <v>14</v>
      </c>
      <c r="B1801" s="1" t="s">
        <v>19</v>
      </c>
      <c r="C1801" s="1" t="str">
        <f t="shared" si="36"/>
        <v>020082</v>
      </c>
      <c r="D1801" s="1" t="str">
        <f>"112207029"</f>
        <v>112207029</v>
      </c>
      <c r="E1801" s="1">
        <v>75.5</v>
      </c>
      <c r="F1801" s="1">
        <v>79.5</v>
      </c>
      <c r="H1801" s="1">
        <v>77.1</v>
      </c>
    </row>
    <row r="1802" s="1" customFormat="1" spans="1:8">
      <c r="A1802" s="1" t="s">
        <v>14</v>
      </c>
      <c r="B1802" s="1" t="s">
        <v>19</v>
      </c>
      <c r="C1802" s="1" t="str">
        <f t="shared" si="36"/>
        <v>020082</v>
      </c>
      <c r="D1802" s="1" t="str">
        <f>"112207030"</f>
        <v>112207030</v>
      </c>
      <c r="E1802" s="1">
        <v>82.5</v>
      </c>
      <c r="F1802" s="1">
        <v>102.5</v>
      </c>
      <c r="H1802" s="1">
        <v>90.5</v>
      </c>
    </row>
    <row r="1803" s="1" customFormat="1" spans="1:8">
      <c r="A1803" s="1" t="s">
        <v>14</v>
      </c>
      <c r="B1803" s="1" t="s">
        <v>19</v>
      </c>
      <c r="C1803" s="1" t="str">
        <f t="shared" si="36"/>
        <v>020082</v>
      </c>
      <c r="D1803" s="1" t="str">
        <f>"112207101"</f>
        <v>112207101</v>
      </c>
      <c r="E1803" s="1">
        <v>0</v>
      </c>
      <c r="F1803" s="1">
        <v>0</v>
      </c>
      <c r="H1803" s="1">
        <v>0</v>
      </c>
    </row>
    <row r="1804" s="1" customFormat="1" spans="1:8">
      <c r="A1804" s="1" t="s">
        <v>14</v>
      </c>
      <c r="B1804" s="1" t="s">
        <v>19</v>
      </c>
      <c r="C1804" s="1" t="str">
        <f t="shared" si="36"/>
        <v>020082</v>
      </c>
      <c r="D1804" s="1" t="str">
        <f>"112207102"</f>
        <v>112207102</v>
      </c>
      <c r="E1804" s="1">
        <v>77</v>
      </c>
      <c r="F1804" s="1">
        <v>76.5</v>
      </c>
      <c r="H1804" s="1">
        <v>76.8</v>
      </c>
    </row>
    <row r="1805" s="1" customFormat="1" spans="1:8">
      <c r="A1805" s="1" t="s">
        <v>14</v>
      </c>
      <c r="B1805" s="1" t="s">
        <v>19</v>
      </c>
      <c r="C1805" s="1" t="str">
        <f t="shared" si="36"/>
        <v>020082</v>
      </c>
      <c r="D1805" s="1" t="str">
        <f>"112207103"</f>
        <v>112207103</v>
      </c>
      <c r="E1805" s="1">
        <v>75.5</v>
      </c>
      <c r="F1805" s="1">
        <v>86</v>
      </c>
      <c r="H1805" s="1">
        <v>79.7</v>
      </c>
    </row>
    <row r="1806" s="1" customFormat="1" spans="1:8">
      <c r="A1806" s="1" t="s">
        <v>14</v>
      </c>
      <c r="B1806" s="1" t="s">
        <v>19</v>
      </c>
      <c r="C1806" s="1" t="str">
        <f t="shared" si="36"/>
        <v>020082</v>
      </c>
      <c r="D1806" s="1" t="str">
        <f>"112207104"</f>
        <v>112207104</v>
      </c>
      <c r="E1806" s="1">
        <v>42.5</v>
      </c>
      <c r="F1806" s="1">
        <v>0</v>
      </c>
      <c r="H1806" s="1">
        <v>25.5</v>
      </c>
    </row>
    <row r="1807" s="1" customFormat="1" spans="1:8">
      <c r="A1807" s="1" t="s">
        <v>14</v>
      </c>
      <c r="B1807" s="1" t="s">
        <v>19</v>
      </c>
      <c r="C1807" s="1" t="str">
        <f t="shared" si="36"/>
        <v>020082</v>
      </c>
      <c r="D1807" s="1" t="str">
        <f>"112207105"</f>
        <v>112207105</v>
      </c>
      <c r="E1807" s="1">
        <v>68.5</v>
      </c>
      <c r="F1807" s="1">
        <v>90</v>
      </c>
      <c r="H1807" s="1">
        <v>77.1</v>
      </c>
    </row>
    <row r="1808" s="1" customFormat="1" spans="1:8">
      <c r="A1808" s="1" t="s">
        <v>14</v>
      </c>
      <c r="B1808" s="1" t="s">
        <v>19</v>
      </c>
      <c r="C1808" s="1" t="str">
        <f t="shared" si="36"/>
        <v>020082</v>
      </c>
      <c r="D1808" s="1" t="str">
        <f>"112207106"</f>
        <v>112207106</v>
      </c>
      <c r="E1808" s="1">
        <v>68</v>
      </c>
      <c r="F1808" s="1">
        <v>68.5</v>
      </c>
      <c r="H1808" s="1">
        <v>68.2</v>
      </c>
    </row>
    <row r="1809" s="1" customFormat="1" spans="1:8">
      <c r="A1809" s="1" t="s">
        <v>14</v>
      </c>
      <c r="B1809" s="1" t="s">
        <v>19</v>
      </c>
      <c r="C1809" s="1" t="str">
        <f t="shared" si="36"/>
        <v>020082</v>
      </c>
      <c r="D1809" s="1" t="str">
        <f>"112207107"</f>
        <v>112207107</v>
      </c>
      <c r="E1809" s="1">
        <v>62.5</v>
      </c>
      <c r="F1809" s="1">
        <v>56.5</v>
      </c>
      <c r="H1809" s="1">
        <v>60.1</v>
      </c>
    </row>
    <row r="1810" s="1" customFormat="1" spans="1:8">
      <c r="A1810" s="1" t="s">
        <v>14</v>
      </c>
      <c r="B1810" s="1" t="s">
        <v>19</v>
      </c>
      <c r="C1810" s="1" t="str">
        <f t="shared" si="36"/>
        <v>020082</v>
      </c>
      <c r="D1810" s="1" t="str">
        <f>"112207108"</f>
        <v>112207108</v>
      </c>
      <c r="E1810" s="1">
        <v>67</v>
      </c>
      <c r="F1810" s="1">
        <v>72.5</v>
      </c>
      <c r="H1810" s="1">
        <v>69.2</v>
      </c>
    </row>
    <row r="1811" s="1" customFormat="1" spans="1:8">
      <c r="A1811" s="1" t="s">
        <v>14</v>
      </c>
      <c r="B1811" s="1" t="s">
        <v>19</v>
      </c>
      <c r="C1811" s="1" t="str">
        <f t="shared" si="36"/>
        <v>020082</v>
      </c>
      <c r="D1811" s="1" t="str">
        <f>"112207109"</f>
        <v>112207109</v>
      </c>
      <c r="E1811" s="1">
        <v>0</v>
      </c>
      <c r="F1811" s="1">
        <v>0</v>
      </c>
      <c r="H1811" s="1">
        <v>0</v>
      </c>
    </row>
    <row r="1812" s="1" customFormat="1" spans="1:8">
      <c r="A1812" s="1" t="s">
        <v>14</v>
      </c>
      <c r="B1812" s="1" t="s">
        <v>19</v>
      </c>
      <c r="C1812" s="1" t="str">
        <f t="shared" si="36"/>
        <v>020082</v>
      </c>
      <c r="D1812" s="1" t="str">
        <f>"112207110"</f>
        <v>112207110</v>
      </c>
      <c r="E1812" s="1">
        <v>75</v>
      </c>
      <c r="F1812" s="1">
        <v>75.5</v>
      </c>
      <c r="H1812" s="1">
        <v>75.2</v>
      </c>
    </row>
    <row r="1813" s="1" customFormat="1" spans="1:8">
      <c r="A1813" s="1" t="s">
        <v>14</v>
      </c>
      <c r="B1813" s="1" t="s">
        <v>19</v>
      </c>
      <c r="C1813" s="1" t="str">
        <f t="shared" si="36"/>
        <v>020082</v>
      </c>
      <c r="D1813" s="1" t="str">
        <f>"112207111"</f>
        <v>112207111</v>
      </c>
      <c r="E1813" s="1">
        <v>75</v>
      </c>
      <c r="F1813" s="1">
        <v>60.5</v>
      </c>
      <c r="H1813" s="1">
        <v>69.2</v>
      </c>
    </row>
    <row r="1814" s="1" customFormat="1" spans="1:8">
      <c r="A1814" s="1" t="s">
        <v>14</v>
      </c>
      <c r="B1814" s="1" t="s">
        <v>19</v>
      </c>
      <c r="C1814" s="1" t="str">
        <f t="shared" si="36"/>
        <v>020082</v>
      </c>
      <c r="D1814" s="1" t="str">
        <f>"112207112"</f>
        <v>112207112</v>
      </c>
      <c r="E1814" s="1">
        <v>0</v>
      </c>
      <c r="F1814" s="1">
        <v>0</v>
      </c>
      <c r="H1814" s="1">
        <v>0</v>
      </c>
    </row>
    <row r="1815" s="1" customFormat="1" spans="1:8">
      <c r="A1815" s="1" t="s">
        <v>14</v>
      </c>
      <c r="B1815" s="1" t="s">
        <v>19</v>
      </c>
      <c r="C1815" s="1" t="str">
        <f t="shared" si="36"/>
        <v>020082</v>
      </c>
      <c r="D1815" s="1" t="str">
        <f>"112207113"</f>
        <v>112207113</v>
      </c>
      <c r="E1815" s="1">
        <v>85.5</v>
      </c>
      <c r="F1815" s="1">
        <v>92</v>
      </c>
      <c r="H1815" s="1">
        <v>88.1</v>
      </c>
    </row>
    <row r="1816" s="1" customFormat="1" spans="1:8">
      <c r="A1816" s="1" t="s">
        <v>14</v>
      </c>
      <c r="B1816" s="1" t="s">
        <v>19</v>
      </c>
      <c r="C1816" s="1" t="str">
        <f t="shared" si="36"/>
        <v>020082</v>
      </c>
      <c r="D1816" s="1" t="str">
        <f>"112207114"</f>
        <v>112207114</v>
      </c>
      <c r="E1816" s="1">
        <v>0</v>
      </c>
      <c r="F1816" s="1">
        <v>0</v>
      </c>
      <c r="H1816" s="1">
        <v>0</v>
      </c>
    </row>
    <row r="1817" s="1" customFormat="1" spans="1:8">
      <c r="A1817" s="1" t="s">
        <v>14</v>
      </c>
      <c r="B1817" s="1" t="s">
        <v>19</v>
      </c>
      <c r="C1817" s="1" t="str">
        <f t="shared" si="36"/>
        <v>020082</v>
      </c>
      <c r="D1817" s="1" t="str">
        <f>"112207115"</f>
        <v>112207115</v>
      </c>
      <c r="E1817" s="1">
        <v>68.5</v>
      </c>
      <c r="F1817" s="1">
        <v>73.5</v>
      </c>
      <c r="H1817" s="1">
        <v>70.5</v>
      </c>
    </row>
    <row r="1818" s="1" customFormat="1" spans="1:8">
      <c r="A1818" s="1" t="s">
        <v>14</v>
      </c>
      <c r="B1818" s="1" t="s">
        <v>19</v>
      </c>
      <c r="C1818" s="1" t="str">
        <f t="shared" ref="C1818:C1881" si="37">"020082"</f>
        <v>020082</v>
      </c>
      <c r="D1818" s="1" t="str">
        <f>"112207116"</f>
        <v>112207116</v>
      </c>
      <c r="E1818" s="1">
        <v>76</v>
      </c>
      <c r="F1818" s="1">
        <v>66.5</v>
      </c>
      <c r="H1818" s="1">
        <v>72.2</v>
      </c>
    </row>
    <row r="1819" s="1" customFormat="1" spans="1:8">
      <c r="A1819" s="1" t="s">
        <v>14</v>
      </c>
      <c r="B1819" s="1" t="s">
        <v>19</v>
      </c>
      <c r="C1819" s="1" t="str">
        <f t="shared" si="37"/>
        <v>020082</v>
      </c>
      <c r="D1819" s="1" t="str">
        <f>"112207117"</f>
        <v>112207117</v>
      </c>
      <c r="E1819" s="1">
        <v>75</v>
      </c>
      <c r="F1819" s="1">
        <v>90.5</v>
      </c>
      <c r="H1819" s="1">
        <v>81.2</v>
      </c>
    </row>
    <row r="1820" s="1" customFormat="1" spans="1:8">
      <c r="A1820" s="1" t="s">
        <v>14</v>
      </c>
      <c r="B1820" s="1" t="s">
        <v>19</v>
      </c>
      <c r="C1820" s="1" t="str">
        <f t="shared" si="37"/>
        <v>020082</v>
      </c>
      <c r="D1820" s="1" t="str">
        <f>"112207118"</f>
        <v>112207118</v>
      </c>
      <c r="E1820" s="1">
        <v>68</v>
      </c>
      <c r="F1820" s="1">
        <v>58</v>
      </c>
      <c r="H1820" s="1">
        <v>64</v>
      </c>
    </row>
    <row r="1821" s="1" customFormat="1" spans="1:8">
      <c r="A1821" s="1" t="s">
        <v>14</v>
      </c>
      <c r="B1821" s="1" t="s">
        <v>19</v>
      </c>
      <c r="C1821" s="1" t="str">
        <f t="shared" si="37"/>
        <v>020082</v>
      </c>
      <c r="D1821" s="1" t="str">
        <f>"112207119"</f>
        <v>112207119</v>
      </c>
      <c r="E1821" s="1">
        <v>0</v>
      </c>
      <c r="F1821" s="1">
        <v>0</v>
      </c>
      <c r="H1821" s="1">
        <v>0</v>
      </c>
    </row>
    <row r="1822" s="1" customFormat="1" spans="1:8">
      <c r="A1822" s="1" t="s">
        <v>14</v>
      </c>
      <c r="B1822" s="1" t="s">
        <v>19</v>
      </c>
      <c r="C1822" s="1" t="str">
        <f t="shared" si="37"/>
        <v>020082</v>
      </c>
      <c r="D1822" s="1" t="str">
        <f>"112207120"</f>
        <v>112207120</v>
      </c>
      <c r="E1822" s="1">
        <v>0</v>
      </c>
      <c r="F1822" s="1">
        <v>0</v>
      </c>
      <c r="H1822" s="1">
        <v>0</v>
      </c>
    </row>
    <row r="1823" s="1" customFormat="1" spans="1:8">
      <c r="A1823" s="1" t="s">
        <v>14</v>
      </c>
      <c r="B1823" s="1" t="s">
        <v>19</v>
      </c>
      <c r="C1823" s="1" t="str">
        <f t="shared" si="37"/>
        <v>020082</v>
      </c>
      <c r="D1823" s="1" t="str">
        <f>"112207121"</f>
        <v>112207121</v>
      </c>
      <c r="E1823" s="1">
        <v>0</v>
      </c>
      <c r="F1823" s="1">
        <v>0</v>
      </c>
      <c r="H1823" s="1">
        <v>0</v>
      </c>
    </row>
    <row r="1824" s="1" customFormat="1" spans="1:8">
      <c r="A1824" s="1" t="s">
        <v>14</v>
      </c>
      <c r="B1824" s="1" t="s">
        <v>19</v>
      </c>
      <c r="C1824" s="1" t="str">
        <f t="shared" si="37"/>
        <v>020082</v>
      </c>
      <c r="D1824" s="1" t="str">
        <f>"112207122"</f>
        <v>112207122</v>
      </c>
      <c r="E1824" s="1">
        <v>0</v>
      </c>
      <c r="F1824" s="1">
        <v>0</v>
      </c>
      <c r="H1824" s="1">
        <v>0</v>
      </c>
    </row>
    <row r="1825" s="1" customFormat="1" spans="1:8">
      <c r="A1825" s="1" t="s">
        <v>14</v>
      </c>
      <c r="B1825" s="1" t="s">
        <v>19</v>
      </c>
      <c r="C1825" s="1" t="str">
        <f t="shared" si="37"/>
        <v>020082</v>
      </c>
      <c r="D1825" s="1" t="str">
        <f>"112207123"</f>
        <v>112207123</v>
      </c>
      <c r="E1825" s="1">
        <v>80</v>
      </c>
      <c r="F1825" s="1">
        <v>72.5</v>
      </c>
      <c r="H1825" s="1">
        <v>77</v>
      </c>
    </row>
    <row r="1826" s="1" customFormat="1" spans="1:8">
      <c r="A1826" s="1" t="s">
        <v>14</v>
      </c>
      <c r="B1826" s="1" t="s">
        <v>19</v>
      </c>
      <c r="C1826" s="1" t="str">
        <f t="shared" si="37"/>
        <v>020082</v>
      </c>
      <c r="D1826" s="1" t="str">
        <f>"112207124"</f>
        <v>112207124</v>
      </c>
      <c r="E1826" s="1">
        <v>0</v>
      </c>
      <c r="F1826" s="1">
        <v>0</v>
      </c>
      <c r="H1826" s="1">
        <v>0</v>
      </c>
    </row>
    <row r="1827" s="1" customFormat="1" spans="1:8">
      <c r="A1827" s="1" t="s">
        <v>14</v>
      </c>
      <c r="B1827" s="1" t="s">
        <v>19</v>
      </c>
      <c r="C1827" s="1" t="str">
        <f t="shared" si="37"/>
        <v>020082</v>
      </c>
      <c r="D1827" s="1" t="str">
        <f>"112207125"</f>
        <v>112207125</v>
      </c>
      <c r="E1827" s="1">
        <v>77</v>
      </c>
      <c r="F1827" s="1">
        <v>100.5</v>
      </c>
      <c r="H1827" s="1">
        <v>86.4</v>
      </c>
    </row>
    <row r="1828" s="1" customFormat="1" spans="1:8">
      <c r="A1828" s="1" t="s">
        <v>14</v>
      </c>
      <c r="B1828" s="1" t="s">
        <v>19</v>
      </c>
      <c r="C1828" s="1" t="str">
        <f t="shared" si="37"/>
        <v>020082</v>
      </c>
      <c r="D1828" s="1" t="str">
        <f>"112207126"</f>
        <v>112207126</v>
      </c>
      <c r="E1828" s="1">
        <v>73.5</v>
      </c>
      <c r="F1828" s="1">
        <v>92</v>
      </c>
      <c r="H1828" s="1">
        <v>80.9</v>
      </c>
    </row>
    <row r="1829" s="1" customFormat="1" spans="1:8">
      <c r="A1829" s="1" t="s">
        <v>14</v>
      </c>
      <c r="B1829" s="1" t="s">
        <v>19</v>
      </c>
      <c r="C1829" s="1" t="str">
        <f t="shared" si="37"/>
        <v>020082</v>
      </c>
      <c r="D1829" s="1" t="str">
        <f>"112207127"</f>
        <v>112207127</v>
      </c>
      <c r="E1829" s="1">
        <v>0</v>
      </c>
      <c r="F1829" s="1">
        <v>0</v>
      </c>
      <c r="H1829" s="1">
        <v>0</v>
      </c>
    </row>
    <row r="1830" s="1" customFormat="1" spans="1:8">
      <c r="A1830" s="1" t="s">
        <v>14</v>
      </c>
      <c r="B1830" s="1" t="s">
        <v>19</v>
      </c>
      <c r="C1830" s="1" t="str">
        <f t="shared" si="37"/>
        <v>020082</v>
      </c>
      <c r="D1830" s="1" t="str">
        <f>"112207128"</f>
        <v>112207128</v>
      </c>
      <c r="E1830" s="1">
        <v>89.5</v>
      </c>
      <c r="F1830" s="1">
        <v>99.5</v>
      </c>
      <c r="H1830" s="1">
        <v>93.5</v>
      </c>
    </row>
    <row r="1831" s="1" customFormat="1" spans="1:8">
      <c r="A1831" s="1" t="s">
        <v>14</v>
      </c>
      <c r="B1831" s="1" t="s">
        <v>19</v>
      </c>
      <c r="C1831" s="1" t="str">
        <f t="shared" si="37"/>
        <v>020082</v>
      </c>
      <c r="D1831" s="1" t="str">
        <f>"112207129"</f>
        <v>112207129</v>
      </c>
      <c r="E1831" s="1">
        <v>73.5</v>
      </c>
      <c r="F1831" s="1">
        <v>48.5</v>
      </c>
      <c r="H1831" s="1">
        <v>63.5</v>
      </c>
    </row>
    <row r="1832" s="1" customFormat="1" spans="1:8">
      <c r="A1832" s="1" t="s">
        <v>14</v>
      </c>
      <c r="B1832" s="1" t="s">
        <v>19</v>
      </c>
      <c r="C1832" s="1" t="str">
        <f t="shared" si="37"/>
        <v>020082</v>
      </c>
      <c r="D1832" s="1" t="str">
        <f>"112207130"</f>
        <v>112207130</v>
      </c>
      <c r="E1832" s="1">
        <v>73.5</v>
      </c>
      <c r="F1832" s="1">
        <v>88</v>
      </c>
      <c r="H1832" s="1">
        <v>79.3</v>
      </c>
    </row>
    <row r="1833" s="1" customFormat="1" spans="1:8">
      <c r="A1833" s="1" t="s">
        <v>14</v>
      </c>
      <c r="B1833" s="1" t="s">
        <v>19</v>
      </c>
      <c r="C1833" s="1" t="str">
        <f t="shared" si="37"/>
        <v>020082</v>
      </c>
      <c r="D1833" s="1" t="str">
        <f>"112207201"</f>
        <v>112207201</v>
      </c>
      <c r="E1833" s="1">
        <v>71</v>
      </c>
      <c r="F1833" s="1">
        <v>73</v>
      </c>
      <c r="H1833" s="1">
        <v>71.8</v>
      </c>
    </row>
    <row r="1834" s="1" customFormat="1" spans="1:8">
      <c r="A1834" s="1" t="s">
        <v>14</v>
      </c>
      <c r="B1834" s="1" t="s">
        <v>19</v>
      </c>
      <c r="C1834" s="1" t="str">
        <f t="shared" si="37"/>
        <v>020082</v>
      </c>
      <c r="D1834" s="1" t="str">
        <f>"112207202"</f>
        <v>112207202</v>
      </c>
      <c r="E1834" s="1">
        <v>69.5</v>
      </c>
      <c r="F1834" s="1">
        <v>64</v>
      </c>
      <c r="H1834" s="1">
        <v>67.3</v>
      </c>
    </row>
    <row r="1835" s="1" customFormat="1" spans="1:8">
      <c r="A1835" s="1" t="s">
        <v>14</v>
      </c>
      <c r="B1835" s="1" t="s">
        <v>19</v>
      </c>
      <c r="C1835" s="1" t="str">
        <f t="shared" si="37"/>
        <v>020082</v>
      </c>
      <c r="D1835" s="1" t="str">
        <f>"112207203"</f>
        <v>112207203</v>
      </c>
      <c r="E1835" s="1">
        <v>44.5</v>
      </c>
      <c r="F1835" s="1">
        <v>0</v>
      </c>
      <c r="H1835" s="1">
        <v>26.7</v>
      </c>
    </row>
    <row r="1836" s="1" customFormat="1" spans="1:8">
      <c r="A1836" s="1" t="s">
        <v>14</v>
      </c>
      <c r="B1836" s="1" t="s">
        <v>19</v>
      </c>
      <c r="C1836" s="1" t="str">
        <f t="shared" si="37"/>
        <v>020082</v>
      </c>
      <c r="D1836" s="1" t="str">
        <f>"112207204"</f>
        <v>112207204</v>
      </c>
      <c r="E1836" s="1">
        <v>0</v>
      </c>
      <c r="F1836" s="1">
        <v>0</v>
      </c>
      <c r="H1836" s="1">
        <v>0</v>
      </c>
    </row>
    <row r="1837" s="1" customFormat="1" spans="1:8">
      <c r="A1837" s="1" t="s">
        <v>14</v>
      </c>
      <c r="B1837" s="1" t="s">
        <v>19</v>
      </c>
      <c r="C1837" s="1" t="str">
        <f t="shared" si="37"/>
        <v>020082</v>
      </c>
      <c r="D1837" s="1" t="str">
        <f>"112207205"</f>
        <v>112207205</v>
      </c>
      <c r="E1837" s="1">
        <v>0</v>
      </c>
      <c r="F1837" s="1">
        <v>0</v>
      </c>
      <c r="H1837" s="1">
        <v>0</v>
      </c>
    </row>
    <row r="1838" s="1" customFormat="1" spans="1:8">
      <c r="A1838" s="1" t="s">
        <v>14</v>
      </c>
      <c r="B1838" s="1" t="s">
        <v>19</v>
      </c>
      <c r="C1838" s="1" t="str">
        <f t="shared" si="37"/>
        <v>020082</v>
      </c>
      <c r="D1838" s="1" t="str">
        <f>"112207206"</f>
        <v>112207206</v>
      </c>
      <c r="E1838" s="1">
        <v>0</v>
      </c>
      <c r="F1838" s="1">
        <v>0</v>
      </c>
      <c r="H1838" s="1">
        <v>0</v>
      </c>
    </row>
    <row r="1839" s="1" customFormat="1" spans="1:8">
      <c r="A1839" s="1" t="s">
        <v>14</v>
      </c>
      <c r="B1839" s="1" t="s">
        <v>19</v>
      </c>
      <c r="C1839" s="1" t="str">
        <f t="shared" si="37"/>
        <v>020082</v>
      </c>
      <c r="D1839" s="1" t="str">
        <f>"112207207"</f>
        <v>112207207</v>
      </c>
      <c r="E1839" s="1">
        <v>85</v>
      </c>
      <c r="F1839" s="1">
        <v>76.5</v>
      </c>
      <c r="H1839" s="1">
        <v>81.6</v>
      </c>
    </row>
    <row r="1840" s="1" customFormat="1" spans="1:8">
      <c r="A1840" s="1" t="s">
        <v>14</v>
      </c>
      <c r="B1840" s="1" t="s">
        <v>19</v>
      </c>
      <c r="C1840" s="1" t="str">
        <f t="shared" si="37"/>
        <v>020082</v>
      </c>
      <c r="D1840" s="1" t="str">
        <f>"112207208"</f>
        <v>112207208</v>
      </c>
      <c r="E1840" s="1">
        <v>77.5</v>
      </c>
      <c r="F1840" s="1">
        <v>86.5</v>
      </c>
      <c r="H1840" s="1">
        <v>81.1</v>
      </c>
    </row>
    <row r="1841" s="1" customFormat="1" spans="1:8">
      <c r="A1841" s="1" t="s">
        <v>14</v>
      </c>
      <c r="B1841" s="1" t="s">
        <v>19</v>
      </c>
      <c r="C1841" s="1" t="str">
        <f t="shared" si="37"/>
        <v>020082</v>
      </c>
      <c r="D1841" s="1" t="str">
        <f>"112207209"</f>
        <v>112207209</v>
      </c>
      <c r="E1841" s="1">
        <v>66</v>
      </c>
      <c r="F1841" s="1">
        <v>59.5</v>
      </c>
      <c r="H1841" s="1">
        <v>63.4</v>
      </c>
    </row>
    <row r="1842" s="1" customFormat="1" spans="1:8">
      <c r="A1842" s="1" t="s">
        <v>14</v>
      </c>
      <c r="B1842" s="1" t="s">
        <v>19</v>
      </c>
      <c r="C1842" s="1" t="str">
        <f t="shared" si="37"/>
        <v>020082</v>
      </c>
      <c r="D1842" s="1" t="str">
        <f>"112207210"</f>
        <v>112207210</v>
      </c>
      <c r="E1842" s="1">
        <v>0</v>
      </c>
      <c r="F1842" s="1">
        <v>0</v>
      </c>
      <c r="H1842" s="1">
        <v>0</v>
      </c>
    </row>
    <row r="1843" s="1" customFormat="1" spans="1:8">
      <c r="A1843" s="1" t="s">
        <v>14</v>
      </c>
      <c r="B1843" s="1" t="s">
        <v>19</v>
      </c>
      <c r="C1843" s="1" t="str">
        <f t="shared" si="37"/>
        <v>020082</v>
      </c>
      <c r="D1843" s="1" t="str">
        <f>"112207211"</f>
        <v>112207211</v>
      </c>
      <c r="E1843" s="1">
        <v>0</v>
      </c>
      <c r="F1843" s="1">
        <v>0</v>
      </c>
      <c r="H1843" s="1">
        <v>0</v>
      </c>
    </row>
    <row r="1844" s="1" customFormat="1" spans="1:8">
      <c r="A1844" s="1" t="s">
        <v>14</v>
      </c>
      <c r="B1844" s="1" t="s">
        <v>19</v>
      </c>
      <c r="C1844" s="1" t="str">
        <f t="shared" si="37"/>
        <v>020082</v>
      </c>
      <c r="D1844" s="1" t="str">
        <f>"112207212"</f>
        <v>112207212</v>
      </c>
      <c r="E1844" s="1">
        <v>0</v>
      </c>
      <c r="F1844" s="1">
        <v>0</v>
      </c>
      <c r="H1844" s="1">
        <v>0</v>
      </c>
    </row>
    <row r="1845" s="1" customFormat="1" spans="1:8">
      <c r="A1845" s="1" t="s">
        <v>14</v>
      </c>
      <c r="B1845" s="1" t="s">
        <v>19</v>
      </c>
      <c r="C1845" s="1" t="str">
        <f t="shared" si="37"/>
        <v>020082</v>
      </c>
      <c r="D1845" s="1" t="str">
        <f>"112207213"</f>
        <v>112207213</v>
      </c>
      <c r="E1845" s="1">
        <v>72.5</v>
      </c>
      <c r="F1845" s="1">
        <v>76.5</v>
      </c>
      <c r="H1845" s="1">
        <v>74.1</v>
      </c>
    </row>
    <row r="1846" s="1" customFormat="1" spans="1:8">
      <c r="A1846" s="1" t="s">
        <v>14</v>
      </c>
      <c r="B1846" s="1" t="s">
        <v>19</v>
      </c>
      <c r="C1846" s="1" t="str">
        <f t="shared" si="37"/>
        <v>020082</v>
      </c>
      <c r="D1846" s="1" t="str">
        <f>"112207214"</f>
        <v>112207214</v>
      </c>
      <c r="E1846" s="1">
        <v>73.5</v>
      </c>
      <c r="F1846" s="1">
        <v>82</v>
      </c>
      <c r="H1846" s="1">
        <v>76.9</v>
      </c>
    </row>
    <row r="1847" s="1" customFormat="1" spans="1:8">
      <c r="A1847" s="1" t="s">
        <v>14</v>
      </c>
      <c r="B1847" s="1" t="s">
        <v>19</v>
      </c>
      <c r="C1847" s="1" t="str">
        <f t="shared" si="37"/>
        <v>020082</v>
      </c>
      <c r="D1847" s="1" t="str">
        <f>"112207215"</f>
        <v>112207215</v>
      </c>
      <c r="E1847" s="1">
        <v>80</v>
      </c>
      <c r="F1847" s="1">
        <v>97.5</v>
      </c>
      <c r="H1847" s="1">
        <v>87</v>
      </c>
    </row>
    <row r="1848" s="1" customFormat="1" spans="1:8">
      <c r="A1848" s="1" t="s">
        <v>14</v>
      </c>
      <c r="B1848" s="1" t="s">
        <v>19</v>
      </c>
      <c r="C1848" s="1" t="str">
        <f t="shared" si="37"/>
        <v>020082</v>
      </c>
      <c r="D1848" s="1" t="str">
        <f>"112207216"</f>
        <v>112207216</v>
      </c>
      <c r="E1848" s="1">
        <v>84</v>
      </c>
      <c r="F1848" s="1">
        <v>90</v>
      </c>
      <c r="H1848" s="1">
        <v>86.4</v>
      </c>
    </row>
    <row r="1849" s="1" customFormat="1" spans="1:8">
      <c r="A1849" s="1" t="s">
        <v>14</v>
      </c>
      <c r="B1849" s="1" t="s">
        <v>19</v>
      </c>
      <c r="C1849" s="1" t="str">
        <f t="shared" si="37"/>
        <v>020082</v>
      </c>
      <c r="D1849" s="1" t="str">
        <f>"112207217"</f>
        <v>112207217</v>
      </c>
      <c r="E1849" s="1">
        <v>0</v>
      </c>
      <c r="F1849" s="1">
        <v>0</v>
      </c>
      <c r="H1849" s="1">
        <v>0</v>
      </c>
    </row>
    <row r="1850" s="1" customFormat="1" spans="1:8">
      <c r="A1850" s="1" t="s">
        <v>14</v>
      </c>
      <c r="B1850" s="1" t="s">
        <v>19</v>
      </c>
      <c r="C1850" s="1" t="str">
        <f t="shared" si="37"/>
        <v>020082</v>
      </c>
      <c r="D1850" s="1" t="str">
        <f>"112207218"</f>
        <v>112207218</v>
      </c>
      <c r="E1850" s="1">
        <v>0</v>
      </c>
      <c r="F1850" s="1">
        <v>0</v>
      </c>
      <c r="H1850" s="1">
        <v>0</v>
      </c>
    </row>
    <row r="1851" s="1" customFormat="1" spans="1:8">
      <c r="A1851" s="1" t="s">
        <v>14</v>
      </c>
      <c r="B1851" s="1" t="s">
        <v>19</v>
      </c>
      <c r="C1851" s="1" t="str">
        <f t="shared" si="37"/>
        <v>020082</v>
      </c>
      <c r="D1851" s="1" t="str">
        <f>"112207219"</f>
        <v>112207219</v>
      </c>
      <c r="E1851" s="1">
        <v>79</v>
      </c>
      <c r="F1851" s="1">
        <v>91.5</v>
      </c>
      <c r="H1851" s="1">
        <v>84</v>
      </c>
    </row>
    <row r="1852" s="1" customFormat="1" spans="1:8">
      <c r="A1852" s="1" t="s">
        <v>14</v>
      </c>
      <c r="B1852" s="1" t="s">
        <v>19</v>
      </c>
      <c r="C1852" s="1" t="str">
        <f t="shared" si="37"/>
        <v>020082</v>
      </c>
      <c r="D1852" s="1" t="str">
        <f>"112207220"</f>
        <v>112207220</v>
      </c>
      <c r="E1852" s="1">
        <v>78</v>
      </c>
      <c r="F1852" s="1">
        <v>77</v>
      </c>
      <c r="H1852" s="1">
        <v>77.6</v>
      </c>
    </row>
    <row r="1853" s="1" customFormat="1" spans="1:8">
      <c r="A1853" s="1" t="s">
        <v>14</v>
      </c>
      <c r="B1853" s="1" t="s">
        <v>19</v>
      </c>
      <c r="C1853" s="1" t="str">
        <f t="shared" si="37"/>
        <v>020082</v>
      </c>
      <c r="D1853" s="1" t="str">
        <f>"112207221"</f>
        <v>112207221</v>
      </c>
      <c r="E1853" s="1">
        <v>0</v>
      </c>
      <c r="F1853" s="1">
        <v>0</v>
      </c>
      <c r="H1853" s="1">
        <v>0</v>
      </c>
    </row>
    <row r="1854" s="1" customFormat="1" spans="1:8">
      <c r="A1854" s="1" t="s">
        <v>14</v>
      </c>
      <c r="B1854" s="1" t="s">
        <v>19</v>
      </c>
      <c r="C1854" s="1" t="str">
        <f t="shared" si="37"/>
        <v>020082</v>
      </c>
      <c r="D1854" s="1" t="str">
        <f>"112207222"</f>
        <v>112207222</v>
      </c>
      <c r="E1854" s="1">
        <v>66.5</v>
      </c>
      <c r="F1854" s="1">
        <v>61</v>
      </c>
      <c r="H1854" s="1">
        <v>64.3</v>
      </c>
    </row>
    <row r="1855" s="1" customFormat="1" spans="1:8">
      <c r="A1855" s="1" t="s">
        <v>14</v>
      </c>
      <c r="B1855" s="1" t="s">
        <v>19</v>
      </c>
      <c r="C1855" s="1" t="str">
        <f t="shared" si="37"/>
        <v>020082</v>
      </c>
      <c r="D1855" s="1" t="str">
        <f>"112207223"</f>
        <v>112207223</v>
      </c>
      <c r="E1855" s="1">
        <v>0</v>
      </c>
      <c r="F1855" s="1">
        <v>0</v>
      </c>
      <c r="H1855" s="1">
        <v>0</v>
      </c>
    </row>
    <row r="1856" s="1" customFormat="1" spans="1:8">
      <c r="A1856" s="1" t="s">
        <v>14</v>
      </c>
      <c r="B1856" s="1" t="s">
        <v>19</v>
      </c>
      <c r="C1856" s="1" t="str">
        <f t="shared" si="37"/>
        <v>020082</v>
      </c>
      <c r="D1856" s="1" t="str">
        <f>"112207224"</f>
        <v>112207224</v>
      </c>
      <c r="E1856" s="1">
        <v>90</v>
      </c>
      <c r="F1856" s="1">
        <v>93</v>
      </c>
      <c r="H1856" s="1">
        <v>91.2</v>
      </c>
    </row>
    <row r="1857" s="1" customFormat="1" spans="1:8">
      <c r="A1857" s="1" t="s">
        <v>14</v>
      </c>
      <c r="B1857" s="1" t="s">
        <v>19</v>
      </c>
      <c r="C1857" s="1" t="str">
        <f t="shared" si="37"/>
        <v>020082</v>
      </c>
      <c r="D1857" s="1" t="str">
        <f>"112207225"</f>
        <v>112207225</v>
      </c>
      <c r="E1857" s="1">
        <v>35</v>
      </c>
      <c r="F1857" s="1">
        <v>0</v>
      </c>
      <c r="H1857" s="1">
        <v>21</v>
      </c>
    </row>
    <row r="1858" s="1" customFormat="1" spans="1:8">
      <c r="A1858" s="1" t="s">
        <v>14</v>
      </c>
      <c r="B1858" s="1" t="s">
        <v>19</v>
      </c>
      <c r="C1858" s="1" t="str">
        <f t="shared" si="37"/>
        <v>020082</v>
      </c>
      <c r="D1858" s="1" t="str">
        <f>"112207226"</f>
        <v>112207226</v>
      </c>
      <c r="E1858" s="1">
        <v>73</v>
      </c>
      <c r="F1858" s="1">
        <v>79.5</v>
      </c>
      <c r="H1858" s="1">
        <v>75.6</v>
      </c>
    </row>
    <row r="1859" s="1" customFormat="1" spans="1:8">
      <c r="A1859" s="1" t="s">
        <v>14</v>
      </c>
      <c r="B1859" s="1" t="s">
        <v>19</v>
      </c>
      <c r="C1859" s="1" t="str">
        <f t="shared" si="37"/>
        <v>020082</v>
      </c>
      <c r="D1859" s="1" t="str">
        <f>"112207227"</f>
        <v>112207227</v>
      </c>
      <c r="E1859" s="1">
        <v>0</v>
      </c>
      <c r="F1859" s="1">
        <v>0</v>
      </c>
      <c r="H1859" s="1">
        <v>0</v>
      </c>
    </row>
    <row r="1860" s="1" customFormat="1" spans="1:8">
      <c r="A1860" s="1" t="s">
        <v>14</v>
      </c>
      <c r="B1860" s="1" t="s">
        <v>19</v>
      </c>
      <c r="C1860" s="1" t="str">
        <f t="shared" si="37"/>
        <v>020082</v>
      </c>
      <c r="D1860" s="1" t="str">
        <f>"112207228"</f>
        <v>112207228</v>
      </c>
      <c r="E1860" s="1">
        <v>0</v>
      </c>
      <c r="F1860" s="1">
        <v>0</v>
      </c>
      <c r="H1860" s="1">
        <v>0</v>
      </c>
    </row>
    <row r="1861" s="1" customFormat="1" spans="1:8">
      <c r="A1861" s="1" t="s">
        <v>14</v>
      </c>
      <c r="B1861" s="1" t="s">
        <v>19</v>
      </c>
      <c r="C1861" s="1" t="str">
        <f t="shared" si="37"/>
        <v>020082</v>
      </c>
      <c r="D1861" s="1" t="str">
        <f>"112207229"</f>
        <v>112207229</v>
      </c>
      <c r="E1861" s="1">
        <v>62</v>
      </c>
      <c r="F1861" s="1">
        <v>61</v>
      </c>
      <c r="H1861" s="1">
        <v>61.6</v>
      </c>
    </row>
    <row r="1862" s="1" customFormat="1" spans="1:8">
      <c r="A1862" s="1" t="s">
        <v>14</v>
      </c>
      <c r="B1862" s="1" t="s">
        <v>19</v>
      </c>
      <c r="C1862" s="1" t="str">
        <f t="shared" si="37"/>
        <v>020082</v>
      </c>
      <c r="D1862" s="1" t="str">
        <f>"112207230"</f>
        <v>112207230</v>
      </c>
      <c r="E1862" s="1">
        <v>59.5</v>
      </c>
      <c r="F1862" s="1">
        <v>98</v>
      </c>
      <c r="H1862" s="1">
        <v>74.9</v>
      </c>
    </row>
    <row r="1863" s="1" customFormat="1" spans="1:8">
      <c r="A1863" s="1" t="s">
        <v>14</v>
      </c>
      <c r="B1863" s="1" t="s">
        <v>19</v>
      </c>
      <c r="C1863" s="1" t="str">
        <f t="shared" si="37"/>
        <v>020082</v>
      </c>
      <c r="D1863" s="1" t="str">
        <f>"112207301"</f>
        <v>112207301</v>
      </c>
      <c r="E1863" s="1">
        <v>0</v>
      </c>
      <c r="F1863" s="1">
        <v>0</v>
      </c>
      <c r="H1863" s="1">
        <v>0</v>
      </c>
    </row>
    <row r="1864" s="1" customFormat="1" spans="1:8">
      <c r="A1864" s="1" t="s">
        <v>14</v>
      </c>
      <c r="B1864" s="1" t="s">
        <v>19</v>
      </c>
      <c r="C1864" s="1" t="str">
        <f t="shared" si="37"/>
        <v>020082</v>
      </c>
      <c r="D1864" s="1" t="str">
        <f>"112207302"</f>
        <v>112207302</v>
      </c>
      <c r="E1864" s="1">
        <v>0</v>
      </c>
      <c r="F1864" s="1">
        <v>0</v>
      </c>
      <c r="H1864" s="1">
        <v>0</v>
      </c>
    </row>
    <row r="1865" s="1" customFormat="1" spans="1:8">
      <c r="A1865" s="1" t="s">
        <v>14</v>
      </c>
      <c r="B1865" s="1" t="s">
        <v>19</v>
      </c>
      <c r="C1865" s="1" t="str">
        <f t="shared" si="37"/>
        <v>020082</v>
      </c>
      <c r="D1865" s="1" t="str">
        <f>"112207303"</f>
        <v>112207303</v>
      </c>
      <c r="E1865" s="1">
        <v>85.5</v>
      </c>
      <c r="F1865" s="1">
        <v>88</v>
      </c>
      <c r="H1865" s="1">
        <v>86.5</v>
      </c>
    </row>
    <row r="1866" s="1" customFormat="1" spans="1:8">
      <c r="A1866" s="1" t="s">
        <v>14</v>
      </c>
      <c r="B1866" s="1" t="s">
        <v>19</v>
      </c>
      <c r="C1866" s="1" t="str">
        <f t="shared" si="37"/>
        <v>020082</v>
      </c>
      <c r="D1866" s="1" t="str">
        <f>"112207304"</f>
        <v>112207304</v>
      </c>
      <c r="E1866" s="1">
        <v>63.5</v>
      </c>
      <c r="F1866" s="1">
        <v>56</v>
      </c>
      <c r="H1866" s="1">
        <v>60.5</v>
      </c>
    </row>
    <row r="1867" s="1" customFormat="1" spans="1:8">
      <c r="A1867" s="1" t="s">
        <v>14</v>
      </c>
      <c r="B1867" s="1" t="s">
        <v>19</v>
      </c>
      <c r="C1867" s="1" t="str">
        <f t="shared" si="37"/>
        <v>020082</v>
      </c>
      <c r="D1867" s="1" t="str">
        <f>"112207305"</f>
        <v>112207305</v>
      </c>
      <c r="E1867" s="1">
        <v>70.5</v>
      </c>
      <c r="F1867" s="1">
        <v>67.5</v>
      </c>
      <c r="H1867" s="1">
        <v>69.3</v>
      </c>
    </row>
    <row r="1868" s="1" customFormat="1" spans="1:8">
      <c r="A1868" s="1" t="s">
        <v>14</v>
      </c>
      <c r="B1868" s="1" t="s">
        <v>19</v>
      </c>
      <c r="C1868" s="1" t="str">
        <f t="shared" si="37"/>
        <v>020082</v>
      </c>
      <c r="D1868" s="1" t="str">
        <f>"112207306"</f>
        <v>112207306</v>
      </c>
      <c r="E1868" s="1">
        <v>0</v>
      </c>
      <c r="F1868" s="1">
        <v>0</v>
      </c>
      <c r="H1868" s="1">
        <v>0</v>
      </c>
    </row>
    <row r="1869" s="1" customFormat="1" spans="1:8">
      <c r="A1869" s="1" t="s">
        <v>14</v>
      </c>
      <c r="B1869" s="1" t="s">
        <v>19</v>
      </c>
      <c r="C1869" s="1" t="str">
        <f t="shared" si="37"/>
        <v>020082</v>
      </c>
      <c r="D1869" s="1" t="str">
        <f>"112207307"</f>
        <v>112207307</v>
      </c>
      <c r="E1869" s="1">
        <v>0</v>
      </c>
      <c r="F1869" s="1">
        <v>0</v>
      </c>
      <c r="H1869" s="1">
        <v>0</v>
      </c>
    </row>
    <row r="1870" s="1" customFormat="1" spans="1:8">
      <c r="A1870" s="1" t="s">
        <v>14</v>
      </c>
      <c r="B1870" s="1" t="s">
        <v>19</v>
      </c>
      <c r="C1870" s="1" t="str">
        <f t="shared" si="37"/>
        <v>020082</v>
      </c>
      <c r="D1870" s="1" t="str">
        <f>"112207308"</f>
        <v>112207308</v>
      </c>
      <c r="E1870" s="1">
        <v>76</v>
      </c>
      <c r="F1870" s="1">
        <v>70.5</v>
      </c>
      <c r="H1870" s="1">
        <v>73.8</v>
      </c>
    </row>
    <row r="1871" s="1" customFormat="1" spans="1:8">
      <c r="A1871" s="1" t="s">
        <v>14</v>
      </c>
      <c r="B1871" s="1" t="s">
        <v>19</v>
      </c>
      <c r="C1871" s="1" t="str">
        <f t="shared" si="37"/>
        <v>020082</v>
      </c>
      <c r="D1871" s="1" t="str">
        <f>"112207309"</f>
        <v>112207309</v>
      </c>
      <c r="E1871" s="1">
        <v>66</v>
      </c>
      <c r="F1871" s="1">
        <v>66.5</v>
      </c>
      <c r="H1871" s="1">
        <v>66.2</v>
      </c>
    </row>
    <row r="1872" s="1" customFormat="1" spans="1:8">
      <c r="A1872" s="1" t="s">
        <v>14</v>
      </c>
      <c r="B1872" s="1" t="s">
        <v>19</v>
      </c>
      <c r="C1872" s="1" t="str">
        <f t="shared" si="37"/>
        <v>020082</v>
      </c>
      <c r="D1872" s="1" t="str">
        <f>"112207310"</f>
        <v>112207310</v>
      </c>
      <c r="E1872" s="1">
        <v>0</v>
      </c>
      <c r="F1872" s="1">
        <v>0</v>
      </c>
      <c r="H1872" s="1">
        <v>0</v>
      </c>
    </row>
    <row r="1873" s="1" customFormat="1" spans="1:8">
      <c r="A1873" s="1" t="s">
        <v>14</v>
      </c>
      <c r="B1873" s="1" t="s">
        <v>19</v>
      </c>
      <c r="C1873" s="1" t="str">
        <f t="shared" si="37"/>
        <v>020082</v>
      </c>
      <c r="D1873" s="1" t="str">
        <f>"112207311"</f>
        <v>112207311</v>
      </c>
      <c r="E1873" s="1">
        <v>81.5</v>
      </c>
      <c r="F1873" s="1">
        <v>95.5</v>
      </c>
      <c r="H1873" s="1">
        <v>87.1</v>
      </c>
    </row>
    <row r="1874" s="1" customFormat="1" spans="1:8">
      <c r="A1874" s="1" t="s">
        <v>14</v>
      </c>
      <c r="B1874" s="1" t="s">
        <v>19</v>
      </c>
      <c r="C1874" s="1" t="str">
        <f t="shared" si="37"/>
        <v>020082</v>
      </c>
      <c r="D1874" s="1" t="str">
        <f>"112207312"</f>
        <v>112207312</v>
      </c>
      <c r="E1874" s="1">
        <v>83.5</v>
      </c>
      <c r="F1874" s="1">
        <v>95</v>
      </c>
      <c r="H1874" s="1">
        <v>88.1</v>
      </c>
    </row>
    <row r="1875" s="1" customFormat="1" spans="1:8">
      <c r="A1875" s="1" t="s">
        <v>14</v>
      </c>
      <c r="B1875" s="1" t="s">
        <v>19</v>
      </c>
      <c r="C1875" s="1" t="str">
        <f t="shared" si="37"/>
        <v>020082</v>
      </c>
      <c r="D1875" s="1" t="str">
        <f>"112207313"</f>
        <v>112207313</v>
      </c>
      <c r="E1875" s="1">
        <v>71</v>
      </c>
      <c r="F1875" s="1">
        <v>83.5</v>
      </c>
      <c r="H1875" s="1">
        <v>76</v>
      </c>
    </row>
    <row r="1876" s="1" customFormat="1" spans="1:8">
      <c r="A1876" s="1" t="s">
        <v>14</v>
      </c>
      <c r="B1876" s="1" t="s">
        <v>19</v>
      </c>
      <c r="C1876" s="1" t="str">
        <f t="shared" si="37"/>
        <v>020082</v>
      </c>
      <c r="D1876" s="1" t="str">
        <f>"112207314"</f>
        <v>112207314</v>
      </c>
      <c r="E1876" s="1">
        <v>79.5</v>
      </c>
      <c r="F1876" s="1">
        <v>70.5</v>
      </c>
      <c r="H1876" s="1">
        <v>75.9</v>
      </c>
    </row>
    <row r="1877" s="1" customFormat="1" spans="1:8">
      <c r="A1877" s="1" t="s">
        <v>14</v>
      </c>
      <c r="B1877" s="1" t="s">
        <v>19</v>
      </c>
      <c r="C1877" s="1" t="str">
        <f t="shared" si="37"/>
        <v>020082</v>
      </c>
      <c r="D1877" s="1" t="str">
        <f>"112207315"</f>
        <v>112207315</v>
      </c>
      <c r="E1877" s="1">
        <v>76</v>
      </c>
      <c r="F1877" s="1">
        <v>77.5</v>
      </c>
      <c r="H1877" s="1">
        <v>76.6</v>
      </c>
    </row>
    <row r="1878" s="1" customFormat="1" spans="1:8">
      <c r="A1878" s="1" t="s">
        <v>14</v>
      </c>
      <c r="B1878" s="1" t="s">
        <v>19</v>
      </c>
      <c r="C1878" s="1" t="str">
        <f t="shared" si="37"/>
        <v>020082</v>
      </c>
      <c r="D1878" s="1" t="str">
        <f>"112207316"</f>
        <v>112207316</v>
      </c>
      <c r="E1878" s="1">
        <v>67.5</v>
      </c>
      <c r="F1878" s="1">
        <v>68.5</v>
      </c>
      <c r="H1878" s="1">
        <v>67.9</v>
      </c>
    </row>
    <row r="1879" s="1" customFormat="1" spans="1:8">
      <c r="A1879" s="1" t="s">
        <v>14</v>
      </c>
      <c r="B1879" s="1" t="s">
        <v>19</v>
      </c>
      <c r="C1879" s="1" t="str">
        <f t="shared" si="37"/>
        <v>020082</v>
      </c>
      <c r="D1879" s="1" t="str">
        <f>"112207317"</f>
        <v>112207317</v>
      </c>
      <c r="E1879" s="1">
        <v>84</v>
      </c>
      <c r="F1879" s="1">
        <v>93</v>
      </c>
      <c r="H1879" s="1">
        <v>87.6</v>
      </c>
    </row>
    <row r="1880" s="1" customFormat="1" spans="1:8">
      <c r="A1880" s="1" t="s">
        <v>14</v>
      </c>
      <c r="B1880" s="1" t="s">
        <v>19</v>
      </c>
      <c r="C1880" s="1" t="str">
        <f t="shared" si="37"/>
        <v>020082</v>
      </c>
      <c r="D1880" s="1" t="str">
        <f>"112207318"</f>
        <v>112207318</v>
      </c>
      <c r="E1880" s="1">
        <v>76.5</v>
      </c>
      <c r="F1880" s="1">
        <v>65</v>
      </c>
      <c r="H1880" s="1">
        <v>71.9</v>
      </c>
    </row>
    <row r="1881" s="1" customFormat="1" spans="1:8">
      <c r="A1881" s="1" t="s">
        <v>14</v>
      </c>
      <c r="B1881" s="1" t="s">
        <v>19</v>
      </c>
      <c r="C1881" s="1" t="str">
        <f t="shared" si="37"/>
        <v>020082</v>
      </c>
      <c r="D1881" s="1" t="str">
        <f>"112207319"</f>
        <v>112207319</v>
      </c>
      <c r="E1881" s="1">
        <v>64.5</v>
      </c>
      <c r="F1881" s="1">
        <v>80.5</v>
      </c>
      <c r="H1881" s="1">
        <v>70.9</v>
      </c>
    </row>
    <row r="1882" s="1" customFormat="1" spans="1:8">
      <c r="A1882" s="1" t="s">
        <v>14</v>
      </c>
      <c r="B1882" s="1" t="s">
        <v>19</v>
      </c>
      <c r="C1882" s="1" t="str">
        <f t="shared" ref="C1882:C1945" si="38">"020082"</f>
        <v>020082</v>
      </c>
      <c r="D1882" s="1" t="str">
        <f>"112207320"</f>
        <v>112207320</v>
      </c>
      <c r="E1882" s="1">
        <v>72.5</v>
      </c>
      <c r="F1882" s="1">
        <v>70.5</v>
      </c>
      <c r="H1882" s="1">
        <v>71.7</v>
      </c>
    </row>
    <row r="1883" s="1" customFormat="1" spans="1:8">
      <c r="A1883" s="1" t="s">
        <v>14</v>
      </c>
      <c r="B1883" s="1" t="s">
        <v>19</v>
      </c>
      <c r="C1883" s="1" t="str">
        <f t="shared" si="38"/>
        <v>020082</v>
      </c>
      <c r="D1883" s="1" t="str">
        <f>"112207321"</f>
        <v>112207321</v>
      </c>
      <c r="E1883" s="1">
        <v>0</v>
      </c>
      <c r="F1883" s="1">
        <v>0</v>
      </c>
      <c r="H1883" s="1">
        <v>0</v>
      </c>
    </row>
    <row r="1884" s="1" customFormat="1" spans="1:8">
      <c r="A1884" s="1" t="s">
        <v>14</v>
      </c>
      <c r="B1884" s="1" t="s">
        <v>19</v>
      </c>
      <c r="C1884" s="1" t="str">
        <f t="shared" si="38"/>
        <v>020082</v>
      </c>
      <c r="D1884" s="1" t="str">
        <f>"112207322"</f>
        <v>112207322</v>
      </c>
      <c r="E1884" s="1">
        <v>56.5</v>
      </c>
      <c r="F1884" s="1">
        <v>53.5</v>
      </c>
      <c r="H1884" s="1">
        <v>55.3</v>
      </c>
    </row>
    <row r="1885" s="1" customFormat="1" spans="1:8">
      <c r="A1885" s="1" t="s">
        <v>14</v>
      </c>
      <c r="B1885" s="1" t="s">
        <v>19</v>
      </c>
      <c r="C1885" s="1" t="str">
        <f t="shared" si="38"/>
        <v>020082</v>
      </c>
      <c r="D1885" s="1" t="str">
        <f>"112207323"</f>
        <v>112207323</v>
      </c>
      <c r="E1885" s="1">
        <v>84.5</v>
      </c>
      <c r="F1885" s="1">
        <v>95.5</v>
      </c>
      <c r="H1885" s="1">
        <v>88.9</v>
      </c>
    </row>
    <row r="1886" s="1" customFormat="1" spans="1:8">
      <c r="A1886" s="1" t="s">
        <v>14</v>
      </c>
      <c r="B1886" s="1" t="s">
        <v>19</v>
      </c>
      <c r="C1886" s="1" t="str">
        <f t="shared" si="38"/>
        <v>020082</v>
      </c>
      <c r="D1886" s="1" t="str">
        <f>"112207324"</f>
        <v>112207324</v>
      </c>
      <c r="E1886" s="1">
        <v>0</v>
      </c>
      <c r="F1886" s="1">
        <v>0</v>
      </c>
      <c r="H1886" s="1">
        <v>0</v>
      </c>
    </row>
    <row r="1887" s="1" customFormat="1" spans="1:8">
      <c r="A1887" s="1" t="s">
        <v>14</v>
      </c>
      <c r="B1887" s="1" t="s">
        <v>19</v>
      </c>
      <c r="C1887" s="1" t="str">
        <f t="shared" si="38"/>
        <v>020082</v>
      </c>
      <c r="D1887" s="1" t="str">
        <f>"112207325"</f>
        <v>112207325</v>
      </c>
      <c r="E1887" s="1">
        <v>52.5</v>
      </c>
      <c r="F1887" s="1">
        <v>74.5</v>
      </c>
      <c r="H1887" s="1">
        <v>61.3</v>
      </c>
    </row>
    <row r="1888" s="1" customFormat="1" spans="1:8">
      <c r="A1888" s="1" t="s">
        <v>14</v>
      </c>
      <c r="B1888" s="1" t="s">
        <v>19</v>
      </c>
      <c r="C1888" s="1" t="str">
        <f t="shared" si="38"/>
        <v>020082</v>
      </c>
      <c r="D1888" s="1" t="str">
        <f>"112207326"</f>
        <v>112207326</v>
      </c>
      <c r="E1888" s="1">
        <v>89.5</v>
      </c>
      <c r="F1888" s="1">
        <v>93</v>
      </c>
      <c r="H1888" s="1">
        <v>90.9</v>
      </c>
    </row>
    <row r="1889" s="1" customFormat="1" spans="1:8">
      <c r="A1889" s="1" t="s">
        <v>14</v>
      </c>
      <c r="B1889" s="1" t="s">
        <v>19</v>
      </c>
      <c r="C1889" s="1" t="str">
        <f t="shared" si="38"/>
        <v>020082</v>
      </c>
      <c r="D1889" s="1" t="str">
        <f>"112207327"</f>
        <v>112207327</v>
      </c>
      <c r="E1889" s="1">
        <v>73</v>
      </c>
      <c r="F1889" s="1">
        <v>78</v>
      </c>
      <c r="H1889" s="1">
        <v>75</v>
      </c>
    </row>
    <row r="1890" s="1" customFormat="1" spans="1:8">
      <c r="A1890" s="1" t="s">
        <v>14</v>
      </c>
      <c r="B1890" s="1" t="s">
        <v>19</v>
      </c>
      <c r="C1890" s="1" t="str">
        <f t="shared" si="38"/>
        <v>020082</v>
      </c>
      <c r="D1890" s="1" t="str">
        <f>"112207328"</f>
        <v>112207328</v>
      </c>
      <c r="E1890" s="1">
        <v>63</v>
      </c>
      <c r="F1890" s="1">
        <v>66.5</v>
      </c>
      <c r="H1890" s="1">
        <v>64.4</v>
      </c>
    </row>
    <row r="1891" s="1" customFormat="1" spans="1:8">
      <c r="A1891" s="1" t="s">
        <v>14</v>
      </c>
      <c r="B1891" s="1" t="s">
        <v>19</v>
      </c>
      <c r="C1891" s="1" t="str">
        <f t="shared" si="38"/>
        <v>020082</v>
      </c>
      <c r="D1891" s="1" t="str">
        <f>"112207329"</f>
        <v>112207329</v>
      </c>
      <c r="E1891" s="1">
        <v>68</v>
      </c>
      <c r="F1891" s="1">
        <v>50.5</v>
      </c>
      <c r="H1891" s="1">
        <v>61</v>
      </c>
    </row>
    <row r="1892" s="1" customFormat="1" spans="1:8">
      <c r="A1892" s="1" t="s">
        <v>14</v>
      </c>
      <c r="B1892" s="1" t="s">
        <v>19</v>
      </c>
      <c r="C1892" s="1" t="str">
        <f t="shared" si="38"/>
        <v>020082</v>
      </c>
      <c r="D1892" s="1" t="str">
        <f>"112207330"</f>
        <v>112207330</v>
      </c>
      <c r="E1892" s="1">
        <v>0</v>
      </c>
      <c r="F1892" s="1">
        <v>0</v>
      </c>
      <c r="H1892" s="1">
        <v>0</v>
      </c>
    </row>
    <row r="1893" s="1" customFormat="1" spans="1:8">
      <c r="A1893" s="1" t="s">
        <v>14</v>
      </c>
      <c r="B1893" s="1" t="s">
        <v>19</v>
      </c>
      <c r="C1893" s="1" t="str">
        <f t="shared" si="38"/>
        <v>020082</v>
      </c>
      <c r="D1893" s="1" t="str">
        <f>"112207401"</f>
        <v>112207401</v>
      </c>
      <c r="E1893" s="1">
        <v>87</v>
      </c>
      <c r="F1893" s="1">
        <v>90</v>
      </c>
      <c r="H1893" s="1">
        <v>88.2</v>
      </c>
    </row>
    <row r="1894" s="1" customFormat="1" spans="1:8">
      <c r="A1894" s="1" t="s">
        <v>14</v>
      </c>
      <c r="B1894" s="1" t="s">
        <v>19</v>
      </c>
      <c r="C1894" s="1" t="str">
        <f t="shared" si="38"/>
        <v>020082</v>
      </c>
      <c r="D1894" s="1" t="str">
        <f>"112207402"</f>
        <v>112207402</v>
      </c>
      <c r="E1894" s="1">
        <v>74.5</v>
      </c>
      <c r="F1894" s="1">
        <v>53.5</v>
      </c>
      <c r="H1894" s="1">
        <v>66.1</v>
      </c>
    </row>
    <row r="1895" s="1" customFormat="1" spans="1:8">
      <c r="A1895" s="1" t="s">
        <v>14</v>
      </c>
      <c r="B1895" s="1" t="s">
        <v>19</v>
      </c>
      <c r="C1895" s="1" t="str">
        <f t="shared" si="38"/>
        <v>020082</v>
      </c>
      <c r="D1895" s="1" t="str">
        <f>"112207403"</f>
        <v>112207403</v>
      </c>
      <c r="E1895" s="1">
        <v>0</v>
      </c>
      <c r="F1895" s="1">
        <v>0</v>
      </c>
      <c r="H1895" s="1">
        <v>0</v>
      </c>
    </row>
    <row r="1896" s="1" customFormat="1" spans="1:8">
      <c r="A1896" s="1" t="s">
        <v>14</v>
      </c>
      <c r="B1896" s="1" t="s">
        <v>19</v>
      </c>
      <c r="C1896" s="1" t="str">
        <f t="shared" si="38"/>
        <v>020082</v>
      </c>
      <c r="D1896" s="1" t="str">
        <f>"112207404"</f>
        <v>112207404</v>
      </c>
      <c r="E1896" s="1">
        <v>70</v>
      </c>
      <c r="F1896" s="1">
        <v>66.5</v>
      </c>
      <c r="H1896" s="1">
        <v>68.6</v>
      </c>
    </row>
    <row r="1897" s="1" customFormat="1" spans="1:8">
      <c r="A1897" s="1" t="s">
        <v>14</v>
      </c>
      <c r="B1897" s="1" t="s">
        <v>19</v>
      </c>
      <c r="C1897" s="1" t="str">
        <f t="shared" si="38"/>
        <v>020082</v>
      </c>
      <c r="D1897" s="1" t="str">
        <f>"112207405"</f>
        <v>112207405</v>
      </c>
      <c r="E1897" s="1">
        <v>56.5</v>
      </c>
      <c r="F1897" s="1">
        <v>72</v>
      </c>
      <c r="H1897" s="1">
        <v>62.7</v>
      </c>
    </row>
    <row r="1898" s="1" customFormat="1" spans="1:8">
      <c r="A1898" s="1" t="s">
        <v>14</v>
      </c>
      <c r="B1898" s="1" t="s">
        <v>19</v>
      </c>
      <c r="C1898" s="1" t="str">
        <f t="shared" si="38"/>
        <v>020082</v>
      </c>
      <c r="D1898" s="1" t="str">
        <f>"112207406"</f>
        <v>112207406</v>
      </c>
      <c r="E1898" s="1">
        <v>77.5</v>
      </c>
      <c r="F1898" s="1">
        <v>86</v>
      </c>
      <c r="H1898" s="1">
        <v>80.9</v>
      </c>
    </row>
    <row r="1899" s="1" customFormat="1" spans="1:8">
      <c r="A1899" s="1" t="s">
        <v>14</v>
      </c>
      <c r="B1899" s="1" t="s">
        <v>19</v>
      </c>
      <c r="C1899" s="1" t="str">
        <f t="shared" si="38"/>
        <v>020082</v>
      </c>
      <c r="D1899" s="1" t="str">
        <f>"112207407"</f>
        <v>112207407</v>
      </c>
      <c r="E1899" s="1">
        <v>0</v>
      </c>
      <c r="F1899" s="1">
        <v>0</v>
      </c>
      <c r="H1899" s="1">
        <v>0</v>
      </c>
    </row>
    <row r="1900" s="1" customFormat="1" spans="1:8">
      <c r="A1900" s="1" t="s">
        <v>14</v>
      </c>
      <c r="B1900" s="1" t="s">
        <v>19</v>
      </c>
      <c r="C1900" s="1" t="str">
        <f t="shared" si="38"/>
        <v>020082</v>
      </c>
      <c r="D1900" s="1" t="str">
        <f>"112207408"</f>
        <v>112207408</v>
      </c>
      <c r="E1900" s="1">
        <v>89</v>
      </c>
      <c r="F1900" s="1">
        <v>62.5</v>
      </c>
      <c r="H1900" s="1">
        <v>78.4</v>
      </c>
    </row>
    <row r="1901" s="1" customFormat="1" spans="1:8">
      <c r="A1901" s="1" t="s">
        <v>14</v>
      </c>
      <c r="B1901" s="1" t="s">
        <v>19</v>
      </c>
      <c r="C1901" s="1" t="str">
        <f t="shared" si="38"/>
        <v>020082</v>
      </c>
      <c r="D1901" s="1" t="str">
        <f>"112207409"</f>
        <v>112207409</v>
      </c>
      <c r="E1901" s="1">
        <v>67</v>
      </c>
      <c r="F1901" s="1">
        <v>67</v>
      </c>
      <c r="H1901" s="1">
        <v>67</v>
      </c>
    </row>
    <row r="1902" s="1" customFormat="1" spans="1:8">
      <c r="A1902" s="1" t="s">
        <v>14</v>
      </c>
      <c r="B1902" s="1" t="s">
        <v>19</v>
      </c>
      <c r="C1902" s="1" t="str">
        <f t="shared" si="38"/>
        <v>020082</v>
      </c>
      <c r="D1902" s="1" t="str">
        <f>"112207410"</f>
        <v>112207410</v>
      </c>
      <c r="E1902" s="1">
        <v>94.5</v>
      </c>
      <c r="F1902" s="1">
        <v>99</v>
      </c>
      <c r="H1902" s="1">
        <v>96.3</v>
      </c>
    </row>
    <row r="1903" s="1" customFormat="1" spans="1:8">
      <c r="A1903" s="1" t="s">
        <v>14</v>
      </c>
      <c r="B1903" s="1" t="s">
        <v>19</v>
      </c>
      <c r="C1903" s="1" t="str">
        <f t="shared" si="38"/>
        <v>020082</v>
      </c>
      <c r="D1903" s="1" t="str">
        <f>"112207411"</f>
        <v>112207411</v>
      </c>
      <c r="E1903" s="1">
        <v>0</v>
      </c>
      <c r="F1903" s="1">
        <v>0</v>
      </c>
      <c r="H1903" s="1">
        <v>0</v>
      </c>
    </row>
    <row r="1904" s="1" customFormat="1" spans="1:8">
      <c r="A1904" s="1" t="s">
        <v>14</v>
      </c>
      <c r="B1904" s="1" t="s">
        <v>19</v>
      </c>
      <c r="C1904" s="1" t="str">
        <f t="shared" si="38"/>
        <v>020082</v>
      </c>
      <c r="D1904" s="1" t="str">
        <f>"112207412"</f>
        <v>112207412</v>
      </c>
      <c r="E1904" s="1">
        <v>0</v>
      </c>
      <c r="F1904" s="1">
        <v>0</v>
      </c>
      <c r="H1904" s="1">
        <v>0</v>
      </c>
    </row>
    <row r="1905" s="1" customFormat="1" spans="1:8">
      <c r="A1905" s="1" t="s">
        <v>14</v>
      </c>
      <c r="B1905" s="1" t="s">
        <v>19</v>
      </c>
      <c r="C1905" s="1" t="str">
        <f t="shared" si="38"/>
        <v>020082</v>
      </c>
      <c r="D1905" s="1" t="str">
        <f>"112207413"</f>
        <v>112207413</v>
      </c>
      <c r="E1905" s="1">
        <v>0</v>
      </c>
      <c r="F1905" s="1">
        <v>0</v>
      </c>
      <c r="H1905" s="1">
        <v>0</v>
      </c>
    </row>
    <row r="1906" s="1" customFormat="1" spans="1:8">
      <c r="A1906" s="1" t="s">
        <v>14</v>
      </c>
      <c r="B1906" s="1" t="s">
        <v>19</v>
      </c>
      <c r="C1906" s="1" t="str">
        <f t="shared" si="38"/>
        <v>020082</v>
      </c>
      <c r="D1906" s="1" t="str">
        <f>"112207414"</f>
        <v>112207414</v>
      </c>
      <c r="E1906" s="1">
        <v>0</v>
      </c>
      <c r="F1906" s="1">
        <v>0</v>
      </c>
      <c r="H1906" s="1">
        <v>0</v>
      </c>
    </row>
    <row r="1907" s="1" customFormat="1" spans="1:8">
      <c r="A1907" s="1" t="s">
        <v>14</v>
      </c>
      <c r="B1907" s="1" t="s">
        <v>19</v>
      </c>
      <c r="C1907" s="1" t="str">
        <f t="shared" si="38"/>
        <v>020082</v>
      </c>
      <c r="D1907" s="1" t="str">
        <f>"112207415"</f>
        <v>112207415</v>
      </c>
      <c r="E1907" s="1">
        <v>73</v>
      </c>
      <c r="F1907" s="1">
        <v>64</v>
      </c>
      <c r="H1907" s="1">
        <v>69.4</v>
      </c>
    </row>
    <row r="1908" s="1" customFormat="1" spans="1:8">
      <c r="A1908" s="1" t="s">
        <v>14</v>
      </c>
      <c r="B1908" s="1" t="s">
        <v>19</v>
      </c>
      <c r="C1908" s="1" t="str">
        <f t="shared" si="38"/>
        <v>020082</v>
      </c>
      <c r="D1908" s="1" t="str">
        <f>"112207416"</f>
        <v>112207416</v>
      </c>
      <c r="E1908" s="1">
        <v>88</v>
      </c>
      <c r="F1908" s="1">
        <v>78.5</v>
      </c>
      <c r="H1908" s="1">
        <v>84.2</v>
      </c>
    </row>
    <row r="1909" s="1" customFormat="1" spans="1:8">
      <c r="A1909" s="1" t="s">
        <v>14</v>
      </c>
      <c r="B1909" s="1" t="s">
        <v>19</v>
      </c>
      <c r="C1909" s="1" t="str">
        <f t="shared" si="38"/>
        <v>020082</v>
      </c>
      <c r="D1909" s="1" t="str">
        <f>"112207417"</f>
        <v>112207417</v>
      </c>
      <c r="E1909" s="1">
        <v>71.5</v>
      </c>
      <c r="F1909" s="1">
        <v>81</v>
      </c>
      <c r="H1909" s="1">
        <v>75.3</v>
      </c>
    </row>
    <row r="1910" s="1" customFormat="1" spans="1:8">
      <c r="A1910" s="1" t="s">
        <v>14</v>
      </c>
      <c r="B1910" s="1" t="s">
        <v>19</v>
      </c>
      <c r="C1910" s="1" t="str">
        <f t="shared" si="38"/>
        <v>020082</v>
      </c>
      <c r="D1910" s="1" t="str">
        <f>"112207418"</f>
        <v>112207418</v>
      </c>
      <c r="E1910" s="1">
        <v>87.5</v>
      </c>
      <c r="F1910" s="1">
        <v>68</v>
      </c>
      <c r="H1910" s="1">
        <v>79.7</v>
      </c>
    </row>
    <row r="1911" s="1" customFormat="1" spans="1:8">
      <c r="A1911" s="1" t="s">
        <v>14</v>
      </c>
      <c r="B1911" s="1" t="s">
        <v>19</v>
      </c>
      <c r="C1911" s="1" t="str">
        <f t="shared" si="38"/>
        <v>020082</v>
      </c>
      <c r="D1911" s="1" t="str">
        <f>"112207419"</f>
        <v>112207419</v>
      </c>
      <c r="E1911" s="1">
        <v>70.5</v>
      </c>
      <c r="F1911" s="1">
        <v>58</v>
      </c>
      <c r="H1911" s="1">
        <v>65.5</v>
      </c>
    </row>
    <row r="1912" s="1" customFormat="1" spans="1:8">
      <c r="A1912" s="1" t="s">
        <v>14</v>
      </c>
      <c r="B1912" s="1" t="s">
        <v>19</v>
      </c>
      <c r="C1912" s="1" t="str">
        <f t="shared" si="38"/>
        <v>020082</v>
      </c>
      <c r="D1912" s="1" t="str">
        <f>"112207420"</f>
        <v>112207420</v>
      </c>
      <c r="E1912" s="1">
        <v>70</v>
      </c>
      <c r="F1912" s="1">
        <v>90</v>
      </c>
      <c r="H1912" s="1">
        <v>78</v>
      </c>
    </row>
    <row r="1913" s="1" customFormat="1" spans="1:8">
      <c r="A1913" s="1" t="s">
        <v>14</v>
      </c>
      <c r="B1913" s="1" t="s">
        <v>19</v>
      </c>
      <c r="C1913" s="1" t="str">
        <f t="shared" si="38"/>
        <v>020082</v>
      </c>
      <c r="D1913" s="1" t="str">
        <f>"112207421"</f>
        <v>112207421</v>
      </c>
      <c r="E1913" s="1">
        <v>0</v>
      </c>
      <c r="F1913" s="1">
        <v>0</v>
      </c>
      <c r="H1913" s="1">
        <v>0</v>
      </c>
    </row>
    <row r="1914" s="1" customFormat="1" spans="1:8">
      <c r="A1914" s="1" t="s">
        <v>14</v>
      </c>
      <c r="B1914" s="1" t="s">
        <v>19</v>
      </c>
      <c r="C1914" s="1" t="str">
        <f t="shared" si="38"/>
        <v>020082</v>
      </c>
      <c r="D1914" s="1" t="str">
        <f>"112207422"</f>
        <v>112207422</v>
      </c>
      <c r="E1914" s="1">
        <v>57.5</v>
      </c>
      <c r="F1914" s="1">
        <v>65.5</v>
      </c>
      <c r="H1914" s="1">
        <v>60.7</v>
      </c>
    </row>
    <row r="1915" s="1" customFormat="1" spans="1:8">
      <c r="A1915" s="1" t="s">
        <v>14</v>
      </c>
      <c r="B1915" s="1" t="s">
        <v>19</v>
      </c>
      <c r="C1915" s="1" t="str">
        <f t="shared" si="38"/>
        <v>020082</v>
      </c>
      <c r="D1915" s="1" t="str">
        <f>"112207423"</f>
        <v>112207423</v>
      </c>
      <c r="E1915" s="1">
        <v>68</v>
      </c>
      <c r="F1915" s="1">
        <v>68.5</v>
      </c>
      <c r="H1915" s="1">
        <v>68.2</v>
      </c>
    </row>
    <row r="1916" s="1" customFormat="1" spans="1:8">
      <c r="A1916" s="1" t="s">
        <v>14</v>
      </c>
      <c r="B1916" s="1" t="s">
        <v>19</v>
      </c>
      <c r="C1916" s="1" t="str">
        <f t="shared" si="38"/>
        <v>020082</v>
      </c>
      <c r="D1916" s="1" t="str">
        <f>"112207424"</f>
        <v>112207424</v>
      </c>
      <c r="E1916" s="1">
        <v>89.5</v>
      </c>
      <c r="F1916" s="1">
        <v>98</v>
      </c>
      <c r="H1916" s="1">
        <v>92.9</v>
      </c>
    </row>
    <row r="1917" s="1" customFormat="1" spans="1:8">
      <c r="A1917" s="1" t="s">
        <v>14</v>
      </c>
      <c r="B1917" s="1" t="s">
        <v>19</v>
      </c>
      <c r="C1917" s="1" t="str">
        <f t="shared" si="38"/>
        <v>020082</v>
      </c>
      <c r="D1917" s="1" t="str">
        <f>"112207425"</f>
        <v>112207425</v>
      </c>
      <c r="E1917" s="1">
        <v>93</v>
      </c>
      <c r="F1917" s="1">
        <v>98.5</v>
      </c>
      <c r="H1917" s="1">
        <v>95.2</v>
      </c>
    </row>
    <row r="1918" s="1" customFormat="1" spans="1:8">
      <c r="A1918" s="1" t="s">
        <v>14</v>
      </c>
      <c r="B1918" s="1" t="s">
        <v>19</v>
      </c>
      <c r="C1918" s="1" t="str">
        <f t="shared" si="38"/>
        <v>020082</v>
      </c>
      <c r="D1918" s="1" t="str">
        <f>"112207426"</f>
        <v>112207426</v>
      </c>
      <c r="E1918" s="1">
        <v>53</v>
      </c>
      <c r="F1918" s="1">
        <v>0</v>
      </c>
      <c r="H1918" s="1">
        <v>31.8</v>
      </c>
    </row>
    <row r="1919" s="1" customFormat="1" spans="1:8">
      <c r="A1919" s="1" t="s">
        <v>14</v>
      </c>
      <c r="B1919" s="1" t="s">
        <v>19</v>
      </c>
      <c r="C1919" s="1" t="str">
        <f t="shared" si="38"/>
        <v>020082</v>
      </c>
      <c r="D1919" s="1" t="str">
        <f>"112207427"</f>
        <v>112207427</v>
      </c>
      <c r="E1919" s="1">
        <v>59</v>
      </c>
      <c r="F1919" s="1">
        <v>55.5</v>
      </c>
      <c r="H1919" s="1">
        <v>57.6</v>
      </c>
    </row>
    <row r="1920" s="1" customFormat="1" spans="1:8">
      <c r="A1920" s="1" t="s">
        <v>14</v>
      </c>
      <c r="B1920" s="1" t="s">
        <v>19</v>
      </c>
      <c r="C1920" s="1" t="str">
        <f t="shared" si="38"/>
        <v>020082</v>
      </c>
      <c r="D1920" s="1" t="str">
        <f>"112207428"</f>
        <v>112207428</v>
      </c>
      <c r="E1920" s="1">
        <v>82</v>
      </c>
      <c r="F1920" s="1">
        <v>80</v>
      </c>
      <c r="H1920" s="1">
        <v>81.2</v>
      </c>
    </row>
    <row r="1921" s="1" customFormat="1" spans="1:8">
      <c r="A1921" s="1" t="s">
        <v>14</v>
      </c>
      <c r="B1921" s="1" t="s">
        <v>19</v>
      </c>
      <c r="C1921" s="1" t="str">
        <f t="shared" si="38"/>
        <v>020082</v>
      </c>
      <c r="D1921" s="1" t="str">
        <f>"112207429"</f>
        <v>112207429</v>
      </c>
      <c r="E1921" s="1">
        <v>78.5</v>
      </c>
      <c r="F1921" s="1">
        <v>95</v>
      </c>
      <c r="H1921" s="1">
        <v>85.1</v>
      </c>
    </row>
    <row r="1922" s="1" customFormat="1" spans="1:8">
      <c r="A1922" s="1" t="s">
        <v>14</v>
      </c>
      <c r="B1922" s="1" t="s">
        <v>19</v>
      </c>
      <c r="C1922" s="1" t="str">
        <f t="shared" si="38"/>
        <v>020082</v>
      </c>
      <c r="D1922" s="1" t="str">
        <f>"112207430"</f>
        <v>112207430</v>
      </c>
      <c r="E1922" s="1">
        <v>71.5</v>
      </c>
      <c r="F1922" s="1">
        <v>66.5</v>
      </c>
      <c r="G1922" s="1">
        <v>2</v>
      </c>
      <c r="H1922" s="1">
        <v>71.5</v>
      </c>
    </row>
    <row r="1923" s="1" customFormat="1" spans="1:8">
      <c r="A1923" s="1" t="s">
        <v>14</v>
      </c>
      <c r="B1923" s="1" t="s">
        <v>19</v>
      </c>
      <c r="C1923" s="1" t="str">
        <f t="shared" si="38"/>
        <v>020082</v>
      </c>
      <c r="D1923" s="1" t="str">
        <f>"112207501"</f>
        <v>112207501</v>
      </c>
      <c r="E1923" s="1">
        <v>0</v>
      </c>
      <c r="F1923" s="1">
        <v>0</v>
      </c>
      <c r="H1923" s="1">
        <v>0</v>
      </c>
    </row>
    <row r="1924" s="1" customFormat="1" spans="1:8">
      <c r="A1924" s="1" t="s">
        <v>14</v>
      </c>
      <c r="B1924" s="1" t="s">
        <v>19</v>
      </c>
      <c r="C1924" s="1" t="str">
        <f t="shared" si="38"/>
        <v>020082</v>
      </c>
      <c r="D1924" s="1" t="str">
        <f>"112207502"</f>
        <v>112207502</v>
      </c>
      <c r="E1924" s="1">
        <v>67.5</v>
      </c>
      <c r="F1924" s="1">
        <v>0</v>
      </c>
      <c r="H1924" s="1">
        <v>40.5</v>
      </c>
    </row>
    <row r="1925" s="1" customFormat="1" spans="1:8">
      <c r="A1925" s="1" t="s">
        <v>14</v>
      </c>
      <c r="B1925" s="1" t="s">
        <v>19</v>
      </c>
      <c r="C1925" s="1" t="str">
        <f t="shared" si="38"/>
        <v>020082</v>
      </c>
      <c r="D1925" s="1" t="str">
        <f>"112207503"</f>
        <v>112207503</v>
      </c>
      <c r="E1925" s="1">
        <v>64.5</v>
      </c>
      <c r="F1925" s="1">
        <v>96</v>
      </c>
      <c r="H1925" s="1">
        <v>77.1</v>
      </c>
    </row>
    <row r="1926" s="1" customFormat="1" spans="1:8">
      <c r="A1926" s="1" t="s">
        <v>14</v>
      </c>
      <c r="B1926" s="1" t="s">
        <v>19</v>
      </c>
      <c r="C1926" s="1" t="str">
        <f t="shared" si="38"/>
        <v>020082</v>
      </c>
      <c r="D1926" s="1" t="str">
        <f>"112207504"</f>
        <v>112207504</v>
      </c>
      <c r="E1926" s="1">
        <v>71.5</v>
      </c>
      <c r="F1926" s="1">
        <v>70.5</v>
      </c>
      <c r="H1926" s="1">
        <v>71.1</v>
      </c>
    </row>
    <row r="1927" s="1" customFormat="1" spans="1:8">
      <c r="A1927" s="1" t="s">
        <v>14</v>
      </c>
      <c r="B1927" s="1" t="s">
        <v>19</v>
      </c>
      <c r="C1927" s="1" t="str">
        <f t="shared" si="38"/>
        <v>020082</v>
      </c>
      <c r="D1927" s="1" t="str">
        <f>"112207505"</f>
        <v>112207505</v>
      </c>
      <c r="E1927" s="1">
        <v>50</v>
      </c>
      <c r="F1927" s="1">
        <v>52.5</v>
      </c>
      <c r="H1927" s="1">
        <v>51</v>
      </c>
    </row>
    <row r="1928" s="1" customFormat="1" spans="1:8">
      <c r="A1928" s="1" t="s">
        <v>14</v>
      </c>
      <c r="B1928" s="1" t="s">
        <v>19</v>
      </c>
      <c r="C1928" s="1" t="str">
        <f t="shared" si="38"/>
        <v>020082</v>
      </c>
      <c r="D1928" s="1" t="str">
        <f>"112207506"</f>
        <v>112207506</v>
      </c>
      <c r="E1928" s="1">
        <v>66</v>
      </c>
      <c r="F1928" s="1">
        <v>83.5</v>
      </c>
      <c r="H1928" s="1">
        <v>73</v>
      </c>
    </row>
    <row r="1929" s="1" customFormat="1" spans="1:8">
      <c r="A1929" s="1" t="s">
        <v>14</v>
      </c>
      <c r="B1929" s="1" t="s">
        <v>19</v>
      </c>
      <c r="C1929" s="1" t="str">
        <f t="shared" si="38"/>
        <v>020082</v>
      </c>
      <c r="D1929" s="1" t="str">
        <f>"112207507"</f>
        <v>112207507</v>
      </c>
      <c r="E1929" s="1">
        <v>49.5</v>
      </c>
      <c r="F1929" s="1">
        <v>47</v>
      </c>
      <c r="H1929" s="1">
        <v>48.5</v>
      </c>
    </row>
    <row r="1930" s="1" customFormat="1" spans="1:8">
      <c r="A1930" s="1" t="s">
        <v>14</v>
      </c>
      <c r="B1930" s="1" t="s">
        <v>19</v>
      </c>
      <c r="C1930" s="1" t="str">
        <f t="shared" si="38"/>
        <v>020082</v>
      </c>
      <c r="D1930" s="1" t="str">
        <f>"112207508"</f>
        <v>112207508</v>
      </c>
      <c r="E1930" s="1">
        <v>82</v>
      </c>
      <c r="F1930" s="1">
        <v>85.5</v>
      </c>
      <c r="H1930" s="1">
        <v>83.4</v>
      </c>
    </row>
    <row r="1931" s="1" customFormat="1" spans="1:8">
      <c r="A1931" s="1" t="s">
        <v>14</v>
      </c>
      <c r="B1931" s="1" t="s">
        <v>19</v>
      </c>
      <c r="C1931" s="1" t="str">
        <f t="shared" si="38"/>
        <v>020082</v>
      </c>
      <c r="D1931" s="1" t="str">
        <f>"112207509"</f>
        <v>112207509</v>
      </c>
      <c r="E1931" s="1">
        <v>73</v>
      </c>
      <c r="F1931" s="1">
        <v>76</v>
      </c>
      <c r="H1931" s="1">
        <v>74.2</v>
      </c>
    </row>
    <row r="1932" s="1" customFormat="1" spans="1:8">
      <c r="A1932" s="1" t="s">
        <v>14</v>
      </c>
      <c r="B1932" s="1" t="s">
        <v>19</v>
      </c>
      <c r="C1932" s="1" t="str">
        <f t="shared" si="38"/>
        <v>020082</v>
      </c>
      <c r="D1932" s="1" t="str">
        <f>"112207510"</f>
        <v>112207510</v>
      </c>
      <c r="E1932" s="1">
        <v>84</v>
      </c>
      <c r="F1932" s="1">
        <v>64</v>
      </c>
      <c r="H1932" s="1">
        <v>76</v>
      </c>
    </row>
    <row r="1933" s="1" customFormat="1" spans="1:8">
      <c r="A1933" s="1" t="s">
        <v>14</v>
      </c>
      <c r="B1933" s="1" t="s">
        <v>19</v>
      </c>
      <c r="C1933" s="1" t="str">
        <f t="shared" si="38"/>
        <v>020082</v>
      </c>
      <c r="D1933" s="1" t="str">
        <f>"112207511"</f>
        <v>112207511</v>
      </c>
      <c r="E1933" s="1">
        <v>73.5</v>
      </c>
      <c r="F1933" s="1">
        <v>82</v>
      </c>
      <c r="H1933" s="1">
        <v>76.9</v>
      </c>
    </row>
    <row r="1934" s="1" customFormat="1" spans="1:8">
      <c r="A1934" s="1" t="s">
        <v>14</v>
      </c>
      <c r="B1934" s="1" t="s">
        <v>19</v>
      </c>
      <c r="C1934" s="1" t="str">
        <f t="shared" si="38"/>
        <v>020082</v>
      </c>
      <c r="D1934" s="1" t="str">
        <f>"112207512"</f>
        <v>112207512</v>
      </c>
      <c r="E1934" s="1">
        <v>81</v>
      </c>
      <c r="F1934" s="1">
        <v>72.5</v>
      </c>
      <c r="H1934" s="1">
        <v>77.6</v>
      </c>
    </row>
    <row r="1935" s="1" customFormat="1" spans="1:8">
      <c r="A1935" s="1" t="s">
        <v>14</v>
      </c>
      <c r="B1935" s="1" t="s">
        <v>19</v>
      </c>
      <c r="C1935" s="1" t="str">
        <f t="shared" si="38"/>
        <v>020082</v>
      </c>
      <c r="D1935" s="1" t="str">
        <f>"112207513"</f>
        <v>112207513</v>
      </c>
      <c r="E1935" s="1">
        <v>86</v>
      </c>
      <c r="F1935" s="1">
        <v>92.5</v>
      </c>
      <c r="H1935" s="1">
        <v>88.6</v>
      </c>
    </row>
    <row r="1936" s="1" customFormat="1" spans="1:8">
      <c r="A1936" s="1" t="s">
        <v>14</v>
      </c>
      <c r="B1936" s="1" t="s">
        <v>19</v>
      </c>
      <c r="C1936" s="1" t="str">
        <f t="shared" si="38"/>
        <v>020082</v>
      </c>
      <c r="D1936" s="1" t="str">
        <f>"112207514"</f>
        <v>112207514</v>
      </c>
      <c r="E1936" s="1">
        <v>68</v>
      </c>
      <c r="F1936" s="1">
        <v>60.5</v>
      </c>
      <c r="H1936" s="1">
        <v>65</v>
      </c>
    </row>
    <row r="1937" s="1" customFormat="1" spans="1:8">
      <c r="A1937" s="1" t="s">
        <v>14</v>
      </c>
      <c r="B1937" s="1" t="s">
        <v>19</v>
      </c>
      <c r="C1937" s="1" t="str">
        <f t="shared" si="38"/>
        <v>020082</v>
      </c>
      <c r="D1937" s="1" t="str">
        <f>"112207515"</f>
        <v>112207515</v>
      </c>
      <c r="E1937" s="1">
        <v>70.5</v>
      </c>
      <c r="F1937" s="1">
        <v>72</v>
      </c>
      <c r="H1937" s="1">
        <v>71.1</v>
      </c>
    </row>
    <row r="1938" s="1" customFormat="1" spans="1:8">
      <c r="A1938" s="1" t="s">
        <v>14</v>
      </c>
      <c r="B1938" s="1" t="s">
        <v>19</v>
      </c>
      <c r="C1938" s="1" t="str">
        <f t="shared" si="38"/>
        <v>020082</v>
      </c>
      <c r="D1938" s="1" t="str">
        <f>"112207516"</f>
        <v>112207516</v>
      </c>
      <c r="E1938" s="1">
        <v>55.5</v>
      </c>
      <c r="F1938" s="1">
        <v>0</v>
      </c>
      <c r="H1938" s="1">
        <v>33.3</v>
      </c>
    </row>
    <row r="1939" s="1" customFormat="1" spans="1:8">
      <c r="A1939" s="1" t="s">
        <v>14</v>
      </c>
      <c r="B1939" s="1" t="s">
        <v>19</v>
      </c>
      <c r="C1939" s="1" t="str">
        <f t="shared" si="38"/>
        <v>020082</v>
      </c>
      <c r="D1939" s="1" t="str">
        <f>"112207517"</f>
        <v>112207517</v>
      </c>
      <c r="E1939" s="1">
        <v>76</v>
      </c>
      <c r="F1939" s="1">
        <v>70.5</v>
      </c>
      <c r="H1939" s="1">
        <v>73.8</v>
      </c>
    </row>
    <row r="1940" s="1" customFormat="1" spans="1:8">
      <c r="A1940" s="1" t="s">
        <v>14</v>
      </c>
      <c r="B1940" s="1" t="s">
        <v>19</v>
      </c>
      <c r="C1940" s="1" t="str">
        <f t="shared" si="38"/>
        <v>020082</v>
      </c>
      <c r="D1940" s="1" t="str">
        <f>"112207518"</f>
        <v>112207518</v>
      </c>
      <c r="E1940" s="1">
        <v>82</v>
      </c>
      <c r="F1940" s="1">
        <v>99</v>
      </c>
      <c r="H1940" s="1">
        <v>88.8</v>
      </c>
    </row>
    <row r="1941" s="1" customFormat="1" spans="1:8">
      <c r="A1941" s="1" t="s">
        <v>14</v>
      </c>
      <c r="B1941" s="1" t="s">
        <v>19</v>
      </c>
      <c r="C1941" s="1" t="str">
        <f t="shared" si="38"/>
        <v>020082</v>
      </c>
      <c r="D1941" s="1" t="str">
        <f>"112207519"</f>
        <v>112207519</v>
      </c>
      <c r="E1941" s="1">
        <v>60</v>
      </c>
      <c r="F1941" s="1">
        <v>60.5</v>
      </c>
      <c r="H1941" s="1">
        <v>60.2</v>
      </c>
    </row>
    <row r="1942" s="1" customFormat="1" spans="1:8">
      <c r="A1942" s="1" t="s">
        <v>14</v>
      </c>
      <c r="B1942" s="1" t="s">
        <v>19</v>
      </c>
      <c r="C1942" s="1" t="str">
        <f t="shared" si="38"/>
        <v>020082</v>
      </c>
      <c r="D1942" s="1" t="str">
        <f>"112207520"</f>
        <v>112207520</v>
      </c>
      <c r="E1942" s="1">
        <v>93</v>
      </c>
      <c r="F1942" s="1">
        <v>101</v>
      </c>
      <c r="H1942" s="1">
        <v>96.2</v>
      </c>
    </row>
    <row r="1943" s="1" customFormat="1" spans="1:8">
      <c r="A1943" s="1" t="s">
        <v>14</v>
      </c>
      <c r="B1943" s="1" t="s">
        <v>19</v>
      </c>
      <c r="C1943" s="1" t="str">
        <f t="shared" si="38"/>
        <v>020082</v>
      </c>
      <c r="D1943" s="1" t="str">
        <f>"112207521"</f>
        <v>112207521</v>
      </c>
      <c r="E1943" s="1">
        <v>78</v>
      </c>
      <c r="F1943" s="1">
        <v>64</v>
      </c>
      <c r="H1943" s="1">
        <v>72.4</v>
      </c>
    </row>
    <row r="1944" s="1" customFormat="1" spans="1:8">
      <c r="A1944" s="1" t="s">
        <v>14</v>
      </c>
      <c r="B1944" s="1" t="s">
        <v>19</v>
      </c>
      <c r="C1944" s="1" t="str">
        <f t="shared" si="38"/>
        <v>020082</v>
      </c>
      <c r="D1944" s="1" t="str">
        <f>"112207522"</f>
        <v>112207522</v>
      </c>
      <c r="E1944" s="1">
        <v>70.5</v>
      </c>
      <c r="F1944" s="1">
        <v>76</v>
      </c>
      <c r="H1944" s="1">
        <v>72.7</v>
      </c>
    </row>
    <row r="1945" s="1" customFormat="1" spans="1:8">
      <c r="A1945" s="1" t="s">
        <v>14</v>
      </c>
      <c r="B1945" s="1" t="s">
        <v>19</v>
      </c>
      <c r="C1945" s="1" t="str">
        <f t="shared" si="38"/>
        <v>020082</v>
      </c>
      <c r="D1945" s="1" t="str">
        <f>"112207523"</f>
        <v>112207523</v>
      </c>
      <c r="E1945" s="1">
        <v>9</v>
      </c>
      <c r="F1945" s="1">
        <v>55</v>
      </c>
      <c r="H1945" s="1">
        <v>27.4</v>
      </c>
    </row>
    <row r="1946" s="1" customFormat="1" spans="1:8">
      <c r="A1946" s="1" t="s">
        <v>14</v>
      </c>
      <c r="B1946" s="1" t="s">
        <v>19</v>
      </c>
      <c r="C1946" s="1" t="str">
        <f t="shared" ref="C1946:C2009" si="39">"020082"</f>
        <v>020082</v>
      </c>
      <c r="D1946" s="1" t="str">
        <f>"112207524"</f>
        <v>112207524</v>
      </c>
      <c r="E1946" s="1">
        <v>0</v>
      </c>
      <c r="F1946" s="1">
        <v>0</v>
      </c>
      <c r="H1946" s="1">
        <v>0</v>
      </c>
    </row>
    <row r="1947" s="1" customFormat="1" spans="1:8">
      <c r="A1947" s="1" t="s">
        <v>14</v>
      </c>
      <c r="B1947" s="1" t="s">
        <v>19</v>
      </c>
      <c r="C1947" s="1" t="str">
        <f t="shared" si="39"/>
        <v>020082</v>
      </c>
      <c r="D1947" s="1" t="str">
        <f>"112207525"</f>
        <v>112207525</v>
      </c>
      <c r="E1947" s="1">
        <v>0</v>
      </c>
      <c r="F1947" s="1">
        <v>0</v>
      </c>
      <c r="H1947" s="1">
        <v>0</v>
      </c>
    </row>
    <row r="1948" s="1" customFormat="1" spans="1:8">
      <c r="A1948" s="1" t="s">
        <v>14</v>
      </c>
      <c r="B1948" s="1" t="s">
        <v>19</v>
      </c>
      <c r="C1948" s="1" t="str">
        <f t="shared" si="39"/>
        <v>020082</v>
      </c>
      <c r="D1948" s="1" t="str">
        <f>"112207526"</f>
        <v>112207526</v>
      </c>
      <c r="E1948" s="1">
        <v>73</v>
      </c>
      <c r="F1948" s="1">
        <v>82</v>
      </c>
      <c r="H1948" s="1">
        <v>76.6</v>
      </c>
    </row>
    <row r="1949" s="1" customFormat="1" spans="1:8">
      <c r="A1949" s="1" t="s">
        <v>14</v>
      </c>
      <c r="B1949" s="1" t="s">
        <v>19</v>
      </c>
      <c r="C1949" s="1" t="str">
        <f t="shared" si="39"/>
        <v>020082</v>
      </c>
      <c r="D1949" s="1" t="str">
        <f>"112207527"</f>
        <v>112207527</v>
      </c>
      <c r="E1949" s="1">
        <v>67.5</v>
      </c>
      <c r="F1949" s="1">
        <v>85</v>
      </c>
      <c r="H1949" s="1">
        <v>74.5</v>
      </c>
    </row>
    <row r="1950" s="1" customFormat="1" spans="1:8">
      <c r="A1950" s="1" t="s">
        <v>14</v>
      </c>
      <c r="B1950" s="1" t="s">
        <v>19</v>
      </c>
      <c r="C1950" s="1" t="str">
        <f t="shared" si="39"/>
        <v>020082</v>
      </c>
      <c r="D1950" s="1" t="str">
        <f>"112207528"</f>
        <v>112207528</v>
      </c>
      <c r="E1950" s="1">
        <v>79</v>
      </c>
      <c r="F1950" s="1">
        <v>89.5</v>
      </c>
      <c r="H1950" s="1">
        <v>83.2</v>
      </c>
    </row>
    <row r="1951" s="1" customFormat="1" spans="1:8">
      <c r="A1951" s="1" t="s">
        <v>14</v>
      </c>
      <c r="B1951" s="1" t="s">
        <v>19</v>
      </c>
      <c r="C1951" s="1" t="str">
        <f t="shared" si="39"/>
        <v>020082</v>
      </c>
      <c r="D1951" s="1" t="str">
        <f>"112207529"</f>
        <v>112207529</v>
      </c>
      <c r="E1951" s="1">
        <v>74</v>
      </c>
      <c r="F1951" s="1">
        <v>70</v>
      </c>
      <c r="H1951" s="1">
        <v>72.4</v>
      </c>
    </row>
    <row r="1952" s="1" customFormat="1" spans="1:8">
      <c r="A1952" s="1" t="s">
        <v>14</v>
      </c>
      <c r="B1952" s="1" t="s">
        <v>19</v>
      </c>
      <c r="C1952" s="1" t="str">
        <f t="shared" si="39"/>
        <v>020082</v>
      </c>
      <c r="D1952" s="1" t="str">
        <f>"112207530"</f>
        <v>112207530</v>
      </c>
      <c r="E1952" s="1">
        <v>81.5</v>
      </c>
      <c r="F1952" s="1">
        <v>84</v>
      </c>
      <c r="H1952" s="1">
        <v>82.5</v>
      </c>
    </row>
    <row r="1953" s="1" customFormat="1" spans="1:8">
      <c r="A1953" s="1" t="s">
        <v>14</v>
      </c>
      <c r="B1953" s="1" t="s">
        <v>19</v>
      </c>
      <c r="C1953" s="1" t="str">
        <f t="shared" si="39"/>
        <v>020082</v>
      </c>
      <c r="D1953" s="1" t="str">
        <f>"112207601"</f>
        <v>112207601</v>
      </c>
      <c r="E1953" s="1">
        <v>56.5</v>
      </c>
      <c r="F1953" s="1">
        <v>61.5</v>
      </c>
      <c r="H1953" s="1">
        <v>58.5</v>
      </c>
    </row>
    <row r="1954" s="1" customFormat="1" spans="1:8">
      <c r="A1954" s="1" t="s">
        <v>14</v>
      </c>
      <c r="B1954" s="1" t="s">
        <v>19</v>
      </c>
      <c r="C1954" s="1" t="str">
        <f t="shared" si="39"/>
        <v>020082</v>
      </c>
      <c r="D1954" s="1" t="str">
        <f>"112207602"</f>
        <v>112207602</v>
      </c>
      <c r="E1954" s="1">
        <v>85</v>
      </c>
      <c r="F1954" s="1">
        <v>65.5</v>
      </c>
      <c r="H1954" s="1">
        <v>77.2</v>
      </c>
    </row>
    <row r="1955" s="1" customFormat="1" spans="1:8">
      <c r="A1955" s="1" t="s">
        <v>14</v>
      </c>
      <c r="B1955" s="1" t="s">
        <v>19</v>
      </c>
      <c r="C1955" s="1" t="str">
        <f t="shared" si="39"/>
        <v>020082</v>
      </c>
      <c r="D1955" s="1" t="str">
        <f>"112207603"</f>
        <v>112207603</v>
      </c>
      <c r="E1955" s="1">
        <v>65.5</v>
      </c>
      <c r="F1955" s="1">
        <v>79</v>
      </c>
      <c r="H1955" s="1">
        <v>70.9</v>
      </c>
    </row>
    <row r="1956" s="1" customFormat="1" spans="1:8">
      <c r="A1956" s="1" t="s">
        <v>14</v>
      </c>
      <c r="B1956" s="1" t="s">
        <v>19</v>
      </c>
      <c r="C1956" s="1" t="str">
        <f t="shared" si="39"/>
        <v>020082</v>
      </c>
      <c r="D1956" s="1" t="str">
        <f>"112207604"</f>
        <v>112207604</v>
      </c>
      <c r="E1956" s="1">
        <v>0</v>
      </c>
      <c r="F1956" s="1">
        <v>0</v>
      </c>
      <c r="H1956" s="1">
        <v>0</v>
      </c>
    </row>
    <row r="1957" s="1" customFormat="1" spans="1:8">
      <c r="A1957" s="1" t="s">
        <v>14</v>
      </c>
      <c r="B1957" s="1" t="s">
        <v>19</v>
      </c>
      <c r="C1957" s="1" t="str">
        <f t="shared" si="39"/>
        <v>020082</v>
      </c>
      <c r="D1957" s="1" t="str">
        <f>"112207605"</f>
        <v>112207605</v>
      </c>
      <c r="E1957" s="1">
        <v>75.5</v>
      </c>
      <c r="F1957" s="1">
        <v>94</v>
      </c>
      <c r="H1957" s="1">
        <v>82.9</v>
      </c>
    </row>
    <row r="1958" s="1" customFormat="1" spans="1:8">
      <c r="A1958" s="1" t="s">
        <v>14</v>
      </c>
      <c r="B1958" s="1" t="s">
        <v>19</v>
      </c>
      <c r="C1958" s="1" t="str">
        <f t="shared" si="39"/>
        <v>020082</v>
      </c>
      <c r="D1958" s="1" t="str">
        <f>"112207606"</f>
        <v>112207606</v>
      </c>
      <c r="E1958" s="1">
        <v>77.5</v>
      </c>
      <c r="F1958" s="1">
        <v>78.5</v>
      </c>
      <c r="H1958" s="1">
        <v>77.9</v>
      </c>
    </row>
    <row r="1959" s="1" customFormat="1" spans="1:8">
      <c r="A1959" s="1" t="s">
        <v>14</v>
      </c>
      <c r="B1959" s="1" t="s">
        <v>19</v>
      </c>
      <c r="C1959" s="1" t="str">
        <f t="shared" si="39"/>
        <v>020082</v>
      </c>
      <c r="D1959" s="1" t="str">
        <f>"112207607"</f>
        <v>112207607</v>
      </c>
      <c r="E1959" s="1">
        <v>44.5</v>
      </c>
      <c r="F1959" s="1">
        <v>56</v>
      </c>
      <c r="H1959" s="1">
        <v>49.1</v>
      </c>
    </row>
    <row r="1960" s="1" customFormat="1" spans="1:8">
      <c r="A1960" s="1" t="s">
        <v>14</v>
      </c>
      <c r="B1960" s="1" t="s">
        <v>19</v>
      </c>
      <c r="C1960" s="1" t="str">
        <f t="shared" si="39"/>
        <v>020082</v>
      </c>
      <c r="D1960" s="1" t="str">
        <f>"112207608"</f>
        <v>112207608</v>
      </c>
      <c r="E1960" s="1">
        <v>0</v>
      </c>
      <c r="F1960" s="1">
        <v>0</v>
      </c>
      <c r="H1960" s="1">
        <v>0</v>
      </c>
    </row>
    <row r="1961" s="1" customFormat="1" spans="1:8">
      <c r="A1961" s="1" t="s">
        <v>14</v>
      </c>
      <c r="B1961" s="1" t="s">
        <v>19</v>
      </c>
      <c r="C1961" s="1" t="str">
        <f t="shared" si="39"/>
        <v>020082</v>
      </c>
      <c r="D1961" s="1" t="str">
        <f>"112207609"</f>
        <v>112207609</v>
      </c>
      <c r="E1961" s="1">
        <v>81.5</v>
      </c>
      <c r="F1961" s="1">
        <v>75</v>
      </c>
      <c r="H1961" s="1">
        <v>78.9</v>
      </c>
    </row>
    <row r="1962" s="1" customFormat="1" spans="1:8">
      <c r="A1962" s="1" t="s">
        <v>14</v>
      </c>
      <c r="B1962" s="1" t="s">
        <v>19</v>
      </c>
      <c r="C1962" s="1" t="str">
        <f t="shared" si="39"/>
        <v>020082</v>
      </c>
      <c r="D1962" s="1" t="str">
        <f>"112207610"</f>
        <v>112207610</v>
      </c>
      <c r="E1962" s="1">
        <v>57</v>
      </c>
      <c r="F1962" s="1">
        <v>58</v>
      </c>
      <c r="H1962" s="1">
        <v>57.4</v>
      </c>
    </row>
    <row r="1963" s="1" customFormat="1" spans="1:8">
      <c r="A1963" s="1" t="s">
        <v>14</v>
      </c>
      <c r="B1963" s="1" t="s">
        <v>19</v>
      </c>
      <c r="C1963" s="1" t="str">
        <f t="shared" si="39"/>
        <v>020082</v>
      </c>
      <c r="D1963" s="1" t="str">
        <f>"112207611"</f>
        <v>112207611</v>
      </c>
      <c r="E1963" s="1">
        <v>0</v>
      </c>
      <c r="F1963" s="1">
        <v>0</v>
      </c>
      <c r="H1963" s="1">
        <v>0</v>
      </c>
    </row>
    <row r="1964" s="1" customFormat="1" spans="1:8">
      <c r="A1964" s="1" t="s">
        <v>14</v>
      </c>
      <c r="B1964" s="1" t="s">
        <v>19</v>
      </c>
      <c r="C1964" s="1" t="str">
        <f t="shared" si="39"/>
        <v>020082</v>
      </c>
      <c r="D1964" s="1" t="str">
        <f>"112207612"</f>
        <v>112207612</v>
      </c>
      <c r="E1964" s="1">
        <v>60.5</v>
      </c>
      <c r="F1964" s="1">
        <v>60</v>
      </c>
      <c r="H1964" s="1">
        <v>60.3</v>
      </c>
    </row>
    <row r="1965" s="1" customFormat="1" spans="1:8">
      <c r="A1965" s="1" t="s">
        <v>14</v>
      </c>
      <c r="B1965" s="1" t="s">
        <v>19</v>
      </c>
      <c r="C1965" s="1" t="str">
        <f t="shared" si="39"/>
        <v>020082</v>
      </c>
      <c r="D1965" s="1" t="str">
        <f>"112207613"</f>
        <v>112207613</v>
      </c>
      <c r="E1965" s="1">
        <v>59.5</v>
      </c>
      <c r="F1965" s="1">
        <v>63.5</v>
      </c>
      <c r="H1965" s="1">
        <v>61.1</v>
      </c>
    </row>
    <row r="1966" s="1" customFormat="1" spans="1:8">
      <c r="A1966" s="1" t="s">
        <v>14</v>
      </c>
      <c r="B1966" s="1" t="s">
        <v>19</v>
      </c>
      <c r="C1966" s="1" t="str">
        <f t="shared" si="39"/>
        <v>020082</v>
      </c>
      <c r="D1966" s="1" t="str">
        <f>"112207614"</f>
        <v>112207614</v>
      </c>
      <c r="E1966" s="1">
        <v>64</v>
      </c>
      <c r="F1966" s="1">
        <v>65.5</v>
      </c>
      <c r="H1966" s="1">
        <v>64.6</v>
      </c>
    </row>
    <row r="1967" s="1" customFormat="1" spans="1:8">
      <c r="A1967" s="1" t="s">
        <v>14</v>
      </c>
      <c r="B1967" s="1" t="s">
        <v>19</v>
      </c>
      <c r="C1967" s="1" t="str">
        <f t="shared" si="39"/>
        <v>020082</v>
      </c>
      <c r="D1967" s="1" t="str">
        <f>"112207615"</f>
        <v>112207615</v>
      </c>
      <c r="E1967" s="1">
        <v>63</v>
      </c>
      <c r="F1967" s="1">
        <v>78</v>
      </c>
      <c r="H1967" s="1">
        <v>69</v>
      </c>
    </row>
    <row r="1968" s="1" customFormat="1" spans="1:8">
      <c r="A1968" s="1" t="s">
        <v>14</v>
      </c>
      <c r="B1968" s="1" t="s">
        <v>19</v>
      </c>
      <c r="C1968" s="1" t="str">
        <f t="shared" si="39"/>
        <v>020082</v>
      </c>
      <c r="D1968" s="1" t="str">
        <f>"112207616"</f>
        <v>112207616</v>
      </c>
      <c r="E1968" s="1">
        <v>72</v>
      </c>
      <c r="F1968" s="1">
        <v>84</v>
      </c>
      <c r="H1968" s="1">
        <v>76.8</v>
      </c>
    </row>
    <row r="1969" s="1" customFormat="1" spans="1:8">
      <c r="A1969" s="1" t="s">
        <v>14</v>
      </c>
      <c r="B1969" s="1" t="s">
        <v>19</v>
      </c>
      <c r="C1969" s="1" t="str">
        <f t="shared" si="39"/>
        <v>020082</v>
      </c>
      <c r="D1969" s="1" t="str">
        <f>"112207617"</f>
        <v>112207617</v>
      </c>
      <c r="E1969" s="1">
        <v>58.5</v>
      </c>
      <c r="F1969" s="1">
        <v>84.5</v>
      </c>
      <c r="H1969" s="1">
        <v>68.9</v>
      </c>
    </row>
    <row r="1970" s="1" customFormat="1" spans="1:8">
      <c r="A1970" s="1" t="s">
        <v>14</v>
      </c>
      <c r="B1970" s="1" t="s">
        <v>19</v>
      </c>
      <c r="C1970" s="1" t="str">
        <f t="shared" si="39"/>
        <v>020082</v>
      </c>
      <c r="D1970" s="1" t="str">
        <f>"112207618"</f>
        <v>112207618</v>
      </c>
      <c r="E1970" s="1">
        <v>59.5</v>
      </c>
      <c r="F1970" s="1">
        <v>49</v>
      </c>
      <c r="H1970" s="1">
        <v>55.3</v>
      </c>
    </row>
    <row r="1971" s="1" customFormat="1" spans="1:8">
      <c r="A1971" s="1" t="s">
        <v>14</v>
      </c>
      <c r="B1971" s="1" t="s">
        <v>19</v>
      </c>
      <c r="C1971" s="1" t="str">
        <f t="shared" si="39"/>
        <v>020082</v>
      </c>
      <c r="D1971" s="1" t="str">
        <f>"112207619"</f>
        <v>112207619</v>
      </c>
      <c r="E1971" s="1">
        <v>63.5</v>
      </c>
      <c r="F1971" s="1">
        <v>59.5</v>
      </c>
      <c r="H1971" s="1">
        <v>61.9</v>
      </c>
    </row>
    <row r="1972" s="1" customFormat="1" spans="1:8">
      <c r="A1972" s="1" t="s">
        <v>14</v>
      </c>
      <c r="B1972" s="1" t="s">
        <v>19</v>
      </c>
      <c r="C1972" s="1" t="str">
        <f t="shared" si="39"/>
        <v>020082</v>
      </c>
      <c r="D1972" s="1" t="str">
        <f>"112207620"</f>
        <v>112207620</v>
      </c>
      <c r="E1972" s="1">
        <v>61</v>
      </c>
      <c r="F1972" s="1">
        <v>71.5</v>
      </c>
      <c r="H1972" s="1">
        <v>65.2</v>
      </c>
    </row>
    <row r="1973" s="1" customFormat="1" spans="1:8">
      <c r="A1973" s="1" t="s">
        <v>14</v>
      </c>
      <c r="B1973" s="1" t="s">
        <v>19</v>
      </c>
      <c r="C1973" s="1" t="str">
        <f t="shared" si="39"/>
        <v>020082</v>
      </c>
      <c r="D1973" s="1" t="str">
        <f>"112207621"</f>
        <v>112207621</v>
      </c>
      <c r="E1973" s="1">
        <v>0</v>
      </c>
      <c r="F1973" s="1">
        <v>0</v>
      </c>
      <c r="H1973" s="1">
        <v>0</v>
      </c>
    </row>
    <row r="1974" s="1" customFormat="1" spans="1:8">
      <c r="A1974" s="1" t="s">
        <v>14</v>
      </c>
      <c r="B1974" s="1" t="s">
        <v>19</v>
      </c>
      <c r="C1974" s="1" t="str">
        <f t="shared" si="39"/>
        <v>020082</v>
      </c>
      <c r="D1974" s="1" t="str">
        <f>"112207622"</f>
        <v>112207622</v>
      </c>
      <c r="E1974" s="1">
        <v>95.5</v>
      </c>
      <c r="F1974" s="1">
        <v>99</v>
      </c>
      <c r="H1974" s="1">
        <v>96.9</v>
      </c>
    </row>
    <row r="1975" s="1" customFormat="1" spans="1:8">
      <c r="A1975" s="1" t="s">
        <v>14</v>
      </c>
      <c r="B1975" s="1" t="s">
        <v>19</v>
      </c>
      <c r="C1975" s="1" t="str">
        <f t="shared" si="39"/>
        <v>020082</v>
      </c>
      <c r="D1975" s="1" t="str">
        <f>"112207623"</f>
        <v>112207623</v>
      </c>
      <c r="E1975" s="1">
        <v>76</v>
      </c>
      <c r="F1975" s="1">
        <v>79</v>
      </c>
      <c r="H1975" s="1">
        <v>77.2</v>
      </c>
    </row>
    <row r="1976" s="1" customFormat="1" spans="1:8">
      <c r="A1976" s="1" t="s">
        <v>14</v>
      </c>
      <c r="B1976" s="1" t="s">
        <v>19</v>
      </c>
      <c r="C1976" s="1" t="str">
        <f t="shared" si="39"/>
        <v>020082</v>
      </c>
      <c r="D1976" s="1" t="str">
        <f>"112207624"</f>
        <v>112207624</v>
      </c>
      <c r="E1976" s="1">
        <v>71.5</v>
      </c>
      <c r="F1976" s="1">
        <v>81</v>
      </c>
      <c r="H1976" s="1">
        <v>75.3</v>
      </c>
    </row>
    <row r="1977" s="1" customFormat="1" spans="1:8">
      <c r="A1977" s="1" t="s">
        <v>14</v>
      </c>
      <c r="B1977" s="1" t="s">
        <v>19</v>
      </c>
      <c r="C1977" s="1" t="str">
        <f t="shared" si="39"/>
        <v>020082</v>
      </c>
      <c r="D1977" s="1" t="str">
        <f>"112207625"</f>
        <v>112207625</v>
      </c>
      <c r="E1977" s="1">
        <v>0</v>
      </c>
      <c r="F1977" s="1">
        <v>0</v>
      </c>
      <c r="H1977" s="1">
        <v>0</v>
      </c>
    </row>
    <row r="1978" s="1" customFormat="1" spans="1:8">
      <c r="A1978" s="1" t="s">
        <v>14</v>
      </c>
      <c r="B1978" s="1" t="s">
        <v>19</v>
      </c>
      <c r="C1978" s="1" t="str">
        <f t="shared" si="39"/>
        <v>020082</v>
      </c>
      <c r="D1978" s="1" t="str">
        <f>"112207626"</f>
        <v>112207626</v>
      </c>
      <c r="E1978" s="1">
        <v>74</v>
      </c>
      <c r="F1978" s="1">
        <v>78</v>
      </c>
      <c r="H1978" s="1">
        <v>75.6</v>
      </c>
    </row>
    <row r="1979" s="1" customFormat="1" spans="1:8">
      <c r="A1979" s="1" t="s">
        <v>14</v>
      </c>
      <c r="B1979" s="1" t="s">
        <v>19</v>
      </c>
      <c r="C1979" s="1" t="str">
        <f t="shared" si="39"/>
        <v>020082</v>
      </c>
      <c r="D1979" s="1" t="str">
        <f>"112207627"</f>
        <v>112207627</v>
      </c>
      <c r="E1979" s="1">
        <v>0</v>
      </c>
      <c r="F1979" s="1">
        <v>0</v>
      </c>
      <c r="H1979" s="1">
        <v>0</v>
      </c>
    </row>
    <row r="1980" s="1" customFormat="1" spans="1:8">
      <c r="A1980" s="1" t="s">
        <v>14</v>
      </c>
      <c r="B1980" s="1" t="s">
        <v>19</v>
      </c>
      <c r="C1980" s="1" t="str">
        <f t="shared" si="39"/>
        <v>020082</v>
      </c>
      <c r="D1980" s="1" t="str">
        <f>"112207628"</f>
        <v>112207628</v>
      </c>
      <c r="E1980" s="1">
        <v>79</v>
      </c>
      <c r="F1980" s="1">
        <v>80.5</v>
      </c>
      <c r="H1980" s="1">
        <v>79.6</v>
      </c>
    </row>
    <row r="1981" s="1" customFormat="1" spans="1:8">
      <c r="A1981" s="1" t="s">
        <v>14</v>
      </c>
      <c r="B1981" s="1" t="s">
        <v>19</v>
      </c>
      <c r="C1981" s="1" t="str">
        <f t="shared" si="39"/>
        <v>020082</v>
      </c>
      <c r="D1981" s="1" t="str">
        <f>"112207629"</f>
        <v>112207629</v>
      </c>
      <c r="E1981" s="1">
        <v>0</v>
      </c>
      <c r="F1981" s="1">
        <v>0</v>
      </c>
      <c r="H1981" s="1">
        <v>0</v>
      </c>
    </row>
    <row r="1982" s="1" customFormat="1" spans="1:8">
      <c r="A1982" s="1" t="s">
        <v>14</v>
      </c>
      <c r="B1982" s="1" t="s">
        <v>19</v>
      </c>
      <c r="C1982" s="1" t="str">
        <f t="shared" si="39"/>
        <v>020082</v>
      </c>
      <c r="D1982" s="1" t="str">
        <f>"112207630"</f>
        <v>112207630</v>
      </c>
      <c r="E1982" s="1">
        <v>0</v>
      </c>
      <c r="F1982" s="1">
        <v>0</v>
      </c>
      <c r="H1982" s="1">
        <v>0</v>
      </c>
    </row>
    <row r="1983" s="1" customFormat="1" spans="1:8">
      <c r="A1983" s="1" t="s">
        <v>14</v>
      </c>
      <c r="B1983" s="1" t="s">
        <v>19</v>
      </c>
      <c r="C1983" s="1" t="str">
        <f t="shared" si="39"/>
        <v>020082</v>
      </c>
      <c r="D1983" s="1" t="str">
        <f>"112207701"</f>
        <v>112207701</v>
      </c>
      <c r="E1983" s="1">
        <v>0</v>
      </c>
      <c r="F1983" s="1">
        <v>0</v>
      </c>
      <c r="H1983" s="1">
        <v>0</v>
      </c>
    </row>
    <row r="1984" s="1" customFormat="1" spans="1:8">
      <c r="A1984" s="1" t="s">
        <v>14</v>
      </c>
      <c r="B1984" s="1" t="s">
        <v>19</v>
      </c>
      <c r="C1984" s="1" t="str">
        <f t="shared" si="39"/>
        <v>020082</v>
      </c>
      <c r="D1984" s="1" t="str">
        <f>"112207702"</f>
        <v>112207702</v>
      </c>
      <c r="E1984" s="1">
        <v>90.5</v>
      </c>
      <c r="F1984" s="1">
        <v>86.5</v>
      </c>
      <c r="H1984" s="1">
        <v>88.9</v>
      </c>
    </row>
    <row r="1985" s="1" customFormat="1" spans="1:8">
      <c r="A1985" s="1" t="s">
        <v>14</v>
      </c>
      <c r="B1985" s="1" t="s">
        <v>19</v>
      </c>
      <c r="C1985" s="1" t="str">
        <f t="shared" si="39"/>
        <v>020082</v>
      </c>
      <c r="D1985" s="1" t="str">
        <f>"112207703"</f>
        <v>112207703</v>
      </c>
      <c r="E1985" s="1">
        <v>82.5</v>
      </c>
      <c r="F1985" s="1">
        <v>74</v>
      </c>
      <c r="G1985" s="1">
        <v>2</v>
      </c>
      <c r="H1985" s="1">
        <v>81.1</v>
      </c>
    </row>
    <row r="1986" s="1" customFormat="1" spans="1:8">
      <c r="A1986" s="1" t="s">
        <v>14</v>
      </c>
      <c r="B1986" s="1" t="s">
        <v>19</v>
      </c>
      <c r="C1986" s="1" t="str">
        <f t="shared" si="39"/>
        <v>020082</v>
      </c>
      <c r="D1986" s="1" t="str">
        <f>"112207704"</f>
        <v>112207704</v>
      </c>
      <c r="E1986" s="1">
        <v>0</v>
      </c>
      <c r="F1986" s="1">
        <v>0</v>
      </c>
      <c r="H1986" s="1">
        <v>0</v>
      </c>
    </row>
    <row r="1987" s="1" customFormat="1" spans="1:8">
      <c r="A1987" s="1" t="s">
        <v>14</v>
      </c>
      <c r="B1987" s="1" t="s">
        <v>19</v>
      </c>
      <c r="C1987" s="1" t="str">
        <f t="shared" si="39"/>
        <v>020082</v>
      </c>
      <c r="D1987" s="1" t="str">
        <f>"112207705"</f>
        <v>112207705</v>
      </c>
      <c r="E1987" s="1">
        <v>84</v>
      </c>
      <c r="F1987" s="1">
        <v>71.5</v>
      </c>
      <c r="H1987" s="1">
        <v>79</v>
      </c>
    </row>
    <row r="1988" s="1" customFormat="1" spans="1:8">
      <c r="A1988" s="1" t="s">
        <v>14</v>
      </c>
      <c r="B1988" s="1" t="s">
        <v>19</v>
      </c>
      <c r="C1988" s="1" t="str">
        <f t="shared" si="39"/>
        <v>020082</v>
      </c>
      <c r="D1988" s="1" t="str">
        <f>"112207706"</f>
        <v>112207706</v>
      </c>
      <c r="E1988" s="1">
        <v>84.5</v>
      </c>
      <c r="F1988" s="1">
        <v>99.5</v>
      </c>
      <c r="H1988" s="1">
        <v>90.5</v>
      </c>
    </row>
    <row r="1989" s="1" customFormat="1" spans="1:8">
      <c r="A1989" s="1" t="s">
        <v>14</v>
      </c>
      <c r="B1989" s="1" t="s">
        <v>19</v>
      </c>
      <c r="C1989" s="1" t="str">
        <f t="shared" si="39"/>
        <v>020082</v>
      </c>
      <c r="D1989" s="1" t="str">
        <f>"112207707"</f>
        <v>112207707</v>
      </c>
      <c r="E1989" s="1">
        <v>64.5</v>
      </c>
      <c r="F1989" s="1">
        <v>66</v>
      </c>
      <c r="H1989" s="1">
        <v>65.1</v>
      </c>
    </row>
    <row r="1990" s="1" customFormat="1" spans="1:8">
      <c r="A1990" s="1" t="s">
        <v>14</v>
      </c>
      <c r="B1990" s="1" t="s">
        <v>19</v>
      </c>
      <c r="C1990" s="1" t="str">
        <f t="shared" si="39"/>
        <v>020082</v>
      </c>
      <c r="D1990" s="1" t="str">
        <f>"112207708"</f>
        <v>112207708</v>
      </c>
      <c r="E1990" s="1">
        <v>78</v>
      </c>
      <c r="F1990" s="1">
        <v>95.5</v>
      </c>
      <c r="H1990" s="1">
        <v>85</v>
      </c>
    </row>
    <row r="1991" s="1" customFormat="1" spans="1:8">
      <c r="A1991" s="1" t="s">
        <v>14</v>
      </c>
      <c r="B1991" s="1" t="s">
        <v>19</v>
      </c>
      <c r="C1991" s="1" t="str">
        <f t="shared" si="39"/>
        <v>020082</v>
      </c>
      <c r="D1991" s="1" t="str">
        <f>"112207709"</f>
        <v>112207709</v>
      </c>
      <c r="E1991" s="1">
        <v>78</v>
      </c>
      <c r="F1991" s="1">
        <v>61</v>
      </c>
      <c r="H1991" s="1">
        <v>71.2</v>
      </c>
    </row>
    <row r="1992" s="1" customFormat="1" spans="1:8">
      <c r="A1992" s="1" t="s">
        <v>14</v>
      </c>
      <c r="B1992" s="1" t="s">
        <v>19</v>
      </c>
      <c r="C1992" s="1" t="str">
        <f t="shared" si="39"/>
        <v>020082</v>
      </c>
      <c r="D1992" s="1" t="str">
        <f>"112207710"</f>
        <v>112207710</v>
      </c>
      <c r="E1992" s="1">
        <v>84</v>
      </c>
      <c r="F1992" s="1">
        <v>89.5</v>
      </c>
      <c r="H1992" s="1">
        <v>86.2</v>
      </c>
    </row>
    <row r="1993" s="1" customFormat="1" spans="1:8">
      <c r="A1993" s="1" t="s">
        <v>14</v>
      </c>
      <c r="B1993" s="1" t="s">
        <v>19</v>
      </c>
      <c r="C1993" s="1" t="str">
        <f t="shared" si="39"/>
        <v>020082</v>
      </c>
      <c r="D1993" s="1" t="str">
        <f>"112207711"</f>
        <v>112207711</v>
      </c>
      <c r="E1993" s="1">
        <v>80.5</v>
      </c>
      <c r="F1993" s="1">
        <v>85.5</v>
      </c>
      <c r="H1993" s="1">
        <v>82.5</v>
      </c>
    </row>
    <row r="1994" s="1" customFormat="1" spans="1:8">
      <c r="A1994" s="1" t="s">
        <v>14</v>
      </c>
      <c r="B1994" s="1" t="s">
        <v>19</v>
      </c>
      <c r="C1994" s="1" t="str">
        <f t="shared" si="39"/>
        <v>020082</v>
      </c>
      <c r="D1994" s="1" t="str">
        <f>"112207712"</f>
        <v>112207712</v>
      </c>
      <c r="E1994" s="1">
        <v>66.5</v>
      </c>
      <c r="F1994" s="1">
        <v>72.5</v>
      </c>
      <c r="H1994" s="1">
        <v>68.9</v>
      </c>
    </row>
    <row r="1995" s="1" customFormat="1" spans="1:8">
      <c r="A1995" s="1" t="s">
        <v>14</v>
      </c>
      <c r="B1995" s="1" t="s">
        <v>19</v>
      </c>
      <c r="C1995" s="1" t="str">
        <f t="shared" si="39"/>
        <v>020082</v>
      </c>
      <c r="D1995" s="1" t="str">
        <f>"112207713"</f>
        <v>112207713</v>
      </c>
      <c r="E1995" s="1">
        <v>67.5</v>
      </c>
      <c r="F1995" s="1">
        <v>68.5</v>
      </c>
      <c r="H1995" s="1">
        <v>67.9</v>
      </c>
    </row>
    <row r="1996" s="1" customFormat="1" spans="1:8">
      <c r="A1996" s="1" t="s">
        <v>14</v>
      </c>
      <c r="B1996" s="1" t="s">
        <v>19</v>
      </c>
      <c r="C1996" s="1" t="str">
        <f t="shared" si="39"/>
        <v>020082</v>
      </c>
      <c r="D1996" s="1" t="str">
        <f>"112207714"</f>
        <v>112207714</v>
      </c>
      <c r="E1996" s="1">
        <v>93.5</v>
      </c>
      <c r="F1996" s="1">
        <v>87</v>
      </c>
      <c r="H1996" s="1">
        <v>90.9</v>
      </c>
    </row>
    <row r="1997" s="1" customFormat="1" spans="1:8">
      <c r="A1997" s="1" t="s">
        <v>14</v>
      </c>
      <c r="B1997" s="1" t="s">
        <v>19</v>
      </c>
      <c r="C1997" s="1" t="str">
        <f t="shared" si="39"/>
        <v>020082</v>
      </c>
      <c r="D1997" s="1" t="str">
        <f>"112207715"</f>
        <v>112207715</v>
      </c>
      <c r="E1997" s="1">
        <v>83</v>
      </c>
      <c r="F1997" s="1">
        <v>82</v>
      </c>
      <c r="H1997" s="1">
        <v>82.6</v>
      </c>
    </row>
    <row r="1998" s="1" customFormat="1" spans="1:8">
      <c r="A1998" s="1" t="s">
        <v>14</v>
      </c>
      <c r="B1998" s="1" t="s">
        <v>19</v>
      </c>
      <c r="C1998" s="1" t="str">
        <f t="shared" si="39"/>
        <v>020082</v>
      </c>
      <c r="D1998" s="1" t="str">
        <f>"112207716"</f>
        <v>112207716</v>
      </c>
      <c r="E1998" s="1">
        <v>73.5</v>
      </c>
      <c r="F1998" s="1">
        <v>85.5</v>
      </c>
      <c r="H1998" s="1">
        <v>78.3</v>
      </c>
    </row>
    <row r="1999" s="1" customFormat="1" spans="1:8">
      <c r="A1999" s="1" t="s">
        <v>14</v>
      </c>
      <c r="B1999" s="1" t="s">
        <v>19</v>
      </c>
      <c r="C1999" s="1" t="str">
        <f t="shared" si="39"/>
        <v>020082</v>
      </c>
      <c r="D1999" s="1" t="str">
        <f>"112207717"</f>
        <v>112207717</v>
      </c>
      <c r="E1999" s="1">
        <v>77.5</v>
      </c>
      <c r="F1999" s="1">
        <v>76.5</v>
      </c>
      <c r="H1999" s="1">
        <v>77.1</v>
      </c>
    </row>
    <row r="2000" s="1" customFormat="1" spans="1:8">
      <c r="A2000" s="1" t="s">
        <v>14</v>
      </c>
      <c r="B2000" s="1" t="s">
        <v>19</v>
      </c>
      <c r="C2000" s="1" t="str">
        <f t="shared" si="39"/>
        <v>020082</v>
      </c>
      <c r="D2000" s="1" t="str">
        <f>"112207718"</f>
        <v>112207718</v>
      </c>
      <c r="E2000" s="1">
        <v>73</v>
      </c>
      <c r="F2000" s="1">
        <v>83</v>
      </c>
      <c r="H2000" s="1">
        <v>77</v>
      </c>
    </row>
    <row r="2001" s="1" customFormat="1" spans="1:8">
      <c r="A2001" s="1" t="s">
        <v>14</v>
      </c>
      <c r="B2001" s="1" t="s">
        <v>19</v>
      </c>
      <c r="C2001" s="1" t="str">
        <f t="shared" si="39"/>
        <v>020082</v>
      </c>
      <c r="D2001" s="1" t="str">
        <f>"112207719"</f>
        <v>112207719</v>
      </c>
      <c r="E2001" s="1">
        <v>35</v>
      </c>
      <c r="F2001" s="1">
        <v>0</v>
      </c>
      <c r="H2001" s="1">
        <v>21</v>
      </c>
    </row>
    <row r="2002" s="1" customFormat="1" spans="1:8">
      <c r="A2002" s="1" t="s">
        <v>14</v>
      </c>
      <c r="B2002" s="1" t="s">
        <v>19</v>
      </c>
      <c r="C2002" s="1" t="str">
        <f t="shared" si="39"/>
        <v>020082</v>
      </c>
      <c r="D2002" s="1" t="str">
        <f>"112207720"</f>
        <v>112207720</v>
      </c>
      <c r="E2002" s="1">
        <v>73</v>
      </c>
      <c r="F2002" s="1">
        <v>73</v>
      </c>
      <c r="H2002" s="1">
        <v>73</v>
      </c>
    </row>
    <row r="2003" s="1" customFormat="1" spans="1:8">
      <c r="A2003" s="1" t="s">
        <v>14</v>
      </c>
      <c r="B2003" s="1" t="s">
        <v>19</v>
      </c>
      <c r="C2003" s="1" t="str">
        <f t="shared" si="39"/>
        <v>020082</v>
      </c>
      <c r="D2003" s="1" t="str">
        <f>"112207721"</f>
        <v>112207721</v>
      </c>
      <c r="E2003" s="1">
        <v>89</v>
      </c>
      <c r="F2003" s="1">
        <v>85.5</v>
      </c>
      <c r="H2003" s="1">
        <v>87.6</v>
      </c>
    </row>
    <row r="2004" s="1" customFormat="1" spans="1:8">
      <c r="A2004" s="1" t="s">
        <v>14</v>
      </c>
      <c r="B2004" s="1" t="s">
        <v>19</v>
      </c>
      <c r="C2004" s="1" t="str">
        <f t="shared" si="39"/>
        <v>020082</v>
      </c>
      <c r="D2004" s="1" t="str">
        <f>"112207722"</f>
        <v>112207722</v>
      </c>
      <c r="E2004" s="1">
        <v>81</v>
      </c>
      <c r="F2004" s="1">
        <v>96</v>
      </c>
      <c r="H2004" s="1">
        <v>87</v>
      </c>
    </row>
    <row r="2005" s="1" customFormat="1" spans="1:8">
      <c r="A2005" s="1" t="s">
        <v>14</v>
      </c>
      <c r="B2005" s="1" t="s">
        <v>19</v>
      </c>
      <c r="C2005" s="1" t="str">
        <f t="shared" si="39"/>
        <v>020082</v>
      </c>
      <c r="D2005" s="1" t="str">
        <f>"112207723"</f>
        <v>112207723</v>
      </c>
      <c r="E2005" s="1">
        <v>81.5</v>
      </c>
      <c r="F2005" s="1">
        <v>81</v>
      </c>
      <c r="H2005" s="1">
        <v>81.3</v>
      </c>
    </row>
    <row r="2006" s="1" customFormat="1" spans="1:8">
      <c r="A2006" s="1" t="s">
        <v>14</v>
      </c>
      <c r="B2006" s="1" t="s">
        <v>19</v>
      </c>
      <c r="C2006" s="1" t="str">
        <f t="shared" si="39"/>
        <v>020082</v>
      </c>
      <c r="D2006" s="1" t="str">
        <f>"112207724"</f>
        <v>112207724</v>
      </c>
      <c r="E2006" s="1">
        <v>75.5</v>
      </c>
      <c r="F2006" s="1">
        <v>94</v>
      </c>
      <c r="H2006" s="1">
        <v>82.9</v>
      </c>
    </row>
    <row r="2007" s="1" customFormat="1" spans="1:8">
      <c r="A2007" s="1" t="s">
        <v>14</v>
      </c>
      <c r="B2007" s="1" t="s">
        <v>19</v>
      </c>
      <c r="C2007" s="1" t="str">
        <f t="shared" si="39"/>
        <v>020082</v>
      </c>
      <c r="D2007" s="1" t="str">
        <f>"112207725"</f>
        <v>112207725</v>
      </c>
      <c r="E2007" s="1">
        <v>0</v>
      </c>
      <c r="F2007" s="1">
        <v>0</v>
      </c>
      <c r="H2007" s="1">
        <v>0</v>
      </c>
    </row>
    <row r="2008" s="1" customFormat="1" spans="1:8">
      <c r="A2008" s="1" t="s">
        <v>14</v>
      </c>
      <c r="B2008" s="1" t="s">
        <v>19</v>
      </c>
      <c r="C2008" s="1" t="str">
        <f t="shared" si="39"/>
        <v>020082</v>
      </c>
      <c r="D2008" s="1" t="str">
        <f>"112207726"</f>
        <v>112207726</v>
      </c>
      <c r="E2008" s="1">
        <v>0</v>
      </c>
      <c r="F2008" s="1">
        <v>0</v>
      </c>
      <c r="H2008" s="1">
        <v>0</v>
      </c>
    </row>
    <row r="2009" s="1" customFormat="1" spans="1:8">
      <c r="A2009" s="1" t="s">
        <v>14</v>
      </c>
      <c r="B2009" s="1" t="s">
        <v>19</v>
      </c>
      <c r="C2009" s="1" t="str">
        <f t="shared" si="39"/>
        <v>020082</v>
      </c>
      <c r="D2009" s="1" t="str">
        <f>"112207727"</f>
        <v>112207727</v>
      </c>
      <c r="E2009" s="1">
        <v>69</v>
      </c>
      <c r="F2009" s="1">
        <v>75.5</v>
      </c>
      <c r="H2009" s="1">
        <v>71.6</v>
      </c>
    </row>
    <row r="2010" s="1" customFormat="1" spans="1:8">
      <c r="A2010" s="1" t="s">
        <v>14</v>
      </c>
      <c r="B2010" s="1" t="s">
        <v>19</v>
      </c>
      <c r="C2010" s="1" t="str">
        <f t="shared" ref="C2010:C2073" si="40">"020082"</f>
        <v>020082</v>
      </c>
      <c r="D2010" s="1" t="str">
        <f>"112207728"</f>
        <v>112207728</v>
      </c>
      <c r="E2010" s="1">
        <v>69</v>
      </c>
      <c r="F2010" s="1">
        <v>74</v>
      </c>
      <c r="H2010" s="1">
        <v>71</v>
      </c>
    </row>
    <row r="2011" s="1" customFormat="1" spans="1:8">
      <c r="A2011" s="1" t="s">
        <v>14</v>
      </c>
      <c r="B2011" s="1" t="s">
        <v>19</v>
      </c>
      <c r="C2011" s="1" t="str">
        <f t="shared" si="40"/>
        <v>020082</v>
      </c>
      <c r="D2011" s="1" t="str">
        <f>"112207729"</f>
        <v>112207729</v>
      </c>
      <c r="E2011" s="1">
        <v>81</v>
      </c>
      <c r="F2011" s="1">
        <v>86</v>
      </c>
      <c r="H2011" s="1">
        <v>83</v>
      </c>
    </row>
    <row r="2012" s="1" customFormat="1" spans="1:8">
      <c r="A2012" s="1" t="s">
        <v>14</v>
      </c>
      <c r="B2012" s="1" t="s">
        <v>19</v>
      </c>
      <c r="C2012" s="1" t="str">
        <f t="shared" si="40"/>
        <v>020082</v>
      </c>
      <c r="D2012" s="1" t="str">
        <f>"112207730"</f>
        <v>112207730</v>
      </c>
      <c r="E2012" s="1">
        <v>0</v>
      </c>
      <c r="F2012" s="1">
        <v>0</v>
      </c>
      <c r="H2012" s="1">
        <v>0</v>
      </c>
    </row>
    <row r="2013" s="1" customFormat="1" spans="1:8">
      <c r="A2013" s="1" t="s">
        <v>14</v>
      </c>
      <c r="B2013" s="1" t="s">
        <v>19</v>
      </c>
      <c r="C2013" s="1" t="str">
        <f t="shared" si="40"/>
        <v>020082</v>
      </c>
      <c r="D2013" s="1" t="str">
        <f>"112207801"</f>
        <v>112207801</v>
      </c>
      <c r="E2013" s="1">
        <v>0</v>
      </c>
      <c r="F2013" s="1">
        <v>0</v>
      </c>
      <c r="H2013" s="1">
        <v>0</v>
      </c>
    </row>
    <row r="2014" s="1" customFormat="1" spans="1:8">
      <c r="A2014" s="1" t="s">
        <v>14</v>
      </c>
      <c r="B2014" s="1" t="s">
        <v>19</v>
      </c>
      <c r="C2014" s="1" t="str">
        <f t="shared" si="40"/>
        <v>020082</v>
      </c>
      <c r="D2014" s="1" t="str">
        <f>"112207802"</f>
        <v>112207802</v>
      </c>
      <c r="E2014" s="1">
        <v>85</v>
      </c>
      <c r="F2014" s="1">
        <v>86</v>
      </c>
      <c r="G2014" s="1">
        <v>2</v>
      </c>
      <c r="H2014" s="1">
        <v>87.4</v>
      </c>
    </row>
    <row r="2015" s="1" customFormat="1" spans="1:8">
      <c r="A2015" s="1" t="s">
        <v>14</v>
      </c>
      <c r="B2015" s="1" t="s">
        <v>19</v>
      </c>
      <c r="C2015" s="1" t="str">
        <f t="shared" si="40"/>
        <v>020082</v>
      </c>
      <c r="D2015" s="1" t="str">
        <f>"112207803"</f>
        <v>112207803</v>
      </c>
      <c r="E2015" s="1">
        <v>76</v>
      </c>
      <c r="F2015" s="1">
        <v>82.5</v>
      </c>
      <c r="H2015" s="1">
        <v>78.6</v>
      </c>
    </row>
    <row r="2016" s="1" customFormat="1" spans="1:8">
      <c r="A2016" s="1" t="s">
        <v>14</v>
      </c>
      <c r="B2016" s="1" t="s">
        <v>19</v>
      </c>
      <c r="C2016" s="1" t="str">
        <f t="shared" si="40"/>
        <v>020082</v>
      </c>
      <c r="D2016" s="1" t="str">
        <f>"112207804"</f>
        <v>112207804</v>
      </c>
      <c r="E2016" s="1">
        <v>83</v>
      </c>
      <c r="F2016" s="1">
        <v>80</v>
      </c>
      <c r="H2016" s="1">
        <v>81.8</v>
      </c>
    </row>
    <row r="2017" s="1" customFormat="1" spans="1:8">
      <c r="A2017" s="1" t="s">
        <v>14</v>
      </c>
      <c r="B2017" s="1" t="s">
        <v>19</v>
      </c>
      <c r="C2017" s="1" t="str">
        <f t="shared" si="40"/>
        <v>020082</v>
      </c>
      <c r="D2017" s="1" t="str">
        <f>"112207805"</f>
        <v>112207805</v>
      </c>
      <c r="E2017" s="1">
        <v>67.5</v>
      </c>
      <c r="F2017" s="1">
        <v>57</v>
      </c>
      <c r="H2017" s="1">
        <v>63.3</v>
      </c>
    </row>
    <row r="2018" s="1" customFormat="1" spans="1:8">
      <c r="A2018" s="1" t="s">
        <v>14</v>
      </c>
      <c r="B2018" s="1" t="s">
        <v>19</v>
      </c>
      <c r="C2018" s="1" t="str">
        <f t="shared" si="40"/>
        <v>020082</v>
      </c>
      <c r="D2018" s="1" t="str">
        <f>"112207806"</f>
        <v>112207806</v>
      </c>
      <c r="E2018" s="1">
        <v>83</v>
      </c>
      <c r="F2018" s="1">
        <v>83.5</v>
      </c>
      <c r="H2018" s="1">
        <v>83.2</v>
      </c>
    </row>
    <row r="2019" s="1" customFormat="1" spans="1:8">
      <c r="A2019" s="1" t="s">
        <v>14</v>
      </c>
      <c r="B2019" s="1" t="s">
        <v>19</v>
      </c>
      <c r="C2019" s="1" t="str">
        <f t="shared" si="40"/>
        <v>020082</v>
      </c>
      <c r="D2019" s="1" t="str">
        <f>"112207807"</f>
        <v>112207807</v>
      </c>
      <c r="E2019" s="1">
        <v>0</v>
      </c>
      <c r="F2019" s="1">
        <v>0</v>
      </c>
      <c r="H2019" s="1">
        <v>0</v>
      </c>
    </row>
    <row r="2020" s="1" customFormat="1" spans="1:8">
      <c r="A2020" s="1" t="s">
        <v>14</v>
      </c>
      <c r="B2020" s="1" t="s">
        <v>19</v>
      </c>
      <c r="C2020" s="1" t="str">
        <f t="shared" si="40"/>
        <v>020082</v>
      </c>
      <c r="D2020" s="1" t="str">
        <f>"112207808"</f>
        <v>112207808</v>
      </c>
      <c r="E2020" s="1">
        <v>71.5</v>
      </c>
      <c r="F2020" s="1">
        <v>72.5</v>
      </c>
      <c r="H2020" s="1">
        <v>71.9</v>
      </c>
    </row>
    <row r="2021" s="1" customFormat="1" spans="1:8">
      <c r="A2021" s="1" t="s">
        <v>14</v>
      </c>
      <c r="B2021" s="1" t="s">
        <v>19</v>
      </c>
      <c r="C2021" s="1" t="str">
        <f t="shared" si="40"/>
        <v>020082</v>
      </c>
      <c r="D2021" s="1" t="str">
        <f>"112207809"</f>
        <v>112207809</v>
      </c>
      <c r="E2021" s="1">
        <v>86</v>
      </c>
      <c r="F2021" s="1">
        <v>90.5</v>
      </c>
      <c r="H2021" s="1">
        <v>87.8</v>
      </c>
    </row>
    <row r="2022" s="1" customFormat="1" spans="1:8">
      <c r="A2022" s="1" t="s">
        <v>14</v>
      </c>
      <c r="B2022" s="1" t="s">
        <v>19</v>
      </c>
      <c r="C2022" s="1" t="str">
        <f t="shared" si="40"/>
        <v>020082</v>
      </c>
      <c r="D2022" s="1" t="str">
        <f>"112207810"</f>
        <v>112207810</v>
      </c>
      <c r="E2022" s="1">
        <v>91.5</v>
      </c>
      <c r="F2022" s="1">
        <v>91.5</v>
      </c>
      <c r="H2022" s="1">
        <v>91.5</v>
      </c>
    </row>
    <row r="2023" s="1" customFormat="1" spans="1:8">
      <c r="A2023" s="1" t="s">
        <v>14</v>
      </c>
      <c r="B2023" s="1" t="s">
        <v>19</v>
      </c>
      <c r="C2023" s="1" t="str">
        <f t="shared" si="40"/>
        <v>020082</v>
      </c>
      <c r="D2023" s="1" t="str">
        <f>"112207811"</f>
        <v>112207811</v>
      </c>
      <c r="E2023" s="1">
        <v>79</v>
      </c>
      <c r="F2023" s="1">
        <v>95</v>
      </c>
      <c r="H2023" s="1">
        <v>85.4</v>
      </c>
    </row>
    <row r="2024" s="1" customFormat="1" spans="1:8">
      <c r="A2024" s="1" t="s">
        <v>14</v>
      </c>
      <c r="B2024" s="1" t="s">
        <v>19</v>
      </c>
      <c r="C2024" s="1" t="str">
        <f t="shared" si="40"/>
        <v>020082</v>
      </c>
      <c r="D2024" s="1" t="str">
        <f>"112207812"</f>
        <v>112207812</v>
      </c>
      <c r="E2024" s="1">
        <v>0</v>
      </c>
      <c r="F2024" s="1">
        <v>0</v>
      </c>
      <c r="H2024" s="1">
        <v>0</v>
      </c>
    </row>
    <row r="2025" s="1" customFormat="1" spans="1:8">
      <c r="A2025" s="1" t="s">
        <v>14</v>
      </c>
      <c r="B2025" s="1" t="s">
        <v>19</v>
      </c>
      <c r="C2025" s="1" t="str">
        <f t="shared" si="40"/>
        <v>020082</v>
      </c>
      <c r="D2025" s="1" t="str">
        <f>"112207813"</f>
        <v>112207813</v>
      </c>
      <c r="E2025" s="1">
        <v>0</v>
      </c>
      <c r="F2025" s="1">
        <v>0</v>
      </c>
      <c r="H2025" s="1">
        <v>0</v>
      </c>
    </row>
    <row r="2026" s="1" customFormat="1" spans="1:8">
      <c r="A2026" s="1" t="s">
        <v>14</v>
      </c>
      <c r="B2026" s="1" t="s">
        <v>19</v>
      </c>
      <c r="C2026" s="1" t="str">
        <f t="shared" si="40"/>
        <v>020082</v>
      </c>
      <c r="D2026" s="1" t="str">
        <f>"112207814"</f>
        <v>112207814</v>
      </c>
      <c r="E2026" s="1">
        <v>0</v>
      </c>
      <c r="F2026" s="1">
        <v>0</v>
      </c>
      <c r="H2026" s="1">
        <v>0</v>
      </c>
    </row>
    <row r="2027" s="1" customFormat="1" spans="1:8">
      <c r="A2027" s="1" t="s">
        <v>14</v>
      </c>
      <c r="B2027" s="1" t="s">
        <v>19</v>
      </c>
      <c r="C2027" s="1" t="str">
        <f t="shared" si="40"/>
        <v>020082</v>
      </c>
      <c r="D2027" s="1" t="str">
        <f>"112207815"</f>
        <v>112207815</v>
      </c>
      <c r="E2027" s="1">
        <v>66.5</v>
      </c>
      <c r="F2027" s="1">
        <v>65.5</v>
      </c>
      <c r="H2027" s="1">
        <v>66.1</v>
      </c>
    </row>
    <row r="2028" s="1" customFormat="1" spans="1:8">
      <c r="A2028" s="1" t="s">
        <v>14</v>
      </c>
      <c r="B2028" s="1" t="s">
        <v>19</v>
      </c>
      <c r="C2028" s="1" t="str">
        <f t="shared" si="40"/>
        <v>020082</v>
      </c>
      <c r="D2028" s="1" t="str">
        <f>"112207816"</f>
        <v>112207816</v>
      </c>
      <c r="E2028" s="1">
        <v>60.5</v>
      </c>
      <c r="F2028" s="1">
        <v>58</v>
      </c>
      <c r="H2028" s="1">
        <v>59.5</v>
      </c>
    </row>
    <row r="2029" s="1" customFormat="1" spans="1:8">
      <c r="A2029" s="1" t="s">
        <v>14</v>
      </c>
      <c r="B2029" s="1" t="s">
        <v>19</v>
      </c>
      <c r="C2029" s="1" t="str">
        <f t="shared" si="40"/>
        <v>020082</v>
      </c>
      <c r="D2029" s="1" t="str">
        <f>"112207817"</f>
        <v>112207817</v>
      </c>
      <c r="E2029" s="1">
        <v>90</v>
      </c>
      <c r="F2029" s="1">
        <v>96.5</v>
      </c>
      <c r="H2029" s="1">
        <v>92.6</v>
      </c>
    </row>
    <row r="2030" s="1" customFormat="1" spans="1:8">
      <c r="A2030" s="1" t="s">
        <v>14</v>
      </c>
      <c r="B2030" s="1" t="s">
        <v>19</v>
      </c>
      <c r="C2030" s="1" t="str">
        <f t="shared" si="40"/>
        <v>020082</v>
      </c>
      <c r="D2030" s="1" t="str">
        <f>"112207818"</f>
        <v>112207818</v>
      </c>
      <c r="E2030" s="1">
        <v>75</v>
      </c>
      <c r="F2030" s="1">
        <v>59.5</v>
      </c>
      <c r="H2030" s="1">
        <v>68.8</v>
      </c>
    </row>
    <row r="2031" s="1" customFormat="1" spans="1:8">
      <c r="A2031" s="1" t="s">
        <v>14</v>
      </c>
      <c r="B2031" s="1" t="s">
        <v>19</v>
      </c>
      <c r="C2031" s="1" t="str">
        <f t="shared" si="40"/>
        <v>020082</v>
      </c>
      <c r="D2031" s="1" t="str">
        <f>"112207819"</f>
        <v>112207819</v>
      </c>
      <c r="E2031" s="1">
        <v>66</v>
      </c>
      <c r="F2031" s="1">
        <v>67</v>
      </c>
      <c r="H2031" s="1">
        <v>66.4</v>
      </c>
    </row>
    <row r="2032" s="1" customFormat="1" spans="1:8">
      <c r="A2032" s="1" t="s">
        <v>14</v>
      </c>
      <c r="B2032" s="1" t="s">
        <v>19</v>
      </c>
      <c r="C2032" s="1" t="str">
        <f t="shared" si="40"/>
        <v>020082</v>
      </c>
      <c r="D2032" s="1" t="str">
        <f>"112207820"</f>
        <v>112207820</v>
      </c>
      <c r="E2032" s="1">
        <v>77.5</v>
      </c>
      <c r="F2032" s="1">
        <v>93</v>
      </c>
      <c r="H2032" s="1">
        <v>83.7</v>
      </c>
    </row>
    <row r="2033" s="1" customFormat="1" spans="1:8">
      <c r="A2033" s="1" t="s">
        <v>14</v>
      </c>
      <c r="B2033" s="1" t="s">
        <v>19</v>
      </c>
      <c r="C2033" s="1" t="str">
        <f t="shared" si="40"/>
        <v>020082</v>
      </c>
      <c r="D2033" s="1" t="str">
        <f>"112207821"</f>
        <v>112207821</v>
      </c>
      <c r="E2033" s="1">
        <v>83</v>
      </c>
      <c r="F2033" s="1">
        <v>85</v>
      </c>
      <c r="H2033" s="1">
        <v>83.8</v>
      </c>
    </row>
    <row r="2034" s="1" customFormat="1" spans="1:8">
      <c r="A2034" s="1" t="s">
        <v>14</v>
      </c>
      <c r="B2034" s="1" t="s">
        <v>19</v>
      </c>
      <c r="C2034" s="1" t="str">
        <f t="shared" si="40"/>
        <v>020082</v>
      </c>
      <c r="D2034" s="1" t="str">
        <f>"112207822"</f>
        <v>112207822</v>
      </c>
      <c r="E2034" s="1">
        <v>0</v>
      </c>
      <c r="F2034" s="1">
        <v>0</v>
      </c>
      <c r="H2034" s="1">
        <v>0</v>
      </c>
    </row>
    <row r="2035" s="1" customFormat="1" spans="1:8">
      <c r="A2035" s="1" t="s">
        <v>14</v>
      </c>
      <c r="B2035" s="1" t="s">
        <v>19</v>
      </c>
      <c r="C2035" s="1" t="str">
        <f t="shared" si="40"/>
        <v>020082</v>
      </c>
      <c r="D2035" s="1" t="str">
        <f>"112207823"</f>
        <v>112207823</v>
      </c>
      <c r="E2035" s="1">
        <v>60.5</v>
      </c>
      <c r="F2035" s="1">
        <v>67</v>
      </c>
      <c r="H2035" s="1">
        <v>63.1</v>
      </c>
    </row>
    <row r="2036" s="1" customFormat="1" spans="1:8">
      <c r="A2036" s="1" t="s">
        <v>14</v>
      </c>
      <c r="B2036" s="1" t="s">
        <v>19</v>
      </c>
      <c r="C2036" s="1" t="str">
        <f t="shared" si="40"/>
        <v>020082</v>
      </c>
      <c r="D2036" s="1" t="str">
        <f>"112207824"</f>
        <v>112207824</v>
      </c>
      <c r="E2036" s="1">
        <v>0</v>
      </c>
      <c r="F2036" s="1">
        <v>0</v>
      </c>
      <c r="H2036" s="1">
        <v>0</v>
      </c>
    </row>
    <row r="2037" s="1" customFormat="1" spans="1:8">
      <c r="A2037" s="1" t="s">
        <v>14</v>
      </c>
      <c r="B2037" s="1" t="s">
        <v>19</v>
      </c>
      <c r="C2037" s="1" t="str">
        <f t="shared" si="40"/>
        <v>020082</v>
      </c>
      <c r="D2037" s="1" t="str">
        <f>"112207825"</f>
        <v>112207825</v>
      </c>
      <c r="E2037" s="1">
        <v>69.5</v>
      </c>
      <c r="F2037" s="1">
        <v>80</v>
      </c>
      <c r="H2037" s="1">
        <v>73.7</v>
      </c>
    </row>
    <row r="2038" s="1" customFormat="1" spans="1:8">
      <c r="A2038" s="1" t="s">
        <v>14</v>
      </c>
      <c r="B2038" s="1" t="s">
        <v>19</v>
      </c>
      <c r="C2038" s="1" t="str">
        <f t="shared" si="40"/>
        <v>020082</v>
      </c>
      <c r="D2038" s="1" t="str">
        <f>"112207826"</f>
        <v>112207826</v>
      </c>
      <c r="E2038" s="1">
        <v>50.5</v>
      </c>
      <c r="F2038" s="1">
        <v>53.5</v>
      </c>
      <c r="H2038" s="1">
        <v>51.7</v>
      </c>
    </row>
    <row r="2039" s="1" customFormat="1" spans="1:8">
      <c r="A2039" s="1" t="s">
        <v>14</v>
      </c>
      <c r="B2039" s="1" t="s">
        <v>19</v>
      </c>
      <c r="C2039" s="1" t="str">
        <f t="shared" si="40"/>
        <v>020082</v>
      </c>
      <c r="D2039" s="1" t="str">
        <f>"112207827"</f>
        <v>112207827</v>
      </c>
      <c r="E2039" s="1">
        <v>67</v>
      </c>
      <c r="F2039" s="1">
        <v>70.5</v>
      </c>
      <c r="H2039" s="1">
        <v>68.4</v>
      </c>
    </row>
    <row r="2040" s="1" customFormat="1" spans="1:8">
      <c r="A2040" s="1" t="s">
        <v>14</v>
      </c>
      <c r="B2040" s="1" t="s">
        <v>19</v>
      </c>
      <c r="C2040" s="1" t="str">
        <f t="shared" si="40"/>
        <v>020082</v>
      </c>
      <c r="D2040" s="1" t="str">
        <f>"112207828"</f>
        <v>112207828</v>
      </c>
      <c r="E2040" s="1">
        <v>0</v>
      </c>
      <c r="F2040" s="1">
        <v>0</v>
      </c>
      <c r="H2040" s="1">
        <v>0</v>
      </c>
    </row>
    <row r="2041" s="1" customFormat="1" spans="1:8">
      <c r="A2041" s="1" t="s">
        <v>14</v>
      </c>
      <c r="B2041" s="1" t="s">
        <v>19</v>
      </c>
      <c r="C2041" s="1" t="str">
        <f t="shared" si="40"/>
        <v>020082</v>
      </c>
      <c r="D2041" s="1" t="str">
        <f>"112207829"</f>
        <v>112207829</v>
      </c>
      <c r="E2041" s="1">
        <v>71</v>
      </c>
      <c r="F2041" s="1">
        <v>78.5</v>
      </c>
      <c r="H2041" s="1">
        <v>74</v>
      </c>
    </row>
    <row r="2042" s="1" customFormat="1" spans="1:8">
      <c r="A2042" s="1" t="s">
        <v>14</v>
      </c>
      <c r="B2042" s="1" t="s">
        <v>19</v>
      </c>
      <c r="C2042" s="1" t="str">
        <f t="shared" si="40"/>
        <v>020082</v>
      </c>
      <c r="D2042" s="1" t="str">
        <f>"112207830"</f>
        <v>112207830</v>
      </c>
      <c r="E2042" s="1">
        <v>69.5</v>
      </c>
      <c r="F2042" s="1">
        <v>81</v>
      </c>
      <c r="H2042" s="1">
        <v>74.1</v>
      </c>
    </row>
    <row r="2043" s="1" customFormat="1" spans="1:8">
      <c r="A2043" s="1" t="s">
        <v>14</v>
      </c>
      <c r="B2043" s="1" t="s">
        <v>19</v>
      </c>
      <c r="C2043" s="1" t="str">
        <f t="shared" si="40"/>
        <v>020082</v>
      </c>
      <c r="D2043" s="1" t="str">
        <f>"112207901"</f>
        <v>112207901</v>
      </c>
      <c r="E2043" s="1">
        <v>63.5</v>
      </c>
      <c r="F2043" s="1">
        <v>55.5</v>
      </c>
      <c r="H2043" s="1">
        <v>60.3</v>
      </c>
    </row>
    <row r="2044" s="1" customFormat="1" spans="1:8">
      <c r="A2044" s="1" t="s">
        <v>14</v>
      </c>
      <c r="B2044" s="1" t="s">
        <v>19</v>
      </c>
      <c r="C2044" s="1" t="str">
        <f t="shared" si="40"/>
        <v>020082</v>
      </c>
      <c r="D2044" s="1" t="str">
        <f>"112207902"</f>
        <v>112207902</v>
      </c>
      <c r="E2044" s="1">
        <v>77.5</v>
      </c>
      <c r="F2044" s="1">
        <v>88.5</v>
      </c>
      <c r="H2044" s="1">
        <v>81.9</v>
      </c>
    </row>
    <row r="2045" s="1" customFormat="1" spans="1:8">
      <c r="A2045" s="1" t="s">
        <v>14</v>
      </c>
      <c r="B2045" s="1" t="s">
        <v>19</v>
      </c>
      <c r="C2045" s="1" t="str">
        <f t="shared" si="40"/>
        <v>020082</v>
      </c>
      <c r="D2045" s="1" t="str">
        <f>"112207903"</f>
        <v>112207903</v>
      </c>
      <c r="E2045" s="1">
        <v>47</v>
      </c>
      <c r="F2045" s="1">
        <v>67</v>
      </c>
      <c r="H2045" s="1">
        <v>55</v>
      </c>
    </row>
    <row r="2046" s="1" customFormat="1" spans="1:8">
      <c r="A2046" s="1" t="s">
        <v>14</v>
      </c>
      <c r="B2046" s="1" t="s">
        <v>19</v>
      </c>
      <c r="C2046" s="1" t="str">
        <f t="shared" si="40"/>
        <v>020082</v>
      </c>
      <c r="D2046" s="1" t="str">
        <f>"112207904"</f>
        <v>112207904</v>
      </c>
      <c r="E2046" s="1">
        <v>56</v>
      </c>
      <c r="F2046" s="1">
        <v>69</v>
      </c>
      <c r="H2046" s="1">
        <v>61.2</v>
      </c>
    </row>
    <row r="2047" s="1" customFormat="1" spans="1:8">
      <c r="A2047" s="1" t="s">
        <v>14</v>
      </c>
      <c r="B2047" s="1" t="s">
        <v>19</v>
      </c>
      <c r="C2047" s="1" t="str">
        <f t="shared" si="40"/>
        <v>020082</v>
      </c>
      <c r="D2047" s="1" t="str">
        <f>"112207905"</f>
        <v>112207905</v>
      </c>
      <c r="E2047" s="1">
        <v>74.5</v>
      </c>
      <c r="F2047" s="1">
        <v>91</v>
      </c>
      <c r="H2047" s="1">
        <v>81.1</v>
      </c>
    </row>
    <row r="2048" s="1" customFormat="1" spans="1:8">
      <c r="A2048" s="1" t="s">
        <v>14</v>
      </c>
      <c r="B2048" s="1" t="s">
        <v>19</v>
      </c>
      <c r="C2048" s="1" t="str">
        <f t="shared" si="40"/>
        <v>020082</v>
      </c>
      <c r="D2048" s="1" t="str">
        <f>"112207906"</f>
        <v>112207906</v>
      </c>
      <c r="E2048" s="1">
        <v>89.5</v>
      </c>
      <c r="F2048" s="1">
        <v>80.5</v>
      </c>
      <c r="H2048" s="1">
        <v>85.9</v>
      </c>
    </row>
    <row r="2049" s="1" customFormat="1" spans="1:8">
      <c r="A2049" s="1" t="s">
        <v>14</v>
      </c>
      <c r="B2049" s="1" t="s">
        <v>19</v>
      </c>
      <c r="C2049" s="1" t="str">
        <f t="shared" si="40"/>
        <v>020082</v>
      </c>
      <c r="D2049" s="1" t="str">
        <f>"112207907"</f>
        <v>112207907</v>
      </c>
      <c r="E2049" s="1">
        <v>80</v>
      </c>
      <c r="F2049" s="1">
        <v>96</v>
      </c>
      <c r="H2049" s="1">
        <v>86.4</v>
      </c>
    </row>
    <row r="2050" s="1" customFormat="1" spans="1:8">
      <c r="A2050" s="1" t="s">
        <v>14</v>
      </c>
      <c r="B2050" s="1" t="s">
        <v>19</v>
      </c>
      <c r="C2050" s="1" t="str">
        <f t="shared" si="40"/>
        <v>020082</v>
      </c>
      <c r="D2050" s="1" t="str">
        <f>"112207908"</f>
        <v>112207908</v>
      </c>
      <c r="E2050" s="1">
        <v>60.5</v>
      </c>
      <c r="F2050" s="1">
        <v>65.5</v>
      </c>
      <c r="H2050" s="1">
        <v>62.5</v>
      </c>
    </row>
    <row r="2051" s="1" customFormat="1" spans="1:8">
      <c r="A2051" s="1" t="s">
        <v>14</v>
      </c>
      <c r="B2051" s="1" t="s">
        <v>19</v>
      </c>
      <c r="C2051" s="1" t="str">
        <f t="shared" si="40"/>
        <v>020082</v>
      </c>
      <c r="D2051" s="1" t="str">
        <f>"112207909"</f>
        <v>112207909</v>
      </c>
      <c r="E2051" s="1">
        <v>72.5</v>
      </c>
      <c r="F2051" s="1">
        <v>81.5</v>
      </c>
      <c r="H2051" s="1">
        <v>76.1</v>
      </c>
    </row>
    <row r="2052" s="1" customFormat="1" spans="1:8">
      <c r="A2052" s="1" t="s">
        <v>14</v>
      </c>
      <c r="B2052" s="1" t="s">
        <v>19</v>
      </c>
      <c r="C2052" s="1" t="str">
        <f t="shared" si="40"/>
        <v>020082</v>
      </c>
      <c r="D2052" s="1" t="str">
        <f>"112207910"</f>
        <v>112207910</v>
      </c>
      <c r="E2052" s="1">
        <v>0</v>
      </c>
      <c r="F2052" s="1">
        <v>0</v>
      </c>
      <c r="H2052" s="1">
        <v>0</v>
      </c>
    </row>
    <row r="2053" s="1" customFormat="1" spans="1:8">
      <c r="A2053" s="1" t="s">
        <v>14</v>
      </c>
      <c r="B2053" s="1" t="s">
        <v>19</v>
      </c>
      <c r="C2053" s="1" t="str">
        <f t="shared" si="40"/>
        <v>020082</v>
      </c>
      <c r="D2053" s="1" t="str">
        <f>"112207911"</f>
        <v>112207911</v>
      </c>
      <c r="E2053" s="1">
        <v>0</v>
      </c>
      <c r="F2053" s="1">
        <v>0</v>
      </c>
      <c r="H2053" s="1">
        <v>0</v>
      </c>
    </row>
    <row r="2054" s="1" customFormat="1" spans="1:8">
      <c r="A2054" s="1" t="s">
        <v>14</v>
      </c>
      <c r="B2054" s="1" t="s">
        <v>19</v>
      </c>
      <c r="C2054" s="1" t="str">
        <f t="shared" si="40"/>
        <v>020082</v>
      </c>
      <c r="D2054" s="1" t="str">
        <f>"112207912"</f>
        <v>112207912</v>
      </c>
      <c r="E2054" s="1">
        <v>58.5</v>
      </c>
      <c r="F2054" s="1">
        <v>70</v>
      </c>
      <c r="H2054" s="1">
        <v>63.1</v>
      </c>
    </row>
    <row r="2055" s="1" customFormat="1" spans="1:8">
      <c r="A2055" s="1" t="s">
        <v>14</v>
      </c>
      <c r="B2055" s="1" t="s">
        <v>19</v>
      </c>
      <c r="C2055" s="1" t="str">
        <f t="shared" si="40"/>
        <v>020082</v>
      </c>
      <c r="D2055" s="1" t="str">
        <f>"112207913"</f>
        <v>112207913</v>
      </c>
      <c r="E2055" s="1">
        <v>0</v>
      </c>
      <c r="F2055" s="1">
        <v>0</v>
      </c>
      <c r="H2055" s="1">
        <v>0</v>
      </c>
    </row>
    <row r="2056" s="1" customFormat="1" spans="1:8">
      <c r="A2056" s="1" t="s">
        <v>14</v>
      </c>
      <c r="B2056" s="1" t="s">
        <v>19</v>
      </c>
      <c r="C2056" s="1" t="str">
        <f t="shared" si="40"/>
        <v>020082</v>
      </c>
      <c r="D2056" s="1" t="str">
        <f>"112207914"</f>
        <v>112207914</v>
      </c>
      <c r="E2056" s="1">
        <v>0</v>
      </c>
      <c r="F2056" s="1">
        <v>0</v>
      </c>
      <c r="H2056" s="1">
        <v>0</v>
      </c>
    </row>
    <row r="2057" s="1" customFormat="1" spans="1:8">
      <c r="A2057" s="1" t="s">
        <v>14</v>
      </c>
      <c r="B2057" s="1" t="s">
        <v>19</v>
      </c>
      <c r="C2057" s="1" t="str">
        <f t="shared" si="40"/>
        <v>020082</v>
      </c>
      <c r="D2057" s="1" t="str">
        <f>"112207915"</f>
        <v>112207915</v>
      </c>
      <c r="E2057" s="1">
        <v>0</v>
      </c>
      <c r="F2057" s="1">
        <v>0</v>
      </c>
      <c r="H2057" s="1">
        <v>0</v>
      </c>
    </row>
    <row r="2058" s="1" customFormat="1" spans="1:8">
      <c r="A2058" s="1" t="s">
        <v>14</v>
      </c>
      <c r="B2058" s="1" t="s">
        <v>19</v>
      </c>
      <c r="C2058" s="1" t="str">
        <f t="shared" si="40"/>
        <v>020082</v>
      </c>
      <c r="D2058" s="1" t="str">
        <f>"112207916"</f>
        <v>112207916</v>
      </c>
      <c r="E2058" s="1">
        <v>64</v>
      </c>
      <c r="F2058" s="1">
        <v>54</v>
      </c>
      <c r="H2058" s="1">
        <v>60</v>
      </c>
    </row>
    <row r="2059" s="1" customFormat="1" spans="1:8">
      <c r="A2059" s="1" t="s">
        <v>14</v>
      </c>
      <c r="B2059" s="1" t="s">
        <v>19</v>
      </c>
      <c r="C2059" s="1" t="str">
        <f t="shared" si="40"/>
        <v>020082</v>
      </c>
      <c r="D2059" s="1" t="str">
        <f>"112207917"</f>
        <v>112207917</v>
      </c>
      <c r="E2059" s="1">
        <v>81</v>
      </c>
      <c r="F2059" s="1">
        <v>82</v>
      </c>
      <c r="H2059" s="1">
        <v>81.4</v>
      </c>
    </row>
    <row r="2060" s="1" customFormat="1" spans="1:8">
      <c r="A2060" s="1" t="s">
        <v>14</v>
      </c>
      <c r="B2060" s="1" t="s">
        <v>19</v>
      </c>
      <c r="C2060" s="1" t="str">
        <f t="shared" si="40"/>
        <v>020082</v>
      </c>
      <c r="D2060" s="1" t="str">
        <f>"112207918"</f>
        <v>112207918</v>
      </c>
      <c r="E2060" s="1">
        <v>87.5</v>
      </c>
      <c r="F2060" s="1">
        <v>88.5</v>
      </c>
      <c r="H2060" s="1">
        <v>87.9</v>
      </c>
    </row>
    <row r="2061" s="1" customFormat="1" spans="1:8">
      <c r="A2061" s="1" t="s">
        <v>14</v>
      </c>
      <c r="B2061" s="1" t="s">
        <v>19</v>
      </c>
      <c r="C2061" s="1" t="str">
        <f t="shared" si="40"/>
        <v>020082</v>
      </c>
      <c r="D2061" s="1" t="str">
        <f>"112207919"</f>
        <v>112207919</v>
      </c>
      <c r="E2061" s="1">
        <v>63.5</v>
      </c>
      <c r="F2061" s="1">
        <v>83.5</v>
      </c>
      <c r="H2061" s="1">
        <v>71.5</v>
      </c>
    </row>
    <row r="2062" s="1" customFormat="1" spans="1:8">
      <c r="A2062" s="1" t="s">
        <v>14</v>
      </c>
      <c r="B2062" s="1" t="s">
        <v>19</v>
      </c>
      <c r="C2062" s="1" t="str">
        <f t="shared" si="40"/>
        <v>020082</v>
      </c>
      <c r="D2062" s="1" t="str">
        <f>"112207920"</f>
        <v>112207920</v>
      </c>
      <c r="E2062" s="1">
        <v>71</v>
      </c>
      <c r="F2062" s="1">
        <v>76</v>
      </c>
      <c r="H2062" s="1">
        <v>73</v>
      </c>
    </row>
    <row r="2063" s="1" customFormat="1" spans="1:8">
      <c r="A2063" s="1" t="s">
        <v>14</v>
      </c>
      <c r="B2063" s="1" t="s">
        <v>19</v>
      </c>
      <c r="C2063" s="1" t="str">
        <f t="shared" si="40"/>
        <v>020082</v>
      </c>
      <c r="D2063" s="1" t="str">
        <f>"112207921"</f>
        <v>112207921</v>
      </c>
      <c r="E2063" s="1">
        <v>69.5</v>
      </c>
      <c r="F2063" s="1">
        <v>64</v>
      </c>
      <c r="H2063" s="1">
        <v>67.3</v>
      </c>
    </row>
    <row r="2064" s="1" customFormat="1" spans="1:8">
      <c r="A2064" s="1" t="s">
        <v>14</v>
      </c>
      <c r="B2064" s="1" t="s">
        <v>19</v>
      </c>
      <c r="C2064" s="1" t="str">
        <f t="shared" si="40"/>
        <v>020082</v>
      </c>
      <c r="D2064" s="1" t="str">
        <f>"112207922"</f>
        <v>112207922</v>
      </c>
      <c r="E2064" s="1">
        <v>68.5</v>
      </c>
      <c r="F2064" s="1">
        <v>83.5</v>
      </c>
      <c r="H2064" s="1">
        <v>74.5</v>
      </c>
    </row>
    <row r="2065" s="1" customFormat="1" spans="1:8">
      <c r="A2065" s="1" t="s">
        <v>14</v>
      </c>
      <c r="B2065" s="1" t="s">
        <v>19</v>
      </c>
      <c r="C2065" s="1" t="str">
        <f t="shared" si="40"/>
        <v>020082</v>
      </c>
      <c r="D2065" s="1" t="str">
        <f>"112207923"</f>
        <v>112207923</v>
      </c>
      <c r="E2065" s="1">
        <v>0</v>
      </c>
      <c r="F2065" s="1">
        <v>0</v>
      </c>
      <c r="H2065" s="1">
        <v>0</v>
      </c>
    </row>
    <row r="2066" s="1" customFormat="1" spans="1:8">
      <c r="A2066" s="1" t="s">
        <v>14</v>
      </c>
      <c r="B2066" s="1" t="s">
        <v>19</v>
      </c>
      <c r="C2066" s="1" t="str">
        <f t="shared" si="40"/>
        <v>020082</v>
      </c>
      <c r="D2066" s="1" t="str">
        <f>"112207924"</f>
        <v>112207924</v>
      </c>
      <c r="E2066" s="1">
        <v>72.5</v>
      </c>
      <c r="F2066" s="1">
        <v>64.5</v>
      </c>
      <c r="H2066" s="1">
        <v>69.3</v>
      </c>
    </row>
    <row r="2067" s="1" customFormat="1" spans="1:8">
      <c r="A2067" s="1" t="s">
        <v>14</v>
      </c>
      <c r="B2067" s="1" t="s">
        <v>19</v>
      </c>
      <c r="C2067" s="1" t="str">
        <f t="shared" si="40"/>
        <v>020082</v>
      </c>
      <c r="D2067" s="1" t="str">
        <f>"112207925"</f>
        <v>112207925</v>
      </c>
      <c r="E2067" s="1">
        <v>69</v>
      </c>
      <c r="F2067" s="1">
        <v>70.5</v>
      </c>
      <c r="H2067" s="1">
        <v>69.6</v>
      </c>
    </row>
    <row r="2068" s="1" customFormat="1" spans="1:8">
      <c r="A2068" s="1" t="s">
        <v>14</v>
      </c>
      <c r="B2068" s="1" t="s">
        <v>19</v>
      </c>
      <c r="C2068" s="1" t="str">
        <f t="shared" si="40"/>
        <v>020082</v>
      </c>
      <c r="D2068" s="1" t="str">
        <f>"112207926"</f>
        <v>112207926</v>
      </c>
      <c r="E2068" s="1">
        <v>79</v>
      </c>
      <c r="F2068" s="1">
        <v>85</v>
      </c>
      <c r="H2068" s="1">
        <v>81.4</v>
      </c>
    </row>
    <row r="2069" s="1" customFormat="1" spans="1:8">
      <c r="A2069" s="1" t="s">
        <v>14</v>
      </c>
      <c r="B2069" s="1" t="s">
        <v>19</v>
      </c>
      <c r="C2069" s="1" t="str">
        <f t="shared" si="40"/>
        <v>020082</v>
      </c>
      <c r="D2069" s="1" t="str">
        <f>"112207927"</f>
        <v>112207927</v>
      </c>
      <c r="E2069" s="1">
        <v>83.5</v>
      </c>
      <c r="F2069" s="1">
        <v>75</v>
      </c>
      <c r="H2069" s="1">
        <v>80.1</v>
      </c>
    </row>
    <row r="2070" s="1" customFormat="1" spans="1:8">
      <c r="A2070" s="1" t="s">
        <v>14</v>
      </c>
      <c r="B2070" s="1" t="s">
        <v>19</v>
      </c>
      <c r="C2070" s="1" t="str">
        <f t="shared" si="40"/>
        <v>020082</v>
      </c>
      <c r="D2070" s="1" t="str">
        <f>"112207928"</f>
        <v>112207928</v>
      </c>
      <c r="E2070" s="1">
        <v>63.5</v>
      </c>
      <c r="F2070" s="1">
        <v>64.5</v>
      </c>
      <c r="H2070" s="1">
        <v>63.9</v>
      </c>
    </row>
    <row r="2071" s="1" customFormat="1" spans="1:8">
      <c r="A2071" s="1" t="s">
        <v>14</v>
      </c>
      <c r="B2071" s="1" t="s">
        <v>19</v>
      </c>
      <c r="C2071" s="1" t="str">
        <f t="shared" si="40"/>
        <v>020082</v>
      </c>
      <c r="D2071" s="1" t="str">
        <f>"112207929"</f>
        <v>112207929</v>
      </c>
      <c r="E2071" s="1">
        <v>62.5</v>
      </c>
      <c r="F2071" s="1">
        <v>73</v>
      </c>
      <c r="H2071" s="1">
        <v>66.7</v>
      </c>
    </row>
    <row r="2072" s="1" customFormat="1" spans="1:8">
      <c r="A2072" s="1" t="s">
        <v>14</v>
      </c>
      <c r="B2072" s="1" t="s">
        <v>19</v>
      </c>
      <c r="C2072" s="1" t="str">
        <f t="shared" si="40"/>
        <v>020082</v>
      </c>
      <c r="D2072" s="1" t="str">
        <f>"112207930"</f>
        <v>112207930</v>
      </c>
      <c r="E2072" s="1">
        <v>84</v>
      </c>
      <c r="F2072" s="1">
        <v>91.5</v>
      </c>
      <c r="H2072" s="1">
        <v>87</v>
      </c>
    </row>
    <row r="2073" s="1" customFormat="1" spans="1:8">
      <c r="A2073" s="1" t="s">
        <v>14</v>
      </c>
      <c r="B2073" s="1" t="s">
        <v>19</v>
      </c>
      <c r="C2073" s="1" t="str">
        <f t="shared" si="40"/>
        <v>020082</v>
      </c>
      <c r="D2073" s="1" t="str">
        <f>"112208001"</f>
        <v>112208001</v>
      </c>
      <c r="E2073" s="1">
        <v>0</v>
      </c>
      <c r="F2073" s="1">
        <v>0</v>
      </c>
      <c r="H2073" s="1">
        <v>0</v>
      </c>
    </row>
    <row r="2074" s="1" customFormat="1" spans="1:8">
      <c r="A2074" s="1" t="s">
        <v>14</v>
      </c>
      <c r="B2074" s="1" t="s">
        <v>19</v>
      </c>
      <c r="C2074" s="1" t="str">
        <f t="shared" ref="C2074:C2137" si="41">"020082"</f>
        <v>020082</v>
      </c>
      <c r="D2074" s="1" t="str">
        <f>"112208002"</f>
        <v>112208002</v>
      </c>
      <c r="E2074" s="1">
        <v>62.5</v>
      </c>
      <c r="F2074" s="1">
        <v>54.5</v>
      </c>
      <c r="H2074" s="1">
        <v>59.3</v>
      </c>
    </row>
    <row r="2075" s="1" customFormat="1" spans="1:8">
      <c r="A2075" s="1" t="s">
        <v>14</v>
      </c>
      <c r="B2075" s="1" t="s">
        <v>19</v>
      </c>
      <c r="C2075" s="1" t="str">
        <f t="shared" si="41"/>
        <v>020082</v>
      </c>
      <c r="D2075" s="1" t="str">
        <f>"112208003"</f>
        <v>112208003</v>
      </c>
      <c r="E2075" s="1">
        <v>0</v>
      </c>
      <c r="F2075" s="1">
        <v>0</v>
      </c>
      <c r="H2075" s="1">
        <v>0</v>
      </c>
    </row>
    <row r="2076" s="1" customFormat="1" spans="1:8">
      <c r="A2076" s="1" t="s">
        <v>14</v>
      </c>
      <c r="B2076" s="1" t="s">
        <v>19</v>
      </c>
      <c r="C2076" s="1" t="str">
        <f t="shared" si="41"/>
        <v>020082</v>
      </c>
      <c r="D2076" s="1" t="str">
        <f>"112208004"</f>
        <v>112208004</v>
      </c>
      <c r="E2076" s="1">
        <v>67</v>
      </c>
      <c r="F2076" s="1">
        <v>71.5</v>
      </c>
      <c r="H2076" s="1">
        <v>68.8</v>
      </c>
    </row>
    <row r="2077" s="1" customFormat="1" spans="1:8">
      <c r="A2077" s="1" t="s">
        <v>14</v>
      </c>
      <c r="B2077" s="1" t="s">
        <v>19</v>
      </c>
      <c r="C2077" s="1" t="str">
        <f t="shared" si="41"/>
        <v>020082</v>
      </c>
      <c r="D2077" s="1" t="str">
        <f>"112208005"</f>
        <v>112208005</v>
      </c>
      <c r="E2077" s="1">
        <v>52.5</v>
      </c>
      <c r="F2077" s="1">
        <v>62</v>
      </c>
      <c r="H2077" s="1">
        <v>56.3</v>
      </c>
    </row>
    <row r="2078" s="1" customFormat="1" spans="1:8">
      <c r="A2078" s="1" t="s">
        <v>14</v>
      </c>
      <c r="B2078" s="1" t="s">
        <v>19</v>
      </c>
      <c r="C2078" s="1" t="str">
        <f t="shared" si="41"/>
        <v>020082</v>
      </c>
      <c r="D2078" s="1" t="str">
        <f>"112208006"</f>
        <v>112208006</v>
      </c>
      <c r="E2078" s="1">
        <v>83.5</v>
      </c>
      <c r="F2078" s="1">
        <v>87</v>
      </c>
      <c r="H2078" s="1">
        <v>84.9</v>
      </c>
    </row>
    <row r="2079" s="1" customFormat="1" spans="1:8">
      <c r="A2079" s="1" t="s">
        <v>14</v>
      </c>
      <c r="B2079" s="1" t="s">
        <v>19</v>
      </c>
      <c r="C2079" s="1" t="str">
        <f t="shared" si="41"/>
        <v>020082</v>
      </c>
      <c r="D2079" s="1" t="str">
        <f>"112208007"</f>
        <v>112208007</v>
      </c>
      <c r="E2079" s="1">
        <v>90</v>
      </c>
      <c r="F2079" s="1">
        <v>88</v>
      </c>
      <c r="H2079" s="1">
        <v>89.2</v>
      </c>
    </row>
    <row r="2080" s="1" customFormat="1" spans="1:8">
      <c r="A2080" s="1" t="s">
        <v>14</v>
      </c>
      <c r="B2080" s="1" t="s">
        <v>19</v>
      </c>
      <c r="C2080" s="1" t="str">
        <f t="shared" si="41"/>
        <v>020082</v>
      </c>
      <c r="D2080" s="1" t="str">
        <f>"112208008"</f>
        <v>112208008</v>
      </c>
      <c r="E2080" s="1">
        <v>75</v>
      </c>
      <c r="F2080" s="1">
        <v>80.5</v>
      </c>
      <c r="H2080" s="1">
        <v>77.2</v>
      </c>
    </row>
    <row r="2081" s="1" customFormat="1" spans="1:8">
      <c r="A2081" s="1" t="s">
        <v>14</v>
      </c>
      <c r="B2081" s="1" t="s">
        <v>19</v>
      </c>
      <c r="C2081" s="1" t="str">
        <f t="shared" si="41"/>
        <v>020082</v>
      </c>
      <c r="D2081" s="1" t="str">
        <f>"112208009"</f>
        <v>112208009</v>
      </c>
      <c r="E2081" s="1">
        <v>72.5</v>
      </c>
      <c r="F2081" s="1">
        <v>88.5</v>
      </c>
      <c r="H2081" s="1">
        <v>78.9</v>
      </c>
    </row>
    <row r="2082" s="1" customFormat="1" spans="1:8">
      <c r="A2082" s="1" t="s">
        <v>14</v>
      </c>
      <c r="B2082" s="1" t="s">
        <v>19</v>
      </c>
      <c r="C2082" s="1" t="str">
        <f t="shared" si="41"/>
        <v>020082</v>
      </c>
      <c r="D2082" s="1" t="str">
        <f>"112208010"</f>
        <v>112208010</v>
      </c>
      <c r="E2082" s="1">
        <v>76.5</v>
      </c>
      <c r="F2082" s="1">
        <v>77</v>
      </c>
      <c r="H2082" s="1">
        <v>76.7</v>
      </c>
    </row>
    <row r="2083" s="1" customFormat="1" spans="1:8">
      <c r="A2083" s="1" t="s">
        <v>14</v>
      </c>
      <c r="B2083" s="1" t="s">
        <v>19</v>
      </c>
      <c r="C2083" s="1" t="str">
        <f t="shared" si="41"/>
        <v>020082</v>
      </c>
      <c r="D2083" s="1" t="str">
        <f>"112208011"</f>
        <v>112208011</v>
      </c>
      <c r="E2083" s="1">
        <v>0</v>
      </c>
      <c r="F2083" s="1">
        <v>0</v>
      </c>
      <c r="H2083" s="1">
        <v>0</v>
      </c>
    </row>
    <row r="2084" s="1" customFormat="1" spans="1:8">
      <c r="A2084" s="1" t="s">
        <v>14</v>
      </c>
      <c r="B2084" s="1" t="s">
        <v>19</v>
      </c>
      <c r="C2084" s="1" t="str">
        <f t="shared" si="41"/>
        <v>020082</v>
      </c>
      <c r="D2084" s="1" t="str">
        <f>"112208012"</f>
        <v>112208012</v>
      </c>
      <c r="E2084" s="1">
        <v>73</v>
      </c>
      <c r="F2084" s="1">
        <v>89</v>
      </c>
      <c r="H2084" s="1">
        <v>79.4</v>
      </c>
    </row>
    <row r="2085" s="1" customFormat="1" spans="1:8">
      <c r="A2085" s="1" t="s">
        <v>14</v>
      </c>
      <c r="B2085" s="1" t="s">
        <v>19</v>
      </c>
      <c r="C2085" s="1" t="str">
        <f t="shared" si="41"/>
        <v>020082</v>
      </c>
      <c r="D2085" s="1" t="str">
        <f>"112208013"</f>
        <v>112208013</v>
      </c>
      <c r="E2085" s="1">
        <v>95</v>
      </c>
      <c r="F2085" s="1">
        <v>94.5</v>
      </c>
      <c r="H2085" s="1">
        <v>94.8</v>
      </c>
    </row>
    <row r="2086" s="1" customFormat="1" spans="1:8">
      <c r="A2086" s="1" t="s">
        <v>14</v>
      </c>
      <c r="B2086" s="1" t="s">
        <v>19</v>
      </c>
      <c r="C2086" s="1" t="str">
        <f t="shared" si="41"/>
        <v>020082</v>
      </c>
      <c r="D2086" s="1" t="str">
        <f>"112208014"</f>
        <v>112208014</v>
      </c>
      <c r="E2086" s="1">
        <v>0</v>
      </c>
      <c r="F2086" s="1">
        <v>0</v>
      </c>
      <c r="H2086" s="1">
        <v>0</v>
      </c>
    </row>
    <row r="2087" s="1" customFormat="1" spans="1:8">
      <c r="A2087" s="1" t="s">
        <v>14</v>
      </c>
      <c r="B2087" s="1" t="s">
        <v>19</v>
      </c>
      <c r="C2087" s="1" t="str">
        <f t="shared" si="41"/>
        <v>020082</v>
      </c>
      <c r="D2087" s="1" t="str">
        <f>"112208015"</f>
        <v>112208015</v>
      </c>
      <c r="E2087" s="1">
        <v>0</v>
      </c>
      <c r="F2087" s="1">
        <v>0</v>
      </c>
      <c r="H2087" s="1">
        <v>0</v>
      </c>
    </row>
    <row r="2088" s="1" customFormat="1" spans="1:8">
      <c r="A2088" s="1" t="s">
        <v>14</v>
      </c>
      <c r="B2088" s="1" t="s">
        <v>19</v>
      </c>
      <c r="C2088" s="1" t="str">
        <f t="shared" si="41"/>
        <v>020082</v>
      </c>
      <c r="D2088" s="1" t="str">
        <f>"112208016"</f>
        <v>112208016</v>
      </c>
      <c r="E2088" s="1">
        <v>69.5</v>
      </c>
      <c r="F2088" s="1">
        <v>90</v>
      </c>
      <c r="H2088" s="1">
        <v>77.7</v>
      </c>
    </row>
    <row r="2089" s="1" customFormat="1" spans="1:8">
      <c r="A2089" s="1" t="s">
        <v>14</v>
      </c>
      <c r="B2089" s="1" t="s">
        <v>19</v>
      </c>
      <c r="C2089" s="1" t="str">
        <f t="shared" si="41"/>
        <v>020082</v>
      </c>
      <c r="D2089" s="1" t="str">
        <f>"112208017"</f>
        <v>112208017</v>
      </c>
      <c r="E2089" s="1">
        <v>89</v>
      </c>
      <c r="F2089" s="1">
        <v>97</v>
      </c>
      <c r="H2089" s="1">
        <v>92.2</v>
      </c>
    </row>
    <row r="2090" s="1" customFormat="1" spans="1:8">
      <c r="A2090" s="1" t="s">
        <v>14</v>
      </c>
      <c r="B2090" s="1" t="s">
        <v>19</v>
      </c>
      <c r="C2090" s="1" t="str">
        <f t="shared" si="41"/>
        <v>020082</v>
      </c>
      <c r="D2090" s="1" t="str">
        <f>"112208018"</f>
        <v>112208018</v>
      </c>
      <c r="E2090" s="1">
        <v>57</v>
      </c>
      <c r="F2090" s="1">
        <v>58.5</v>
      </c>
      <c r="H2090" s="1">
        <v>57.6</v>
      </c>
    </row>
    <row r="2091" s="1" customFormat="1" spans="1:8">
      <c r="A2091" s="1" t="s">
        <v>14</v>
      </c>
      <c r="B2091" s="1" t="s">
        <v>19</v>
      </c>
      <c r="C2091" s="1" t="str">
        <f t="shared" si="41"/>
        <v>020082</v>
      </c>
      <c r="D2091" s="1" t="str">
        <f>"112208019"</f>
        <v>112208019</v>
      </c>
      <c r="E2091" s="1">
        <v>76.5</v>
      </c>
      <c r="F2091" s="1">
        <v>69.5</v>
      </c>
      <c r="H2091" s="1">
        <v>73.7</v>
      </c>
    </row>
    <row r="2092" s="1" customFormat="1" spans="1:8">
      <c r="A2092" s="1" t="s">
        <v>14</v>
      </c>
      <c r="B2092" s="1" t="s">
        <v>19</v>
      </c>
      <c r="C2092" s="1" t="str">
        <f t="shared" si="41"/>
        <v>020082</v>
      </c>
      <c r="D2092" s="1" t="str">
        <f>"112208020"</f>
        <v>112208020</v>
      </c>
      <c r="E2092" s="1">
        <v>37</v>
      </c>
      <c r="F2092" s="1">
        <v>0</v>
      </c>
      <c r="H2092" s="1">
        <v>22.2</v>
      </c>
    </row>
    <row r="2093" s="1" customFormat="1" spans="1:8">
      <c r="A2093" s="1" t="s">
        <v>14</v>
      </c>
      <c r="B2093" s="1" t="s">
        <v>19</v>
      </c>
      <c r="C2093" s="1" t="str">
        <f t="shared" si="41"/>
        <v>020082</v>
      </c>
      <c r="D2093" s="1" t="str">
        <f>"112208021"</f>
        <v>112208021</v>
      </c>
      <c r="E2093" s="1">
        <v>0</v>
      </c>
      <c r="F2093" s="1">
        <v>0</v>
      </c>
      <c r="H2093" s="1">
        <v>0</v>
      </c>
    </row>
    <row r="2094" s="1" customFormat="1" spans="1:8">
      <c r="A2094" s="1" t="s">
        <v>14</v>
      </c>
      <c r="B2094" s="1" t="s">
        <v>19</v>
      </c>
      <c r="C2094" s="1" t="str">
        <f t="shared" si="41"/>
        <v>020082</v>
      </c>
      <c r="D2094" s="1" t="str">
        <f>"112208022"</f>
        <v>112208022</v>
      </c>
      <c r="E2094" s="1">
        <v>0</v>
      </c>
      <c r="F2094" s="1">
        <v>0</v>
      </c>
      <c r="H2094" s="1">
        <v>0</v>
      </c>
    </row>
    <row r="2095" s="1" customFormat="1" spans="1:8">
      <c r="A2095" s="1" t="s">
        <v>14</v>
      </c>
      <c r="B2095" s="1" t="s">
        <v>19</v>
      </c>
      <c r="C2095" s="1" t="str">
        <f t="shared" si="41"/>
        <v>020082</v>
      </c>
      <c r="D2095" s="1" t="str">
        <f>"112208023"</f>
        <v>112208023</v>
      </c>
      <c r="E2095" s="1">
        <v>65.5</v>
      </c>
      <c r="F2095" s="1">
        <v>72.5</v>
      </c>
      <c r="H2095" s="1">
        <v>68.3</v>
      </c>
    </row>
    <row r="2096" s="1" customFormat="1" spans="1:8">
      <c r="A2096" s="1" t="s">
        <v>14</v>
      </c>
      <c r="B2096" s="1" t="s">
        <v>19</v>
      </c>
      <c r="C2096" s="1" t="str">
        <f t="shared" si="41"/>
        <v>020082</v>
      </c>
      <c r="D2096" s="1" t="str">
        <f>"112208024"</f>
        <v>112208024</v>
      </c>
      <c r="E2096" s="1">
        <v>0</v>
      </c>
      <c r="F2096" s="1">
        <v>0</v>
      </c>
      <c r="H2096" s="1">
        <v>0</v>
      </c>
    </row>
    <row r="2097" s="1" customFormat="1" spans="1:8">
      <c r="A2097" s="1" t="s">
        <v>14</v>
      </c>
      <c r="B2097" s="1" t="s">
        <v>19</v>
      </c>
      <c r="C2097" s="1" t="str">
        <f t="shared" si="41"/>
        <v>020082</v>
      </c>
      <c r="D2097" s="1" t="str">
        <f>"112208025"</f>
        <v>112208025</v>
      </c>
      <c r="E2097" s="1">
        <v>0</v>
      </c>
      <c r="F2097" s="1">
        <v>0</v>
      </c>
      <c r="H2097" s="1">
        <v>0</v>
      </c>
    </row>
    <row r="2098" s="1" customFormat="1" spans="1:8">
      <c r="A2098" s="1" t="s">
        <v>14</v>
      </c>
      <c r="B2098" s="1" t="s">
        <v>19</v>
      </c>
      <c r="C2098" s="1" t="str">
        <f t="shared" si="41"/>
        <v>020082</v>
      </c>
      <c r="D2098" s="1" t="str">
        <f>"112208026"</f>
        <v>112208026</v>
      </c>
      <c r="E2098" s="1">
        <v>70.5</v>
      </c>
      <c r="F2098" s="1">
        <v>76.5</v>
      </c>
      <c r="H2098" s="1">
        <v>72.9</v>
      </c>
    </row>
    <row r="2099" s="1" customFormat="1" spans="1:8">
      <c r="A2099" s="1" t="s">
        <v>14</v>
      </c>
      <c r="B2099" s="1" t="s">
        <v>19</v>
      </c>
      <c r="C2099" s="1" t="str">
        <f t="shared" si="41"/>
        <v>020082</v>
      </c>
      <c r="D2099" s="1" t="str">
        <f>"112208027"</f>
        <v>112208027</v>
      </c>
      <c r="E2099" s="1">
        <v>70.5</v>
      </c>
      <c r="F2099" s="1">
        <v>80.5</v>
      </c>
      <c r="H2099" s="1">
        <v>74.5</v>
      </c>
    </row>
    <row r="2100" s="1" customFormat="1" spans="1:8">
      <c r="A2100" s="1" t="s">
        <v>14</v>
      </c>
      <c r="B2100" s="1" t="s">
        <v>19</v>
      </c>
      <c r="C2100" s="1" t="str">
        <f t="shared" si="41"/>
        <v>020082</v>
      </c>
      <c r="D2100" s="1" t="str">
        <f>"112208028"</f>
        <v>112208028</v>
      </c>
      <c r="E2100" s="1">
        <v>0</v>
      </c>
      <c r="F2100" s="1">
        <v>0</v>
      </c>
      <c r="H2100" s="1">
        <v>0</v>
      </c>
    </row>
    <row r="2101" s="1" customFormat="1" spans="1:8">
      <c r="A2101" s="1" t="s">
        <v>14</v>
      </c>
      <c r="B2101" s="1" t="s">
        <v>19</v>
      </c>
      <c r="C2101" s="1" t="str">
        <f t="shared" si="41"/>
        <v>020082</v>
      </c>
      <c r="D2101" s="1" t="str">
        <f>"112208029"</f>
        <v>112208029</v>
      </c>
      <c r="E2101" s="1">
        <v>80.5</v>
      </c>
      <c r="F2101" s="1">
        <v>80.5</v>
      </c>
      <c r="H2101" s="1">
        <v>80.5</v>
      </c>
    </row>
    <row r="2102" s="1" customFormat="1" spans="1:8">
      <c r="A2102" s="1" t="s">
        <v>14</v>
      </c>
      <c r="B2102" s="1" t="s">
        <v>19</v>
      </c>
      <c r="C2102" s="1" t="str">
        <f t="shared" si="41"/>
        <v>020082</v>
      </c>
      <c r="D2102" s="1" t="str">
        <f>"112208030"</f>
        <v>112208030</v>
      </c>
      <c r="E2102" s="1">
        <v>0</v>
      </c>
      <c r="F2102" s="1">
        <v>0</v>
      </c>
      <c r="H2102" s="1">
        <v>0</v>
      </c>
    </row>
    <row r="2103" s="1" customFormat="1" spans="1:8">
      <c r="A2103" s="1" t="s">
        <v>14</v>
      </c>
      <c r="B2103" s="1" t="s">
        <v>19</v>
      </c>
      <c r="C2103" s="1" t="str">
        <f t="shared" si="41"/>
        <v>020082</v>
      </c>
      <c r="D2103" s="1" t="str">
        <f>"112208101"</f>
        <v>112208101</v>
      </c>
      <c r="E2103" s="1">
        <v>60</v>
      </c>
      <c r="F2103" s="1">
        <v>53</v>
      </c>
      <c r="H2103" s="1">
        <v>57.2</v>
      </c>
    </row>
    <row r="2104" s="1" customFormat="1" spans="1:8">
      <c r="A2104" s="1" t="s">
        <v>14</v>
      </c>
      <c r="B2104" s="1" t="s">
        <v>19</v>
      </c>
      <c r="C2104" s="1" t="str">
        <f t="shared" si="41"/>
        <v>020082</v>
      </c>
      <c r="D2104" s="1" t="str">
        <f>"112208102"</f>
        <v>112208102</v>
      </c>
      <c r="E2104" s="1">
        <v>63.5</v>
      </c>
      <c r="F2104" s="1">
        <v>93</v>
      </c>
      <c r="H2104" s="1">
        <v>75.3</v>
      </c>
    </row>
    <row r="2105" s="1" customFormat="1" spans="1:8">
      <c r="A2105" s="1" t="s">
        <v>14</v>
      </c>
      <c r="B2105" s="1" t="s">
        <v>19</v>
      </c>
      <c r="C2105" s="1" t="str">
        <f t="shared" si="41"/>
        <v>020082</v>
      </c>
      <c r="D2105" s="1" t="str">
        <f>"112208103"</f>
        <v>112208103</v>
      </c>
      <c r="E2105" s="1">
        <v>70</v>
      </c>
      <c r="F2105" s="1">
        <v>65.5</v>
      </c>
      <c r="H2105" s="1">
        <v>68.2</v>
      </c>
    </row>
    <row r="2106" s="1" customFormat="1" spans="1:8">
      <c r="A2106" s="1" t="s">
        <v>14</v>
      </c>
      <c r="B2106" s="1" t="s">
        <v>19</v>
      </c>
      <c r="C2106" s="1" t="str">
        <f t="shared" si="41"/>
        <v>020082</v>
      </c>
      <c r="D2106" s="1" t="str">
        <f>"112208104"</f>
        <v>112208104</v>
      </c>
      <c r="E2106" s="1">
        <v>0</v>
      </c>
      <c r="F2106" s="1">
        <v>0</v>
      </c>
      <c r="H2106" s="1">
        <v>0</v>
      </c>
    </row>
    <row r="2107" s="1" customFormat="1" spans="1:8">
      <c r="A2107" s="1" t="s">
        <v>14</v>
      </c>
      <c r="B2107" s="1" t="s">
        <v>19</v>
      </c>
      <c r="C2107" s="1" t="str">
        <f t="shared" si="41"/>
        <v>020082</v>
      </c>
      <c r="D2107" s="1" t="str">
        <f>"112208105"</f>
        <v>112208105</v>
      </c>
      <c r="E2107" s="1">
        <v>70</v>
      </c>
      <c r="F2107" s="1">
        <v>79</v>
      </c>
      <c r="H2107" s="1">
        <v>73.6</v>
      </c>
    </row>
    <row r="2108" s="1" customFormat="1" spans="1:8">
      <c r="A2108" s="1" t="s">
        <v>14</v>
      </c>
      <c r="B2108" s="1" t="s">
        <v>19</v>
      </c>
      <c r="C2108" s="1" t="str">
        <f t="shared" si="41"/>
        <v>020082</v>
      </c>
      <c r="D2108" s="1" t="str">
        <f>"112208106"</f>
        <v>112208106</v>
      </c>
      <c r="E2108" s="1">
        <v>82</v>
      </c>
      <c r="F2108" s="1">
        <v>93.5</v>
      </c>
      <c r="H2108" s="1">
        <v>86.6</v>
      </c>
    </row>
    <row r="2109" s="1" customFormat="1" spans="1:8">
      <c r="A2109" s="1" t="s">
        <v>14</v>
      </c>
      <c r="B2109" s="1" t="s">
        <v>19</v>
      </c>
      <c r="C2109" s="1" t="str">
        <f t="shared" si="41"/>
        <v>020082</v>
      </c>
      <c r="D2109" s="1" t="str">
        <f>"112208107"</f>
        <v>112208107</v>
      </c>
      <c r="E2109" s="1">
        <v>65</v>
      </c>
      <c r="F2109" s="1">
        <v>74</v>
      </c>
      <c r="H2109" s="1">
        <v>68.6</v>
      </c>
    </row>
    <row r="2110" s="1" customFormat="1" spans="1:8">
      <c r="A2110" s="1" t="s">
        <v>14</v>
      </c>
      <c r="B2110" s="1" t="s">
        <v>19</v>
      </c>
      <c r="C2110" s="1" t="str">
        <f t="shared" si="41"/>
        <v>020082</v>
      </c>
      <c r="D2110" s="1" t="str">
        <f>"112208108"</f>
        <v>112208108</v>
      </c>
      <c r="E2110" s="1">
        <v>83</v>
      </c>
      <c r="F2110" s="1">
        <v>97.5</v>
      </c>
      <c r="H2110" s="1">
        <v>88.8</v>
      </c>
    </row>
    <row r="2111" s="1" customFormat="1" spans="1:8">
      <c r="A2111" s="1" t="s">
        <v>14</v>
      </c>
      <c r="B2111" s="1" t="s">
        <v>19</v>
      </c>
      <c r="C2111" s="1" t="str">
        <f t="shared" si="41"/>
        <v>020082</v>
      </c>
      <c r="D2111" s="1" t="str">
        <f>"112208109"</f>
        <v>112208109</v>
      </c>
      <c r="E2111" s="1">
        <v>64</v>
      </c>
      <c r="F2111" s="1">
        <v>77.5</v>
      </c>
      <c r="H2111" s="1">
        <v>69.4</v>
      </c>
    </row>
    <row r="2112" s="1" customFormat="1" spans="1:8">
      <c r="A2112" s="1" t="s">
        <v>14</v>
      </c>
      <c r="B2112" s="1" t="s">
        <v>19</v>
      </c>
      <c r="C2112" s="1" t="str">
        <f t="shared" si="41"/>
        <v>020082</v>
      </c>
      <c r="D2112" s="1" t="str">
        <f>"112208110"</f>
        <v>112208110</v>
      </c>
      <c r="E2112" s="1">
        <v>75.5</v>
      </c>
      <c r="F2112" s="1">
        <v>90.5</v>
      </c>
      <c r="H2112" s="1">
        <v>81.5</v>
      </c>
    </row>
    <row r="2113" s="1" customFormat="1" spans="1:8">
      <c r="A2113" s="1" t="s">
        <v>14</v>
      </c>
      <c r="B2113" s="1" t="s">
        <v>19</v>
      </c>
      <c r="C2113" s="1" t="str">
        <f t="shared" si="41"/>
        <v>020082</v>
      </c>
      <c r="D2113" s="1" t="str">
        <f>"112208111"</f>
        <v>112208111</v>
      </c>
      <c r="E2113" s="1">
        <v>72</v>
      </c>
      <c r="F2113" s="1">
        <v>60</v>
      </c>
      <c r="H2113" s="1">
        <v>67.2</v>
      </c>
    </row>
    <row r="2114" s="1" customFormat="1" spans="1:8">
      <c r="A2114" s="1" t="s">
        <v>14</v>
      </c>
      <c r="B2114" s="1" t="s">
        <v>19</v>
      </c>
      <c r="C2114" s="1" t="str">
        <f t="shared" si="41"/>
        <v>020082</v>
      </c>
      <c r="D2114" s="1" t="str">
        <f>"112208112"</f>
        <v>112208112</v>
      </c>
      <c r="E2114" s="1">
        <v>77.5</v>
      </c>
      <c r="F2114" s="1">
        <v>74</v>
      </c>
      <c r="H2114" s="1">
        <v>76.1</v>
      </c>
    </row>
    <row r="2115" s="1" customFormat="1" spans="1:8">
      <c r="A2115" s="1" t="s">
        <v>14</v>
      </c>
      <c r="B2115" s="1" t="s">
        <v>19</v>
      </c>
      <c r="C2115" s="1" t="str">
        <f t="shared" si="41"/>
        <v>020082</v>
      </c>
      <c r="D2115" s="1" t="str">
        <f>"112208113"</f>
        <v>112208113</v>
      </c>
      <c r="E2115" s="1">
        <v>85.5</v>
      </c>
      <c r="F2115" s="1">
        <v>81</v>
      </c>
      <c r="H2115" s="1">
        <v>83.7</v>
      </c>
    </row>
    <row r="2116" s="1" customFormat="1" spans="1:8">
      <c r="A2116" s="1" t="s">
        <v>14</v>
      </c>
      <c r="B2116" s="1" t="s">
        <v>19</v>
      </c>
      <c r="C2116" s="1" t="str">
        <f t="shared" si="41"/>
        <v>020082</v>
      </c>
      <c r="D2116" s="1" t="str">
        <f>"112208114"</f>
        <v>112208114</v>
      </c>
      <c r="E2116" s="1">
        <v>0</v>
      </c>
      <c r="F2116" s="1">
        <v>0</v>
      </c>
      <c r="H2116" s="1">
        <v>0</v>
      </c>
    </row>
    <row r="2117" s="1" customFormat="1" spans="1:8">
      <c r="A2117" s="1" t="s">
        <v>14</v>
      </c>
      <c r="B2117" s="1" t="s">
        <v>19</v>
      </c>
      <c r="C2117" s="1" t="str">
        <f t="shared" si="41"/>
        <v>020082</v>
      </c>
      <c r="D2117" s="1" t="str">
        <f>"112208115"</f>
        <v>112208115</v>
      </c>
      <c r="E2117" s="1">
        <v>79</v>
      </c>
      <c r="F2117" s="1">
        <v>70</v>
      </c>
      <c r="H2117" s="1">
        <v>75.4</v>
      </c>
    </row>
    <row r="2118" s="1" customFormat="1" spans="1:8">
      <c r="A2118" s="1" t="s">
        <v>14</v>
      </c>
      <c r="B2118" s="1" t="s">
        <v>19</v>
      </c>
      <c r="C2118" s="1" t="str">
        <f t="shared" si="41"/>
        <v>020082</v>
      </c>
      <c r="D2118" s="1" t="str">
        <f>"112208116"</f>
        <v>112208116</v>
      </c>
      <c r="E2118" s="1">
        <v>71</v>
      </c>
      <c r="F2118" s="1">
        <v>92</v>
      </c>
      <c r="H2118" s="1">
        <v>79.4</v>
      </c>
    </row>
    <row r="2119" s="1" customFormat="1" spans="1:8">
      <c r="A2119" s="1" t="s">
        <v>14</v>
      </c>
      <c r="B2119" s="1" t="s">
        <v>19</v>
      </c>
      <c r="C2119" s="1" t="str">
        <f t="shared" si="41"/>
        <v>020082</v>
      </c>
      <c r="D2119" s="1" t="str">
        <f>"112208117"</f>
        <v>112208117</v>
      </c>
      <c r="E2119" s="1">
        <v>0</v>
      </c>
      <c r="F2119" s="1">
        <v>0</v>
      </c>
      <c r="H2119" s="1">
        <v>0</v>
      </c>
    </row>
    <row r="2120" s="1" customFormat="1" spans="1:8">
      <c r="A2120" s="1" t="s">
        <v>14</v>
      </c>
      <c r="B2120" s="1" t="s">
        <v>19</v>
      </c>
      <c r="C2120" s="1" t="str">
        <f t="shared" si="41"/>
        <v>020082</v>
      </c>
      <c r="D2120" s="1" t="str">
        <f>"112208118"</f>
        <v>112208118</v>
      </c>
      <c r="E2120" s="1">
        <v>73</v>
      </c>
      <c r="F2120" s="1">
        <v>94.5</v>
      </c>
      <c r="H2120" s="1">
        <v>81.6</v>
      </c>
    </row>
    <row r="2121" s="1" customFormat="1" spans="1:8">
      <c r="A2121" s="1" t="s">
        <v>14</v>
      </c>
      <c r="B2121" s="1" t="s">
        <v>19</v>
      </c>
      <c r="C2121" s="1" t="str">
        <f t="shared" si="41"/>
        <v>020082</v>
      </c>
      <c r="D2121" s="1" t="str">
        <f>"112208119"</f>
        <v>112208119</v>
      </c>
      <c r="E2121" s="1">
        <v>69</v>
      </c>
      <c r="F2121" s="1">
        <v>54</v>
      </c>
      <c r="H2121" s="1">
        <v>63</v>
      </c>
    </row>
    <row r="2122" s="1" customFormat="1" spans="1:8">
      <c r="A2122" s="1" t="s">
        <v>14</v>
      </c>
      <c r="B2122" s="1" t="s">
        <v>19</v>
      </c>
      <c r="C2122" s="1" t="str">
        <f t="shared" si="41"/>
        <v>020082</v>
      </c>
      <c r="D2122" s="1" t="str">
        <f>"112208120"</f>
        <v>112208120</v>
      </c>
      <c r="E2122" s="1">
        <v>63.5</v>
      </c>
      <c r="F2122" s="1">
        <v>60</v>
      </c>
      <c r="H2122" s="1">
        <v>62.1</v>
      </c>
    </row>
    <row r="2123" s="1" customFormat="1" spans="1:8">
      <c r="A2123" s="1" t="s">
        <v>14</v>
      </c>
      <c r="B2123" s="1" t="s">
        <v>19</v>
      </c>
      <c r="C2123" s="1" t="str">
        <f t="shared" si="41"/>
        <v>020082</v>
      </c>
      <c r="D2123" s="1" t="str">
        <f>"112208121"</f>
        <v>112208121</v>
      </c>
      <c r="E2123" s="1">
        <v>0</v>
      </c>
      <c r="F2123" s="1">
        <v>0</v>
      </c>
      <c r="H2123" s="1">
        <v>0</v>
      </c>
    </row>
    <row r="2124" s="1" customFormat="1" spans="1:8">
      <c r="A2124" s="1" t="s">
        <v>14</v>
      </c>
      <c r="B2124" s="1" t="s">
        <v>19</v>
      </c>
      <c r="C2124" s="1" t="str">
        <f t="shared" si="41"/>
        <v>020082</v>
      </c>
      <c r="D2124" s="1" t="str">
        <f>"112208122"</f>
        <v>112208122</v>
      </c>
      <c r="E2124" s="1">
        <v>79.5</v>
      </c>
      <c r="F2124" s="1">
        <v>93.5</v>
      </c>
      <c r="H2124" s="1">
        <v>85.1</v>
      </c>
    </row>
    <row r="2125" s="1" customFormat="1" spans="1:8">
      <c r="A2125" s="1" t="s">
        <v>14</v>
      </c>
      <c r="B2125" s="1" t="s">
        <v>19</v>
      </c>
      <c r="C2125" s="1" t="str">
        <f t="shared" si="41"/>
        <v>020082</v>
      </c>
      <c r="D2125" s="1" t="str">
        <f>"112208123"</f>
        <v>112208123</v>
      </c>
      <c r="E2125" s="1">
        <v>75.5</v>
      </c>
      <c r="F2125" s="1">
        <v>83</v>
      </c>
      <c r="H2125" s="1">
        <v>78.5</v>
      </c>
    </row>
    <row r="2126" s="1" customFormat="1" spans="1:8">
      <c r="A2126" s="1" t="s">
        <v>14</v>
      </c>
      <c r="B2126" s="1" t="s">
        <v>19</v>
      </c>
      <c r="C2126" s="1" t="str">
        <f t="shared" si="41"/>
        <v>020082</v>
      </c>
      <c r="D2126" s="1" t="str">
        <f>"112208124"</f>
        <v>112208124</v>
      </c>
      <c r="E2126" s="1">
        <v>68</v>
      </c>
      <c r="F2126" s="1">
        <v>61.5</v>
      </c>
      <c r="H2126" s="1">
        <v>65.4</v>
      </c>
    </row>
    <row r="2127" s="1" customFormat="1" spans="1:8">
      <c r="A2127" s="1" t="s">
        <v>14</v>
      </c>
      <c r="B2127" s="1" t="s">
        <v>19</v>
      </c>
      <c r="C2127" s="1" t="str">
        <f t="shared" si="41"/>
        <v>020082</v>
      </c>
      <c r="D2127" s="1" t="str">
        <f>"112208125"</f>
        <v>112208125</v>
      </c>
      <c r="E2127" s="1">
        <v>0</v>
      </c>
      <c r="F2127" s="1">
        <v>0</v>
      </c>
      <c r="H2127" s="1">
        <v>0</v>
      </c>
    </row>
    <row r="2128" s="1" customFormat="1" spans="1:8">
      <c r="A2128" s="1" t="s">
        <v>14</v>
      </c>
      <c r="B2128" s="1" t="s">
        <v>19</v>
      </c>
      <c r="C2128" s="1" t="str">
        <f t="shared" si="41"/>
        <v>020082</v>
      </c>
      <c r="D2128" s="1" t="str">
        <f>"112208126"</f>
        <v>112208126</v>
      </c>
      <c r="E2128" s="1">
        <v>0</v>
      </c>
      <c r="F2128" s="1">
        <v>0</v>
      </c>
      <c r="H2128" s="1">
        <v>0</v>
      </c>
    </row>
    <row r="2129" s="1" customFormat="1" spans="1:8">
      <c r="A2129" s="1" t="s">
        <v>14</v>
      </c>
      <c r="B2129" s="1" t="s">
        <v>19</v>
      </c>
      <c r="C2129" s="1" t="str">
        <f t="shared" si="41"/>
        <v>020082</v>
      </c>
      <c r="D2129" s="1" t="str">
        <f>"112208127"</f>
        <v>112208127</v>
      </c>
      <c r="E2129" s="1">
        <v>79.5</v>
      </c>
      <c r="F2129" s="1">
        <v>98</v>
      </c>
      <c r="H2129" s="1">
        <v>86.9</v>
      </c>
    </row>
    <row r="2130" s="1" customFormat="1" spans="1:8">
      <c r="A2130" s="1" t="s">
        <v>14</v>
      </c>
      <c r="B2130" s="1" t="s">
        <v>19</v>
      </c>
      <c r="C2130" s="1" t="str">
        <f t="shared" si="41"/>
        <v>020082</v>
      </c>
      <c r="D2130" s="1" t="str">
        <f>"112208128"</f>
        <v>112208128</v>
      </c>
      <c r="E2130" s="1">
        <v>0</v>
      </c>
      <c r="F2130" s="1">
        <v>0</v>
      </c>
      <c r="H2130" s="1">
        <v>0</v>
      </c>
    </row>
    <row r="2131" s="1" customFormat="1" spans="1:8">
      <c r="A2131" s="1" t="s">
        <v>14</v>
      </c>
      <c r="B2131" s="1" t="s">
        <v>19</v>
      </c>
      <c r="C2131" s="1" t="str">
        <f t="shared" si="41"/>
        <v>020082</v>
      </c>
      <c r="D2131" s="1" t="str">
        <f>"112208129"</f>
        <v>112208129</v>
      </c>
      <c r="E2131" s="1">
        <v>77</v>
      </c>
      <c r="F2131" s="1">
        <v>51</v>
      </c>
      <c r="H2131" s="1">
        <v>66.6</v>
      </c>
    </row>
    <row r="2132" s="1" customFormat="1" spans="1:8">
      <c r="A2132" s="1" t="s">
        <v>14</v>
      </c>
      <c r="B2132" s="1" t="s">
        <v>19</v>
      </c>
      <c r="C2132" s="1" t="str">
        <f t="shared" si="41"/>
        <v>020082</v>
      </c>
      <c r="D2132" s="1" t="str">
        <f>"112208130"</f>
        <v>112208130</v>
      </c>
      <c r="E2132" s="1">
        <v>62</v>
      </c>
      <c r="F2132" s="1">
        <v>61</v>
      </c>
      <c r="H2132" s="1">
        <v>61.6</v>
      </c>
    </row>
    <row r="2133" s="1" customFormat="1" spans="1:8">
      <c r="A2133" s="1" t="s">
        <v>14</v>
      </c>
      <c r="B2133" s="1" t="s">
        <v>19</v>
      </c>
      <c r="C2133" s="1" t="str">
        <f t="shared" si="41"/>
        <v>020082</v>
      </c>
      <c r="D2133" s="1" t="str">
        <f>"112208201"</f>
        <v>112208201</v>
      </c>
      <c r="E2133" s="1">
        <v>0</v>
      </c>
      <c r="F2133" s="1">
        <v>0</v>
      </c>
      <c r="H2133" s="1">
        <v>0</v>
      </c>
    </row>
    <row r="2134" s="1" customFormat="1" spans="1:8">
      <c r="A2134" s="1" t="s">
        <v>14</v>
      </c>
      <c r="B2134" s="1" t="s">
        <v>19</v>
      </c>
      <c r="C2134" s="1" t="str">
        <f t="shared" si="41"/>
        <v>020082</v>
      </c>
      <c r="D2134" s="1" t="str">
        <f>"112208202"</f>
        <v>112208202</v>
      </c>
      <c r="E2134" s="1">
        <v>86</v>
      </c>
      <c r="F2134" s="1">
        <v>68.5</v>
      </c>
      <c r="H2134" s="1">
        <v>79</v>
      </c>
    </row>
    <row r="2135" s="1" customFormat="1" spans="1:8">
      <c r="A2135" s="1" t="s">
        <v>14</v>
      </c>
      <c r="B2135" s="1" t="s">
        <v>19</v>
      </c>
      <c r="C2135" s="1" t="str">
        <f t="shared" si="41"/>
        <v>020082</v>
      </c>
      <c r="D2135" s="1" t="str">
        <f>"112208203"</f>
        <v>112208203</v>
      </c>
      <c r="E2135" s="1">
        <v>78.5</v>
      </c>
      <c r="F2135" s="1">
        <v>102.5</v>
      </c>
      <c r="H2135" s="1">
        <v>88.1</v>
      </c>
    </row>
    <row r="2136" s="1" customFormat="1" spans="1:8">
      <c r="A2136" s="1" t="s">
        <v>14</v>
      </c>
      <c r="B2136" s="1" t="s">
        <v>19</v>
      </c>
      <c r="C2136" s="1" t="str">
        <f t="shared" si="41"/>
        <v>020082</v>
      </c>
      <c r="D2136" s="1" t="str">
        <f>"112208204"</f>
        <v>112208204</v>
      </c>
      <c r="E2136" s="1">
        <v>77.5</v>
      </c>
      <c r="F2136" s="1">
        <v>53.5</v>
      </c>
      <c r="H2136" s="1">
        <v>67.9</v>
      </c>
    </row>
    <row r="2137" s="1" customFormat="1" spans="1:8">
      <c r="A2137" s="1" t="s">
        <v>14</v>
      </c>
      <c r="B2137" s="1" t="s">
        <v>19</v>
      </c>
      <c r="C2137" s="1" t="str">
        <f t="shared" si="41"/>
        <v>020082</v>
      </c>
      <c r="D2137" s="1" t="str">
        <f>"112208205"</f>
        <v>112208205</v>
      </c>
      <c r="E2137" s="1">
        <v>61.5</v>
      </c>
      <c r="F2137" s="1">
        <v>76.5</v>
      </c>
      <c r="H2137" s="1">
        <v>67.5</v>
      </c>
    </row>
    <row r="2138" s="1" customFormat="1" spans="1:8">
      <c r="A2138" s="1" t="s">
        <v>14</v>
      </c>
      <c r="B2138" s="1" t="s">
        <v>19</v>
      </c>
      <c r="C2138" s="1" t="str">
        <f t="shared" ref="C2138:C2201" si="42">"020082"</f>
        <v>020082</v>
      </c>
      <c r="D2138" s="1" t="str">
        <f>"112208206"</f>
        <v>112208206</v>
      </c>
      <c r="E2138" s="1">
        <v>78</v>
      </c>
      <c r="F2138" s="1">
        <v>88.5</v>
      </c>
      <c r="H2138" s="1">
        <v>82.2</v>
      </c>
    </row>
    <row r="2139" s="1" customFormat="1" spans="1:8">
      <c r="A2139" s="1" t="s">
        <v>14</v>
      </c>
      <c r="B2139" s="1" t="s">
        <v>19</v>
      </c>
      <c r="C2139" s="1" t="str">
        <f t="shared" si="42"/>
        <v>020082</v>
      </c>
      <c r="D2139" s="1" t="str">
        <f>"112208207"</f>
        <v>112208207</v>
      </c>
      <c r="E2139" s="1">
        <v>69.5</v>
      </c>
      <c r="F2139" s="1">
        <v>69</v>
      </c>
      <c r="H2139" s="1">
        <v>69.3</v>
      </c>
    </row>
    <row r="2140" s="1" customFormat="1" spans="1:8">
      <c r="A2140" s="1" t="s">
        <v>14</v>
      </c>
      <c r="B2140" s="1" t="s">
        <v>19</v>
      </c>
      <c r="C2140" s="1" t="str">
        <f t="shared" si="42"/>
        <v>020082</v>
      </c>
      <c r="D2140" s="1" t="str">
        <f>"112208208"</f>
        <v>112208208</v>
      </c>
      <c r="E2140" s="1">
        <v>90.5</v>
      </c>
      <c r="F2140" s="1">
        <v>86.5</v>
      </c>
      <c r="H2140" s="1">
        <v>88.9</v>
      </c>
    </row>
    <row r="2141" s="1" customFormat="1" spans="1:8">
      <c r="A2141" s="1" t="s">
        <v>14</v>
      </c>
      <c r="B2141" s="1" t="s">
        <v>19</v>
      </c>
      <c r="C2141" s="1" t="str">
        <f t="shared" si="42"/>
        <v>020082</v>
      </c>
      <c r="D2141" s="1" t="str">
        <f>"112208209"</f>
        <v>112208209</v>
      </c>
      <c r="E2141" s="1">
        <v>87.5</v>
      </c>
      <c r="F2141" s="1">
        <v>85.5</v>
      </c>
      <c r="H2141" s="1">
        <v>86.7</v>
      </c>
    </row>
    <row r="2142" s="1" customFormat="1" spans="1:8">
      <c r="A2142" s="1" t="s">
        <v>14</v>
      </c>
      <c r="B2142" s="1" t="s">
        <v>19</v>
      </c>
      <c r="C2142" s="1" t="str">
        <f t="shared" si="42"/>
        <v>020082</v>
      </c>
      <c r="D2142" s="1" t="str">
        <f>"112208210"</f>
        <v>112208210</v>
      </c>
      <c r="E2142" s="1">
        <v>65.5</v>
      </c>
      <c r="F2142" s="1">
        <v>56.5</v>
      </c>
      <c r="H2142" s="1">
        <v>61.9</v>
      </c>
    </row>
    <row r="2143" s="1" customFormat="1" spans="1:8">
      <c r="A2143" s="1" t="s">
        <v>14</v>
      </c>
      <c r="B2143" s="1" t="s">
        <v>19</v>
      </c>
      <c r="C2143" s="1" t="str">
        <f t="shared" si="42"/>
        <v>020082</v>
      </c>
      <c r="D2143" s="1" t="str">
        <f>"112208211"</f>
        <v>112208211</v>
      </c>
      <c r="E2143" s="1">
        <v>23</v>
      </c>
      <c r="F2143" s="1">
        <v>0</v>
      </c>
      <c r="H2143" s="1">
        <v>13.8</v>
      </c>
    </row>
    <row r="2144" s="1" customFormat="1" spans="1:8">
      <c r="A2144" s="1" t="s">
        <v>14</v>
      </c>
      <c r="B2144" s="1" t="s">
        <v>19</v>
      </c>
      <c r="C2144" s="1" t="str">
        <f t="shared" si="42"/>
        <v>020082</v>
      </c>
      <c r="D2144" s="1" t="str">
        <f>"112208212"</f>
        <v>112208212</v>
      </c>
      <c r="E2144" s="1">
        <v>67</v>
      </c>
      <c r="F2144" s="1">
        <v>78.5</v>
      </c>
      <c r="H2144" s="1">
        <v>71.6</v>
      </c>
    </row>
    <row r="2145" s="1" customFormat="1" spans="1:8">
      <c r="A2145" s="1" t="s">
        <v>14</v>
      </c>
      <c r="B2145" s="1" t="s">
        <v>19</v>
      </c>
      <c r="C2145" s="1" t="str">
        <f t="shared" si="42"/>
        <v>020082</v>
      </c>
      <c r="D2145" s="1" t="str">
        <f>"112208213"</f>
        <v>112208213</v>
      </c>
      <c r="E2145" s="1">
        <v>56.5</v>
      </c>
      <c r="F2145" s="1">
        <v>56</v>
      </c>
      <c r="H2145" s="1">
        <v>56.3</v>
      </c>
    </row>
    <row r="2146" s="1" customFormat="1" spans="1:8">
      <c r="A2146" s="1" t="s">
        <v>14</v>
      </c>
      <c r="B2146" s="1" t="s">
        <v>19</v>
      </c>
      <c r="C2146" s="1" t="str">
        <f t="shared" si="42"/>
        <v>020082</v>
      </c>
      <c r="D2146" s="1" t="str">
        <f>"112208214"</f>
        <v>112208214</v>
      </c>
      <c r="E2146" s="1">
        <v>75</v>
      </c>
      <c r="F2146" s="1">
        <v>67.5</v>
      </c>
      <c r="H2146" s="1">
        <v>72</v>
      </c>
    </row>
    <row r="2147" s="1" customFormat="1" spans="1:8">
      <c r="A2147" s="1" t="s">
        <v>14</v>
      </c>
      <c r="B2147" s="1" t="s">
        <v>19</v>
      </c>
      <c r="C2147" s="1" t="str">
        <f t="shared" si="42"/>
        <v>020082</v>
      </c>
      <c r="D2147" s="1" t="str">
        <f>"112208215"</f>
        <v>112208215</v>
      </c>
      <c r="E2147" s="1">
        <v>67</v>
      </c>
      <c r="F2147" s="1">
        <v>65</v>
      </c>
      <c r="H2147" s="1">
        <v>66.2</v>
      </c>
    </row>
    <row r="2148" s="1" customFormat="1" spans="1:8">
      <c r="A2148" s="1" t="s">
        <v>14</v>
      </c>
      <c r="B2148" s="1" t="s">
        <v>19</v>
      </c>
      <c r="C2148" s="1" t="str">
        <f t="shared" si="42"/>
        <v>020082</v>
      </c>
      <c r="D2148" s="1" t="str">
        <f>"112208216"</f>
        <v>112208216</v>
      </c>
      <c r="E2148" s="1">
        <v>0</v>
      </c>
      <c r="F2148" s="1">
        <v>0</v>
      </c>
      <c r="H2148" s="1">
        <v>0</v>
      </c>
    </row>
    <row r="2149" s="1" customFormat="1" spans="1:8">
      <c r="A2149" s="1" t="s">
        <v>14</v>
      </c>
      <c r="B2149" s="1" t="s">
        <v>19</v>
      </c>
      <c r="C2149" s="1" t="str">
        <f t="shared" si="42"/>
        <v>020082</v>
      </c>
      <c r="D2149" s="1" t="str">
        <f>"112208217"</f>
        <v>112208217</v>
      </c>
      <c r="E2149" s="1">
        <v>84.5</v>
      </c>
      <c r="F2149" s="1">
        <v>90</v>
      </c>
      <c r="H2149" s="1">
        <v>86.7</v>
      </c>
    </row>
    <row r="2150" s="1" customFormat="1" spans="1:8">
      <c r="A2150" s="1" t="s">
        <v>14</v>
      </c>
      <c r="B2150" s="1" t="s">
        <v>19</v>
      </c>
      <c r="C2150" s="1" t="str">
        <f t="shared" si="42"/>
        <v>020082</v>
      </c>
      <c r="D2150" s="1" t="str">
        <f>"112208218"</f>
        <v>112208218</v>
      </c>
      <c r="E2150" s="1">
        <v>84</v>
      </c>
      <c r="F2150" s="1">
        <v>81.5</v>
      </c>
      <c r="H2150" s="1">
        <v>83</v>
      </c>
    </row>
    <row r="2151" s="1" customFormat="1" spans="1:8">
      <c r="A2151" s="1" t="s">
        <v>14</v>
      </c>
      <c r="B2151" s="1" t="s">
        <v>19</v>
      </c>
      <c r="C2151" s="1" t="str">
        <f t="shared" si="42"/>
        <v>020082</v>
      </c>
      <c r="D2151" s="1" t="str">
        <f>"112208219"</f>
        <v>112208219</v>
      </c>
      <c r="E2151" s="1">
        <v>76</v>
      </c>
      <c r="F2151" s="1">
        <v>85.5</v>
      </c>
      <c r="H2151" s="1">
        <v>79.8</v>
      </c>
    </row>
    <row r="2152" s="1" customFormat="1" spans="1:8">
      <c r="A2152" s="1" t="s">
        <v>14</v>
      </c>
      <c r="B2152" s="1" t="s">
        <v>19</v>
      </c>
      <c r="C2152" s="1" t="str">
        <f t="shared" si="42"/>
        <v>020082</v>
      </c>
      <c r="D2152" s="1" t="str">
        <f>"112208220"</f>
        <v>112208220</v>
      </c>
      <c r="E2152" s="1">
        <v>59</v>
      </c>
      <c r="F2152" s="1">
        <v>76.5</v>
      </c>
      <c r="H2152" s="1">
        <v>66</v>
      </c>
    </row>
    <row r="2153" s="1" customFormat="1" spans="1:8">
      <c r="A2153" s="1" t="s">
        <v>14</v>
      </c>
      <c r="B2153" s="1" t="s">
        <v>19</v>
      </c>
      <c r="C2153" s="1" t="str">
        <f t="shared" si="42"/>
        <v>020082</v>
      </c>
      <c r="D2153" s="1" t="str">
        <f>"112208221"</f>
        <v>112208221</v>
      </c>
      <c r="E2153" s="1">
        <v>82.5</v>
      </c>
      <c r="F2153" s="1">
        <v>95.5</v>
      </c>
      <c r="H2153" s="1">
        <v>87.7</v>
      </c>
    </row>
    <row r="2154" s="1" customFormat="1" spans="1:8">
      <c r="A2154" s="1" t="s">
        <v>14</v>
      </c>
      <c r="B2154" s="1" t="s">
        <v>19</v>
      </c>
      <c r="C2154" s="1" t="str">
        <f t="shared" si="42"/>
        <v>020082</v>
      </c>
      <c r="D2154" s="1" t="str">
        <f>"112208222"</f>
        <v>112208222</v>
      </c>
      <c r="E2154" s="1">
        <v>62</v>
      </c>
      <c r="F2154" s="1">
        <v>62.5</v>
      </c>
      <c r="H2154" s="1">
        <v>62.2</v>
      </c>
    </row>
    <row r="2155" s="1" customFormat="1" spans="1:8">
      <c r="A2155" s="1" t="s">
        <v>14</v>
      </c>
      <c r="B2155" s="1" t="s">
        <v>19</v>
      </c>
      <c r="C2155" s="1" t="str">
        <f t="shared" si="42"/>
        <v>020082</v>
      </c>
      <c r="D2155" s="1" t="str">
        <f>"112208223"</f>
        <v>112208223</v>
      </c>
      <c r="E2155" s="1">
        <v>0</v>
      </c>
      <c r="F2155" s="1">
        <v>0</v>
      </c>
      <c r="H2155" s="1">
        <v>0</v>
      </c>
    </row>
    <row r="2156" s="1" customFormat="1" spans="1:8">
      <c r="A2156" s="1" t="s">
        <v>14</v>
      </c>
      <c r="B2156" s="1" t="s">
        <v>19</v>
      </c>
      <c r="C2156" s="1" t="str">
        <f t="shared" si="42"/>
        <v>020082</v>
      </c>
      <c r="D2156" s="1" t="str">
        <f>"112208224"</f>
        <v>112208224</v>
      </c>
      <c r="E2156" s="1">
        <v>67</v>
      </c>
      <c r="F2156" s="1">
        <v>68.5</v>
      </c>
      <c r="H2156" s="1">
        <v>67.6</v>
      </c>
    </row>
    <row r="2157" s="1" customFormat="1" spans="1:8">
      <c r="A2157" s="1" t="s">
        <v>14</v>
      </c>
      <c r="B2157" s="1" t="s">
        <v>19</v>
      </c>
      <c r="C2157" s="1" t="str">
        <f t="shared" si="42"/>
        <v>020082</v>
      </c>
      <c r="D2157" s="1" t="str">
        <f>"112208225"</f>
        <v>112208225</v>
      </c>
      <c r="E2157" s="1">
        <v>81</v>
      </c>
      <c r="F2157" s="1">
        <v>95</v>
      </c>
      <c r="H2157" s="1">
        <v>86.6</v>
      </c>
    </row>
    <row r="2158" s="1" customFormat="1" spans="1:8">
      <c r="A2158" s="1" t="s">
        <v>14</v>
      </c>
      <c r="B2158" s="1" t="s">
        <v>19</v>
      </c>
      <c r="C2158" s="1" t="str">
        <f t="shared" si="42"/>
        <v>020082</v>
      </c>
      <c r="D2158" s="1" t="str">
        <f>"112208226"</f>
        <v>112208226</v>
      </c>
      <c r="E2158" s="1">
        <v>0</v>
      </c>
      <c r="F2158" s="1">
        <v>0</v>
      </c>
      <c r="H2158" s="1">
        <v>0</v>
      </c>
    </row>
    <row r="2159" s="1" customFormat="1" spans="1:8">
      <c r="A2159" s="1" t="s">
        <v>14</v>
      </c>
      <c r="B2159" s="1" t="s">
        <v>19</v>
      </c>
      <c r="C2159" s="1" t="str">
        <f t="shared" si="42"/>
        <v>020082</v>
      </c>
      <c r="D2159" s="1" t="str">
        <f>"112208227"</f>
        <v>112208227</v>
      </c>
      <c r="E2159" s="1">
        <v>70</v>
      </c>
      <c r="F2159" s="1">
        <v>74</v>
      </c>
      <c r="H2159" s="1">
        <v>71.6</v>
      </c>
    </row>
    <row r="2160" s="1" customFormat="1" spans="1:8">
      <c r="A2160" s="1" t="s">
        <v>14</v>
      </c>
      <c r="B2160" s="1" t="s">
        <v>19</v>
      </c>
      <c r="C2160" s="1" t="str">
        <f t="shared" si="42"/>
        <v>020082</v>
      </c>
      <c r="D2160" s="1" t="str">
        <f>"112208228"</f>
        <v>112208228</v>
      </c>
      <c r="E2160" s="1">
        <v>68.5</v>
      </c>
      <c r="F2160" s="1">
        <v>73</v>
      </c>
      <c r="H2160" s="1">
        <v>70.3</v>
      </c>
    </row>
    <row r="2161" s="1" customFormat="1" spans="1:8">
      <c r="A2161" s="1" t="s">
        <v>14</v>
      </c>
      <c r="B2161" s="1" t="s">
        <v>19</v>
      </c>
      <c r="C2161" s="1" t="str">
        <f t="shared" si="42"/>
        <v>020082</v>
      </c>
      <c r="D2161" s="1" t="str">
        <f>"112208229"</f>
        <v>112208229</v>
      </c>
      <c r="E2161" s="1">
        <v>75.5</v>
      </c>
      <c r="F2161" s="1">
        <v>64.5</v>
      </c>
      <c r="H2161" s="1">
        <v>71.1</v>
      </c>
    </row>
    <row r="2162" s="1" customFormat="1" spans="1:8">
      <c r="A2162" s="1" t="s">
        <v>14</v>
      </c>
      <c r="B2162" s="1" t="s">
        <v>19</v>
      </c>
      <c r="C2162" s="1" t="str">
        <f t="shared" si="42"/>
        <v>020082</v>
      </c>
      <c r="D2162" s="1" t="str">
        <f>"112208230"</f>
        <v>112208230</v>
      </c>
      <c r="E2162" s="1">
        <v>0</v>
      </c>
      <c r="F2162" s="1">
        <v>0</v>
      </c>
      <c r="H2162" s="1">
        <v>0</v>
      </c>
    </row>
    <row r="2163" s="1" customFormat="1" spans="1:8">
      <c r="A2163" s="1" t="s">
        <v>14</v>
      </c>
      <c r="B2163" s="1" t="s">
        <v>19</v>
      </c>
      <c r="C2163" s="1" t="str">
        <f t="shared" si="42"/>
        <v>020082</v>
      </c>
      <c r="D2163" s="1" t="str">
        <f>"112208301"</f>
        <v>112208301</v>
      </c>
      <c r="E2163" s="1">
        <v>82</v>
      </c>
      <c r="F2163" s="1">
        <v>100</v>
      </c>
      <c r="H2163" s="1">
        <v>89.2</v>
      </c>
    </row>
    <row r="2164" s="1" customFormat="1" spans="1:8">
      <c r="A2164" s="1" t="s">
        <v>14</v>
      </c>
      <c r="B2164" s="1" t="s">
        <v>19</v>
      </c>
      <c r="C2164" s="1" t="str">
        <f t="shared" si="42"/>
        <v>020082</v>
      </c>
      <c r="D2164" s="1" t="str">
        <f>"112208302"</f>
        <v>112208302</v>
      </c>
      <c r="E2164" s="1">
        <v>0</v>
      </c>
      <c r="F2164" s="1">
        <v>0</v>
      </c>
      <c r="H2164" s="1">
        <v>0</v>
      </c>
    </row>
    <row r="2165" s="1" customFormat="1" spans="1:8">
      <c r="A2165" s="1" t="s">
        <v>14</v>
      </c>
      <c r="B2165" s="1" t="s">
        <v>19</v>
      </c>
      <c r="C2165" s="1" t="str">
        <f t="shared" si="42"/>
        <v>020082</v>
      </c>
      <c r="D2165" s="1" t="str">
        <f>"112208303"</f>
        <v>112208303</v>
      </c>
      <c r="E2165" s="1">
        <v>83.5</v>
      </c>
      <c r="F2165" s="1">
        <v>77</v>
      </c>
      <c r="H2165" s="1">
        <v>80.9</v>
      </c>
    </row>
    <row r="2166" s="1" customFormat="1" spans="1:8">
      <c r="A2166" s="1" t="s">
        <v>14</v>
      </c>
      <c r="B2166" s="1" t="s">
        <v>19</v>
      </c>
      <c r="C2166" s="1" t="str">
        <f t="shared" si="42"/>
        <v>020082</v>
      </c>
      <c r="D2166" s="1" t="str">
        <f>"112208304"</f>
        <v>112208304</v>
      </c>
      <c r="E2166" s="1">
        <v>0</v>
      </c>
      <c r="F2166" s="1">
        <v>0</v>
      </c>
      <c r="H2166" s="1">
        <v>0</v>
      </c>
    </row>
    <row r="2167" s="1" customFormat="1" spans="1:8">
      <c r="A2167" s="1" t="s">
        <v>14</v>
      </c>
      <c r="B2167" s="1" t="s">
        <v>19</v>
      </c>
      <c r="C2167" s="1" t="str">
        <f t="shared" si="42"/>
        <v>020082</v>
      </c>
      <c r="D2167" s="1" t="str">
        <f>"112208305"</f>
        <v>112208305</v>
      </c>
      <c r="E2167" s="1">
        <v>55</v>
      </c>
      <c r="F2167" s="1">
        <v>58</v>
      </c>
      <c r="H2167" s="1">
        <v>56.2</v>
      </c>
    </row>
    <row r="2168" s="1" customFormat="1" spans="1:8">
      <c r="A2168" s="1" t="s">
        <v>14</v>
      </c>
      <c r="B2168" s="1" t="s">
        <v>19</v>
      </c>
      <c r="C2168" s="1" t="str">
        <f t="shared" si="42"/>
        <v>020082</v>
      </c>
      <c r="D2168" s="1" t="str">
        <f>"112208306"</f>
        <v>112208306</v>
      </c>
      <c r="E2168" s="1">
        <v>0</v>
      </c>
      <c r="F2168" s="1">
        <v>0</v>
      </c>
      <c r="H2168" s="1">
        <v>0</v>
      </c>
    </row>
    <row r="2169" s="1" customFormat="1" spans="1:8">
      <c r="A2169" s="1" t="s">
        <v>14</v>
      </c>
      <c r="B2169" s="1" t="s">
        <v>19</v>
      </c>
      <c r="C2169" s="1" t="str">
        <f t="shared" si="42"/>
        <v>020082</v>
      </c>
      <c r="D2169" s="1" t="str">
        <f>"112208307"</f>
        <v>112208307</v>
      </c>
      <c r="E2169" s="1">
        <v>0</v>
      </c>
      <c r="F2169" s="1">
        <v>0</v>
      </c>
      <c r="H2169" s="1">
        <v>0</v>
      </c>
    </row>
    <row r="2170" s="1" customFormat="1" spans="1:8">
      <c r="A2170" s="1" t="s">
        <v>14</v>
      </c>
      <c r="B2170" s="1" t="s">
        <v>19</v>
      </c>
      <c r="C2170" s="1" t="str">
        <f t="shared" si="42"/>
        <v>020082</v>
      </c>
      <c r="D2170" s="1" t="str">
        <f>"112208308"</f>
        <v>112208308</v>
      </c>
      <c r="E2170" s="1">
        <v>75.5</v>
      </c>
      <c r="F2170" s="1">
        <v>61.5</v>
      </c>
      <c r="H2170" s="1">
        <v>69.9</v>
      </c>
    </row>
    <row r="2171" s="1" customFormat="1" spans="1:8">
      <c r="A2171" s="1" t="s">
        <v>14</v>
      </c>
      <c r="B2171" s="1" t="s">
        <v>19</v>
      </c>
      <c r="C2171" s="1" t="str">
        <f t="shared" si="42"/>
        <v>020082</v>
      </c>
      <c r="D2171" s="1" t="str">
        <f>"112208309"</f>
        <v>112208309</v>
      </c>
      <c r="E2171" s="1">
        <v>0</v>
      </c>
      <c r="F2171" s="1">
        <v>0</v>
      </c>
      <c r="H2171" s="1">
        <v>0</v>
      </c>
    </row>
    <row r="2172" s="1" customFormat="1" spans="1:8">
      <c r="A2172" s="1" t="s">
        <v>14</v>
      </c>
      <c r="B2172" s="1" t="s">
        <v>19</v>
      </c>
      <c r="C2172" s="1" t="str">
        <f t="shared" si="42"/>
        <v>020082</v>
      </c>
      <c r="D2172" s="1" t="str">
        <f>"112208310"</f>
        <v>112208310</v>
      </c>
      <c r="E2172" s="1">
        <v>63.5</v>
      </c>
      <c r="F2172" s="1">
        <v>52</v>
      </c>
      <c r="H2172" s="1">
        <v>58.9</v>
      </c>
    </row>
    <row r="2173" s="1" customFormat="1" spans="1:8">
      <c r="A2173" s="1" t="s">
        <v>14</v>
      </c>
      <c r="B2173" s="1" t="s">
        <v>19</v>
      </c>
      <c r="C2173" s="1" t="str">
        <f t="shared" si="42"/>
        <v>020082</v>
      </c>
      <c r="D2173" s="1" t="str">
        <f>"112208311"</f>
        <v>112208311</v>
      </c>
      <c r="E2173" s="1">
        <v>72</v>
      </c>
      <c r="F2173" s="1">
        <v>67</v>
      </c>
      <c r="H2173" s="1">
        <v>70</v>
      </c>
    </row>
    <row r="2174" s="1" customFormat="1" spans="1:8">
      <c r="A2174" s="1" t="s">
        <v>14</v>
      </c>
      <c r="B2174" s="1" t="s">
        <v>19</v>
      </c>
      <c r="C2174" s="1" t="str">
        <f t="shared" si="42"/>
        <v>020082</v>
      </c>
      <c r="D2174" s="1" t="str">
        <f>"112208312"</f>
        <v>112208312</v>
      </c>
      <c r="E2174" s="1">
        <v>82.5</v>
      </c>
      <c r="F2174" s="1">
        <v>82</v>
      </c>
      <c r="H2174" s="1">
        <v>82.3</v>
      </c>
    </row>
    <row r="2175" s="1" customFormat="1" spans="1:8">
      <c r="A2175" s="1" t="s">
        <v>14</v>
      </c>
      <c r="B2175" s="1" t="s">
        <v>19</v>
      </c>
      <c r="C2175" s="1" t="str">
        <f t="shared" si="42"/>
        <v>020082</v>
      </c>
      <c r="D2175" s="1" t="str">
        <f>"112208313"</f>
        <v>112208313</v>
      </c>
      <c r="E2175" s="1">
        <v>0</v>
      </c>
      <c r="F2175" s="1">
        <v>0</v>
      </c>
      <c r="H2175" s="1">
        <v>0</v>
      </c>
    </row>
    <row r="2176" s="1" customFormat="1" spans="1:8">
      <c r="A2176" s="1" t="s">
        <v>14</v>
      </c>
      <c r="B2176" s="1" t="s">
        <v>19</v>
      </c>
      <c r="C2176" s="1" t="str">
        <f t="shared" si="42"/>
        <v>020082</v>
      </c>
      <c r="D2176" s="1" t="str">
        <f>"112208314"</f>
        <v>112208314</v>
      </c>
      <c r="E2176" s="1">
        <v>0</v>
      </c>
      <c r="F2176" s="1">
        <v>0</v>
      </c>
      <c r="H2176" s="1">
        <v>0</v>
      </c>
    </row>
    <row r="2177" s="1" customFormat="1" spans="1:8">
      <c r="A2177" s="1" t="s">
        <v>14</v>
      </c>
      <c r="B2177" s="1" t="s">
        <v>19</v>
      </c>
      <c r="C2177" s="1" t="str">
        <f t="shared" si="42"/>
        <v>020082</v>
      </c>
      <c r="D2177" s="1" t="str">
        <f>"112208315"</f>
        <v>112208315</v>
      </c>
      <c r="E2177" s="1">
        <v>82</v>
      </c>
      <c r="F2177" s="1">
        <v>71.5</v>
      </c>
      <c r="H2177" s="1">
        <v>77.8</v>
      </c>
    </row>
    <row r="2178" s="1" customFormat="1" spans="1:8">
      <c r="A2178" s="1" t="s">
        <v>14</v>
      </c>
      <c r="B2178" s="1" t="s">
        <v>19</v>
      </c>
      <c r="C2178" s="1" t="str">
        <f t="shared" si="42"/>
        <v>020082</v>
      </c>
      <c r="D2178" s="1" t="str">
        <f>"112208316"</f>
        <v>112208316</v>
      </c>
      <c r="E2178" s="1">
        <v>67</v>
      </c>
      <c r="F2178" s="1">
        <v>60.5</v>
      </c>
      <c r="H2178" s="1">
        <v>64.4</v>
      </c>
    </row>
    <row r="2179" s="1" customFormat="1" spans="1:8">
      <c r="A2179" s="1" t="s">
        <v>14</v>
      </c>
      <c r="B2179" s="1" t="s">
        <v>19</v>
      </c>
      <c r="C2179" s="1" t="str">
        <f t="shared" si="42"/>
        <v>020082</v>
      </c>
      <c r="D2179" s="1" t="str">
        <f>"112208317"</f>
        <v>112208317</v>
      </c>
      <c r="E2179" s="1">
        <v>60.5</v>
      </c>
      <c r="F2179" s="1">
        <v>69.5</v>
      </c>
      <c r="H2179" s="1">
        <v>64.1</v>
      </c>
    </row>
    <row r="2180" s="1" customFormat="1" spans="1:8">
      <c r="A2180" s="1" t="s">
        <v>14</v>
      </c>
      <c r="B2180" s="1" t="s">
        <v>19</v>
      </c>
      <c r="C2180" s="1" t="str">
        <f t="shared" si="42"/>
        <v>020082</v>
      </c>
      <c r="D2180" s="1" t="str">
        <f>"112208318"</f>
        <v>112208318</v>
      </c>
      <c r="E2180" s="1">
        <v>72.5</v>
      </c>
      <c r="F2180" s="1">
        <v>91.5</v>
      </c>
      <c r="H2180" s="1">
        <v>80.1</v>
      </c>
    </row>
    <row r="2181" s="1" customFormat="1" spans="1:8">
      <c r="A2181" s="1" t="s">
        <v>14</v>
      </c>
      <c r="B2181" s="1" t="s">
        <v>19</v>
      </c>
      <c r="C2181" s="1" t="str">
        <f t="shared" si="42"/>
        <v>020082</v>
      </c>
      <c r="D2181" s="1" t="str">
        <f>"112208319"</f>
        <v>112208319</v>
      </c>
      <c r="E2181" s="1">
        <v>0</v>
      </c>
      <c r="F2181" s="1">
        <v>0</v>
      </c>
      <c r="H2181" s="1">
        <v>0</v>
      </c>
    </row>
    <row r="2182" s="1" customFormat="1" spans="1:8">
      <c r="A2182" s="1" t="s">
        <v>14</v>
      </c>
      <c r="B2182" s="1" t="s">
        <v>19</v>
      </c>
      <c r="C2182" s="1" t="str">
        <f t="shared" si="42"/>
        <v>020082</v>
      </c>
      <c r="D2182" s="1" t="str">
        <f>"112208320"</f>
        <v>112208320</v>
      </c>
      <c r="E2182" s="1">
        <v>86</v>
      </c>
      <c r="F2182" s="1">
        <v>94</v>
      </c>
      <c r="H2182" s="1">
        <v>89.2</v>
      </c>
    </row>
    <row r="2183" s="1" customFormat="1" spans="1:8">
      <c r="A2183" s="1" t="s">
        <v>14</v>
      </c>
      <c r="B2183" s="1" t="s">
        <v>19</v>
      </c>
      <c r="C2183" s="1" t="str">
        <f t="shared" si="42"/>
        <v>020082</v>
      </c>
      <c r="D2183" s="1" t="str">
        <f>"112208321"</f>
        <v>112208321</v>
      </c>
      <c r="E2183" s="1">
        <v>70.5</v>
      </c>
      <c r="F2183" s="1">
        <v>81.5</v>
      </c>
      <c r="H2183" s="1">
        <v>74.9</v>
      </c>
    </row>
    <row r="2184" s="1" customFormat="1" spans="1:8">
      <c r="A2184" s="1" t="s">
        <v>14</v>
      </c>
      <c r="B2184" s="1" t="s">
        <v>19</v>
      </c>
      <c r="C2184" s="1" t="str">
        <f t="shared" si="42"/>
        <v>020082</v>
      </c>
      <c r="D2184" s="1" t="str">
        <f>"112208322"</f>
        <v>112208322</v>
      </c>
      <c r="E2184" s="1">
        <v>91.5</v>
      </c>
      <c r="F2184" s="1">
        <v>88.5</v>
      </c>
      <c r="H2184" s="1">
        <v>90.3</v>
      </c>
    </row>
    <row r="2185" s="1" customFormat="1" spans="1:8">
      <c r="A2185" s="1" t="s">
        <v>14</v>
      </c>
      <c r="B2185" s="1" t="s">
        <v>19</v>
      </c>
      <c r="C2185" s="1" t="str">
        <f t="shared" si="42"/>
        <v>020082</v>
      </c>
      <c r="D2185" s="1" t="str">
        <f>"112208323"</f>
        <v>112208323</v>
      </c>
      <c r="E2185" s="1">
        <v>63.5</v>
      </c>
      <c r="F2185" s="1">
        <v>65</v>
      </c>
      <c r="H2185" s="1">
        <v>64.1</v>
      </c>
    </row>
    <row r="2186" s="1" customFormat="1" spans="1:8">
      <c r="A2186" s="1" t="s">
        <v>14</v>
      </c>
      <c r="B2186" s="1" t="s">
        <v>19</v>
      </c>
      <c r="C2186" s="1" t="str">
        <f t="shared" si="42"/>
        <v>020082</v>
      </c>
      <c r="D2186" s="1" t="str">
        <f>"112208324"</f>
        <v>112208324</v>
      </c>
      <c r="E2186" s="1">
        <v>66.5</v>
      </c>
      <c r="F2186" s="1">
        <v>50</v>
      </c>
      <c r="H2186" s="1">
        <v>59.9</v>
      </c>
    </row>
    <row r="2187" s="1" customFormat="1" spans="1:8">
      <c r="A2187" s="1" t="s">
        <v>14</v>
      </c>
      <c r="B2187" s="1" t="s">
        <v>19</v>
      </c>
      <c r="C2187" s="1" t="str">
        <f t="shared" si="42"/>
        <v>020082</v>
      </c>
      <c r="D2187" s="1" t="str">
        <f>"112208325"</f>
        <v>112208325</v>
      </c>
      <c r="E2187" s="1">
        <v>75</v>
      </c>
      <c r="F2187" s="1">
        <v>78</v>
      </c>
      <c r="H2187" s="1">
        <v>76.2</v>
      </c>
    </row>
    <row r="2188" s="1" customFormat="1" spans="1:8">
      <c r="A2188" s="1" t="s">
        <v>14</v>
      </c>
      <c r="B2188" s="1" t="s">
        <v>19</v>
      </c>
      <c r="C2188" s="1" t="str">
        <f t="shared" si="42"/>
        <v>020082</v>
      </c>
      <c r="D2188" s="1" t="str">
        <f>"112208326"</f>
        <v>112208326</v>
      </c>
      <c r="E2188" s="1">
        <v>82.5</v>
      </c>
      <c r="F2188" s="1">
        <v>72.5</v>
      </c>
      <c r="H2188" s="1">
        <v>78.5</v>
      </c>
    </row>
    <row r="2189" s="1" customFormat="1" spans="1:8">
      <c r="A2189" s="1" t="s">
        <v>14</v>
      </c>
      <c r="B2189" s="1" t="s">
        <v>19</v>
      </c>
      <c r="C2189" s="1" t="str">
        <f t="shared" si="42"/>
        <v>020082</v>
      </c>
      <c r="D2189" s="1" t="str">
        <f>"112208327"</f>
        <v>112208327</v>
      </c>
      <c r="E2189" s="1">
        <v>86.5</v>
      </c>
      <c r="F2189" s="1">
        <v>95</v>
      </c>
      <c r="H2189" s="1">
        <v>89.9</v>
      </c>
    </row>
    <row r="2190" s="1" customFormat="1" spans="1:8">
      <c r="A2190" s="1" t="s">
        <v>14</v>
      </c>
      <c r="B2190" s="1" t="s">
        <v>19</v>
      </c>
      <c r="C2190" s="1" t="str">
        <f t="shared" si="42"/>
        <v>020082</v>
      </c>
      <c r="D2190" s="1" t="str">
        <f>"112208328"</f>
        <v>112208328</v>
      </c>
      <c r="E2190" s="1">
        <v>67.5</v>
      </c>
      <c r="F2190" s="1">
        <v>50</v>
      </c>
      <c r="H2190" s="1">
        <v>60.5</v>
      </c>
    </row>
    <row r="2191" s="1" customFormat="1" spans="1:8">
      <c r="A2191" s="1" t="s">
        <v>14</v>
      </c>
      <c r="B2191" s="1" t="s">
        <v>19</v>
      </c>
      <c r="C2191" s="1" t="str">
        <f t="shared" si="42"/>
        <v>020082</v>
      </c>
      <c r="D2191" s="1" t="str">
        <f>"112208329"</f>
        <v>112208329</v>
      </c>
      <c r="E2191" s="1">
        <v>0</v>
      </c>
      <c r="F2191" s="1">
        <v>0</v>
      </c>
      <c r="H2191" s="1">
        <v>0</v>
      </c>
    </row>
    <row r="2192" s="1" customFormat="1" spans="1:8">
      <c r="A2192" s="1" t="s">
        <v>14</v>
      </c>
      <c r="B2192" s="1" t="s">
        <v>19</v>
      </c>
      <c r="C2192" s="1" t="str">
        <f t="shared" si="42"/>
        <v>020082</v>
      </c>
      <c r="D2192" s="1" t="str">
        <f>"112208330"</f>
        <v>112208330</v>
      </c>
      <c r="E2192" s="1">
        <v>0</v>
      </c>
      <c r="F2192" s="1">
        <v>0</v>
      </c>
      <c r="H2192" s="1">
        <v>0</v>
      </c>
    </row>
    <row r="2193" s="1" customFormat="1" spans="1:8">
      <c r="A2193" s="1" t="s">
        <v>14</v>
      </c>
      <c r="B2193" s="1" t="s">
        <v>19</v>
      </c>
      <c r="C2193" s="1" t="str">
        <f t="shared" si="42"/>
        <v>020082</v>
      </c>
      <c r="D2193" s="1" t="str">
        <f>"112208401"</f>
        <v>112208401</v>
      </c>
      <c r="E2193" s="1">
        <v>0</v>
      </c>
      <c r="F2193" s="1">
        <v>0</v>
      </c>
      <c r="H2193" s="1">
        <v>0</v>
      </c>
    </row>
    <row r="2194" s="1" customFormat="1" spans="1:8">
      <c r="A2194" s="1" t="s">
        <v>14</v>
      </c>
      <c r="B2194" s="1" t="s">
        <v>19</v>
      </c>
      <c r="C2194" s="1" t="str">
        <f t="shared" si="42"/>
        <v>020082</v>
      </c>
      <c r="D2194" s="1" t="str">
        <f>"112208402"</f>
        <v>112208402</v>
      </c>
      <c r="E2194" s="1">
        <v>68</v>
      </c>
      <c r="F2194" s="1">
        <v>72.5</v>
      </c>
      <c r="H2194" s="1">
        <v>69.8</v>
      </c>
    </row>
    <row r="2195" s="1" customFormat="1" spans="1:8">
      <c r="A2195" s="1" t="s">
        <v>14</v>
      </c>
      <c r="B2195" s="1" t="s">
        <v>19</v>
      </c>
      <c r="C2195" s="1" t="str">
        <f t="shared" si="42"/>
        <v>020082</v>
      </c>
      <c r="D2195" s="1" t="str">
        <f>"112208403"</f>
        <v>112208403</v>
      </c>
      <c r="E2195" s="1">
        <v>73.5</v>
      </c>
      <c r="F2195" s="1">
        <v>61</v>
      </c>
      <c r="H2195" s="1">
        <v>68.5</v>
      </c>
    </row>
    <row r="2196" s="1" customFormat="1" spans="1:8">
      <c r="A2196" s="1" t="s">
        <v>14</v>
      </c>
      <c r="B2196" s="1" t="s">
        <v>19</v>
      </c>
      <c r="C2196" s="1" t="str">
        <f t="shared" si="42"/>
        <v>020082</v>
      </c>
      <c r="D2196" s="1" t="str">
        <f>"112208404"</f>
        <v>112208404</v>
      </c>
      <c r="E2196" s="1">
        <v>59.5</v>
      </c>
      <c r="F2196" s="1">
        <v>49.5</v>
      </c>
      <c r="H2196" s="1">
        <v>55.5</v>
      </c>
    </row>
    <row r="2197" s="1" customFormat="1" spans="1:8">
      <c r="A2197" s="1" t="s">
        <v>14</v>
      </c>
      <c r="B2197" s="1" t="s">
        <v>19</v>
      </c>
      <c r="C2197" s="1" t="str">
        <f t="shared" si="42"/>
        <v>020082</v>
      </c>
      <c r="D2197" s="1" t="str">
        <f>"112208405"</f>
        <v>112208405</v>
      </c>
      <c r="E2197" s="1">
        <v>81.5</v>
      </c>
      <c r="F2197" s="1">
        <v>99.5</v>
      </c>
      <c r="H2197" s="1">
        <v>88.7</v>
      </c>
    </row>
    <row r="2198" s="1" customFormat="1" spans="1:8">
      <c r="A2198" s="1" t="s">
        <v>14</v>
      </c>
      <c r="B2198" s="1" t="s">
        <v>19</v>
      </c>
      <c r="C2198" s="1" t="str">
        <f t="shared" si="42"/>
        <v>020082</v>
      </c>
      <c r="D2198" s="1" t="str">
        <f>"112208406"</f>
        <v>112208406</v>
      </c>
      <c r="E2198" s="1">
        <v>74</v>
      </c>
      <c r="F2198" s="1">
        <v>87.5</v>
      </c>
      <c r="H2198" s="1">
        <v>79.4</v>
      </c>
    </row>
    <row r="2199" s="1" customFormat="1" spans="1:8">
      <c r="A2199" s="1" t="s">
        <v>14</v>
      </c>
      <c r="B2199" s="1" t="s">
        <v>19</v>
      </c>
      <c r="C2199" s="1" t="str">
        <f t="shared" si="42"/>
        <v>020082</v>
      </c>
      <c r="D2199" s="1" t="str">
        <f>"112208407"</f>
        <v>112208407</v>
      </c>
      <c r="E2199" s="1">
        <v>69.5</v>
      </c>
      <c r="F2199" s="1">
        <v>70.5</v>
      </c>
      <c r="H2199" s="1">
        <v>69.9</v>
      </c>
    </row>
    <row r="2200" s="1" customFormat="1" spans="1:8">
      <c r="A2200" s="1" t="s">
        <v>14</v>
      </c>
      <c r="B2200" s="1" t="s">
        <v>19</v>
      </c>
      <c r="C2200" s="1" t="str">
        <f t="shared" si="42"/>
        <v>020082</v>
      </c>
      <c r="D2200" s="1" t="str">
        <f>"112208408"</f>
        <v>112208408</v>
      </c>
      <c r="E2200" s="1">
        <v>65</v>
      </c>
      <c r="F2200" s="1">
        <v>64.5</v>
      </c>
      <c r="H2200" s="1">
        <v>64.8</v>
      </c>
    </row>
    <row r="2201" s="1" customFormat="1" spans="1:8">
      <c r="A2201" s="1" t="s">
        <v>14</v>
      </c>
      <c r="B2201" s="1" t="s">
        <v>19</v>
      </c>
      <c r="C2201" s="1" t="str">
        <f t="shared" si="42"/>
        <v>020082</v>
      </c>
      <c r="D2201" s="1" t="str">
        <f>"112208409"</f>
        <v>112208409</v>
      </c>
      <c r="E2201" s="1">
        <v>72</v>
      </c>
      <c r="F2201" s="1">
        <v>84.5</v>
      </c>
      <c r="H2201" s="1">
        <v>77</v>
      </c>
    </row>
    <row r="2202" s="1" customFormat="1" spans="1:8">
      <c r="A2202" s="1" t="s">
        <v>14</v>
      </c>
      <c r="B2202" s="1" t="s">
        <v>19</v>
      </c>
      <c r="C2202" s="1" t="str">
        <f t="shared" ref="C2202:C2265" si="43">"020082"</f>
        <v>020082</v>
      </c>
      <c r="D2202" s="1" t="str">
        <f>"112208410"</f>
        <v>112208410</v>
      </c>
      <c r="E2202" s="1">
        <v>60</v>
      </c>
      <c r="F2202" s="1">
        <v>49</v>
      </c>
      <c r="H2202" s="1">
        <v>55.6</v>
      </c>
    </row>
    <row r="2203" s="1" customFormat="1" spans="1:8">
      <c r="A2203" s="1" t="s">
        <v>14</v>
      </c>
      <c r="B2203" s="1" t="s">
        <v>19</v>
      </c>
      <c r="C2203" s="1" t="str">
        <f t="shared" si="43"/>
        <v>020082</v>
      </c>
      <c r="D2203" s="1" t="str">
        <f>"112208411"</f>
        <v>112208411</v>
      </c>
      <c r="E2203" s="1">
        <v>76.5</v>
      </c>
      <c r="F2203" s="1">
        <v>86</v>
      </c>
      <c r="H2203" s="1">
        <v>80.3</v>
      </c>
    </row>
    <row r="2204" s="1" customFormat="1" spans="1:8">
      <c r="A2204" s="1" t="s">
        <v>14</v>
      </c>
      <c r="B2204" s="1" t="s">
        <v>19</v>
      </c>
      <c r="C2204" s="1" t="str">
        <f t="shared" si="43"/>
        <v>020082</v>
      </c>
      <c r="D2204" s="1" t="str">
        <f>"112208412"</f>
        <v>112208412</v>
      </c>
      <c r="E2204" s="1">
        <v>70.5</v>
      </c>
      <c r="F2204" s="1">
        <v>61.5</v>
      </c>
      <c r="H2204" s="1">
        <v>66.9</v>
      </c>
    </row>
    <row r="2205" s="1" customFormat="1" spans="1:8">
      <c r="A2205" s="1" t="s">
        <v>14</v>
      </c>
      <c r="B2205" s="1" t="s">
        <v>19</v>
      </c>
      <c r="C2205" s="1" t="str">
        <f t="shared" si="43"/>
        <v>020082</v>
      </c>
      <c r="D2205" s="1" t="str">
        <f>"112208413"</f>
        <v>112208413</v>
      </c>
      <c r="E2205" s="1">
        <v>68.5</v>
      </c>
      <c r="F2205" s="1">
        <v>85.5</v>
      </c>
      <c r="H2205" s="1">
        <v>75.3</v>
      </c>
    </row>
    <row r="2206" s="1" customFormat="1" spans="1:8">
      <c r="A2206" s="1" t="s">
        <v>14</v>
      </c>
      <c r="B2206" s="1" t="s">
        <v>19</v>
      </c>
      <c r="C2206" s="1" t="str">
        <f t="shared" si="43"/>
        <v>020082</v>
      </c>
      <c r="D2206" s="1" t="str">
        <f>"112208414"</f>
        <v>112208414</v>
      </c>
      <c r="E2206" s="1">
        <v>65</v>
      </c>
      <c r="F2206" s="1">
        <v>69</v>
      </c>
      <c r="H2206" s="1">
        <v>66.6</v>
      </c>
    </row>
    <row r="2207" s="1" customFormat="1" spans="1:8">
      <c r="A2207" s="1" t="s">
        <v>14</v>
      </c>
      <c r="B2207" s="1" t="s">
        <v>19</v>
      </c>
      <c r="C2207" s="1" t="str">
        <f t="shared" si="43"/>
        <v>020082</v>
      </c>
      <c r="D2207" s="1" t="str">
        <f>"112208415"</f>
        <v>112208415</v>
      </c>
      <c r="E2207" s="1">
        <v>60</v>
      </c>
      <c r="F2207" s="1">
        <v>67</v>
      </c>
      <c r="H2207" s="1">
        <v>62.8</v>
      </c>
    </row>
    <row r="2208" s="1" customFormat="1" spans="1:8">
      <c r="A2208" s="1" t="s">
        <v>14</v>
      </c>
      <c r="B2208" s="1" t="s">
        <v>19</v>
      </c>
      <c r="C2208" s="1" t="str">
        <f t="shared" si="43"/>
        <v>020082</v>
      </c>
      <c r="D2208" s="1" t="str">
        <f>"112208416"</f>
        <v>112208416</v>
      </c>
      <c r="E2208" s="1">
        <v>75.5</v>
      </c>
      <c r="F2208" s="1">
        <v>60.5</v>
      </c>
      <c r="H2208" s="1">
        <v>69.5</v>
      </c>
    </row>
    <row r="2209" s="1" customFormat="1" spans="1:8">
      <c r="A2209" s="1" t="s">
        <v>14</v>
      </c>
      <c r="B2209" s="1" t="s">
        <v>19</v>
      </c>
      <c r="C2209" s="1" t="str">
        <f t="shared" si="43"/>
        <v>020082</v>
      </c>
      <c r="D2209" s="1" t="str">
        <f>"112208417"</f>
        <v>112208417</v>
      </c>
      <c r="E2209" s="1">
        <v>73.5</v>
      </c>
      <c r="F2209" s="1">
        <v>74.5</v>
      </c>
      <c r="H2209" s="1">
        <v>73.9</v>
      </c>
    </row>
    <row r="2210" s="1" customFormat="1" spans="1:8">
      <c r="A2210" s="1" t="s">
        <v>14</v>
      </c>
      <c r="B2210" s="1" t="s">
        <v>19</v>
      </c>
      <c r="C2210" s="1" t="str">
        <f t="shared" si="43"/>
        <v>020082</v>
      </c>
      <c r="D2210" s="1" t="str">
        <f>"112208418"</f>
        <v>112208418</v>
      </c>
      <c r="E2210" s="1">
        <v>64.5</v>
      </c>
      <c r="F2210" s="1">
        <v>70.5</v>
      </c>
      <c r="H2210" s="1">
        <v>66.9</v>
      </c>
    </row>
    <row r="2211" s="1" customFormat="1" spans="1:8">
      <c r="A2211" s="1" t="s">
        <v>14</v>
      </c>
      <c r="B2211" s="1" t="s">
        <v>19</v>
      </c>
      <c r="C2211" s="1" t="str">
        <f t="shared" si="43"/>
        <v>020082</v>
      </c>
      <c r="D2211" s="1" t="str">
        <f>"112208419"</f>
        <v>112208419</v>
      </c>
      <c r="E2211" s="1">
        <v>0</v>
      </c>
      <c r="F2211" s="1">
        <v>0</v>
      </c>
      <c r="H2211" s="1">
        <v>0</v>
      </c>
    </row>
    <row r="2212" s="1" customFormat="1" spans="1:8">
      <c r="A2212" s="1" t="s">
        <v>14</v>
      </c>
      <c r="B2212" s="1" t="s">
        <v>19</v>
      </c>
      <c r="C2212" s="1" t="str">
        <f t="shared" si="43"/>
        <v>020082</v>
      </c>
      <c r="D2212" s="1" t="str">
        <f>"112208420"</f>
        <v>112208420</v>
      </c>
      <c r="E2212" s="1">
        <v>82</v>
      </c>
      <c r="F2212" s="1">
        <v>54</v>
      </c>
      <c r="H2212" s="1">
        <v>70.8</v>
      </c>
    </row>
    <row r="2213" s="1" customFormat="1" spans="1:8">
      <c r="A2213" s="1" t="s">
        <v>14</v>
      </c>
      <c r="B2213" s="1" t="s">
        <v>19</v>
      </c>
      <c r="C2213" s="1" t="str">
        <f t="shared" si="43"/>
        <v>020082</v>
      </c>
      <c r="D2213" s="1" t="str">
        <f>"112208421"</f>
        <v>112208421</v>
      </c>
      <c r="E2213" s="1">
        <v>0</v>
      </c>
      <c r="F2213" s="1">
        <v>0</v>
      </c>
      <c r="H2213" s="1">
        <v>0</v>
      </c>
    </row>
    <row r="2214" s="1" customFormat="1" spans="1:8">
      <c r="A2214" s="1" t="s">
        <v>14</v>
      </c>
      <c r="B2214" s="1" t="s">
        <v>19</v>
      </c>
      <c r="C2214" s="1" t="str">
        <f t="shared" si="43"/>
        <v>020082</v>
      </c>
      <c r="D2214" s="1" t="str">
        <f>"112208422"</f>
        <v>112208422</v>
      </c>
      <c r="E2214" s="1">
        <v>75.5</v>
      </c>
      <c r="F2214" s="1">
        <v>73</v>
      </c>
      <c r="H2214" s="1">
        <v>74.5</v>
      </c>
    </row>
    <row r="2215" s="1" customFormat="1" spans="1:8">
      <c r="A2215" s="1" t="s">
        <v>14</v>
      </c>
      <c r="B2215" s="1" t="s">
        <v>19</v>
      </c>
      <c r="C2215" s="1" t="str">
        <f t="shared" si="43"/>
        <v>020082</v>
      </c>
      <c r="D2215" s="1" t="str">
        <f>"112208423"</f>
        <v>112208423</v>
      </c>
      <c r="E2215" s="1">
        <v>64</v>
      </c>
      <c r="F2215" s="1">
        <v>75</v>
      </c>
      <c r="H2215" s="1">
        <v>68.4</v>
      </c>
    </row>
    <row r="2216" s="1" customFormat="1" spans="1:8">
      <c r="A2216" s="1" t="s">
        <v>14</v>
      </c>
      <c r="B2216" s="1" t="s">
        <v>19</v>
      </c>
      <c r="C2216" s="1" t="str">
        <f t="shared" si="43"/>
        <v>020082</v>
      </c>
      <c r="D2216" s="1" t="str">
        <f>"112208424"</f>
        <v>112208424</v>
      </c>
      <c r="E2216" s="1">
        <v>0</v>
      </c>
      <c r="F2216" s="1">
        <v>0</v>
      </c>
      <c r="H2216" s="1">
        <v>0</v>
      </c>
    </row>
    <row r="2217" s="1" customFormat="1" spans="1:8">
      <c r="A2217" s="1" t="s">
        <v>14</v>
      </c>
      <c r="B2217" s="1" t="s">
        <v>19</v>
      </c>
      <c r="C2217" s="1" t="str">
        <f t="shared" si="43"/>
        <v>020082</v>
      </c>
      <c r="D2217" s="1" t="str">
        <f>"112208425"</f>
        <v>112208425</v>
      </c>
      <c r="E2217" s="1">
        <v>0</v>
      </c>
      <c r="F2217" s="1">
        <v>0</v>
      </c>
      <c r="H2217" s="1">
        <v>0</v>
      </c>
    </row>
    <row r="2218" s="1" customFormat="1" spans="1:8">
      <c r="A2218" s="1" t="s">
        <v>14</v>
      </c>
      <c r="B2218" s="1" t="s">
        <v>19</v>
      </c>
      <c r="C2218" s="1" t="str">
        <f t="shared" si="43"/>
        <v>020082</v>
      </c>
      <c r="D2218" s="1" t="str">
        <f>"112208426"</f>
        <v>112208426</v>
      </c>
      <c r="E2218" s="1">
        <v>77</v>
      </c>
      <c r="F2218" s="1">
        <v>88</v>
      </c>
      <c r="H2218" s="1">
        <v>81.4</v>
      </c>
    </row>
    <row r="2219" s="1" customFormat="1" spans="1:8">
      <c r="A2219" s="1" t="s">
        <v>14</v>
      </c>
      <c r="B2219" s="1" t="s">
        <v>19</v>
      </c>
      <c r="C2219" s="1" t="str">
        <f t="shared" si="43"/>
        <v>020082</v>
      </c>
      <c r="D2219" s="1" t="str">
        <f>"112208427"</f>
        <v>112208427</v>
      </c>
      <c r="E2219" s="1">
        <v>64.5</v>
      </c>
      <c r="F2219" s="1">
        <v>63.5</v>
      </c>
      <c r="H2219" s="1">
        <v>64.1</v>
      </c>
    </row>
    <row r="2220" s="1" customFormat="1" spans="1:8">
      <c r="A2220" s="1" t="s">
        <v>14</v>
      </c>
      <c r="B2220" s="1" t="s">
        <v>19</v>
      </c>
      <c r="C2220" s="1" t="str">
        <f t="shared" si="43"/>
        <v>020082</v>
      </c>
      <c r="D2220" s="1" t="str">
        <f>"112208428"</f>
        <v>112208428</v>
      </c>
      <c r="E2220" s="1">
        <v>74</v>
      </c>
      <c r="F2220" s="1">
        <v>76.5</v>
      </c>
      <c r="H2220" s="1">
        <v>75</v>
      </c>
    </row>
    <row r="2221" s="1" customFormat="1" spans="1:8">
      <c r="A2221" s="1" t="s">
        <v>14</v>
      </c>
      <c r="B2221" s="1" t="s">
        <v>19</v>
      </c>
      <c r="C2221" s="1" t="str">
        <f t="shared" si="43"/>
        <v>020082</v>
      </c>
      <c r="D2221" s="1" t="str">
        <f>"112208429"</f>
        <v>112208429</v>
      </c>
      <c r="E2221" s="1">
        <v>70.5</v>
      </c>
      <c r="F2221" s="1">
        <v>80.5</v>
      </c>
      <c r="H2221" s="1">
        <v>74.5</v>
      </c>
    </row>
    <row r="2222" s="1" customFormat="1" spans="1:8">
      <c r="A2222" s="1" t="s">
        <v>14</v>
      </c>
      <c r="B2222" s="1" t="s">
        <v>19</v>
      </c>
      <c r="C2222" s="1" t="str">
        <f t="shared" si="43"/>
        <v>020082</v>
      </c>
      <c r="D2222" s="1" t="str">
        <f>"112208430"</f>
        <v>112208430</v>
      </c>
      <c r="E2222" s="1">
        <v>80.5</v>
      </c>
      <c r="F2222" s="1">
        <v>83.5</v>
      </c>
      <c r="H2222" s="1">
        <v>81.7</v>
      </c>
    </row>
    <row r="2223" s="1" customFormat="1" spans="1:8">
      <c r="A2223" s="1" t="s">
        <v>14</v>
      </c>
      <c r="B2223" s="1" t="s">
        <v>19</v>
      </c>
      <c r="C2223" s="1" t="str">
        <f t="shared" si="43"/>
        <v>020082</v>
      </c>
      <c r="D2223" s="1" t="str">
        <f>"112208501"</f>
        <v>112208501</v>
      </c>
      <c r="E2223" s="1">
        <v>77.5</v>
      </c>
      <c r="F2223" s="1">
        <v>89.5</v>
      </c>
      <c r="H2223" s="1">
        <v>82.3</v>
      </c>
    </row>
    <row r="2224" s="1" customFormat="1" spans="1:8">
      <c r="A2224" s="1" t="s">
        <v>14</v>
      </c>
      <c r="B2224" s="1" t="s">
        <v>19</v>
      </c>
      <c r="C2224" s="1" t="str">
        <f t="shared" si="43"/>
        <v>020082</v>
      </c>
      <c r="D2224" s="1" t="str">
        <f>"112208502"</f>
        <v>112208502</v>
      </c>
      <c r="E2224" s="1">
        <v>73.5</v>
      </c>
      <c r="F2224" s="1">
        <v>77.5</v>
      </c>
      <c r="H2224" s="1">
        <v>75.1</v>
      </c>
    </row>
    <row r="2225" s="1" customFormat="1" spans="1:8">
      <c r="A2225" s="1" t="s">
        <v>14</v>
      </c>
      <c r="B2225" s="1" t="s">
        <v>19</v>
      </c>
      <c r="C2225" s="1" t="str">
        <f t="shared" si="43"/>
        <v>020082</v>
      </c>
      <c r="D2225" s="1" t="str">
        <f>"112208503"</f>
        <v>112208503</v>
      </c>
      <c r="E2225" s="1">
        <v>0</v>
      </c>
      <c r="F2225" s="1">
        <v>0</v>
      </c>
      <c r="H2225" s="1">
        <v>0</v>
      </c>
    </row>
    <row r="2226" s="1" customFormat="1" spans="1:8">
      <c r="A2226" s="1" t="s">
        <v>14</v>
      </c>
      <c r="B2226" s="1" t="s">
        <v>19</v>
      </c>
      <c r="C2226" s="1" t="str">
        <f t="shared" si="43"/>
        <v>020082</v>
      </c>
      <c r="D2226" s="1" t="str">
        <f>"112208504"</f>
        <v>112208504</v>
      </c>
      <c r="E2226" s="1">
        <v>70</v>
      </c>
      <c r="F2226" s="1">
        <v>72.5</v>
      </c>
      <c r="H2226" s="1">
        <v>71</v>
      </c>
    </row>
    <row r="2227" s="1" customFormat="1" spans="1:8">
      <c r="A2227" s="1" t="s">
        <v>14</v>
      </c>
      <c r="B2227" s="1" t="s">
        <v>19</v>
      </c>
      <c r="C2227" s="1" t="str">
        <f t="shared" si="43"/>
        <v>020082</v>
      </c>
      <c r="D2227" s="1" t="str">
        <f>"112208505"</f>
        <v>112208505</v>
      </c>
      <c r="E2227" s="1">
        <v>0</v>
      </c>
      <c r="F2227" s="1">
        <v>0</v>
      </c>
      <c r="H2227" s="1">
        <v>0</v>
      </c>
    </row>
    <row r="2228" s="1" customFormat="1" spans="1:8">
      <c r="A2228" s="1" t="s">
        <v>14</v>
      </c>
      <c r="B2228" s="1" t="s">
        <v>19</v>
      </c>
      <c r="C2228" s="1" t="str">
        <f t="shared" si="43"/>
        <v>020082</v>
      </c>
      <c r="D2228" s="1" t="str">
        <f>"112208506"</f>
        <v>112208506</v>
      </c>
      <c r="E2228" s="1">
        <v>65.5</v>
      </c>
      <c r="F2228" s="1">
        <v>54</v>
      </c>
      <c r="H2228" s="1">
        <v>60.9</v>
      </c>
    </row>
    <row r="2229" s="1" customFormat="1" spans="1:8">
      <c r="A2229" s="1" t="s">
        <v>14</v>
      </c>
      <c r="B2229" s="1" t="s">
        <v>19</v>
      </c>
      <c r="C2229" s="1" t="str">
        <f t="shared" si="43"/>
        <v>020082</v>
      </c>
      <c r="D2229" s="1" t="str">
        <f>"112208507"</f>
        <v>112208507</v>
      </c>
      <c r="E2229" s="1">
        <v>46.5</v>
      </c>
      <c r="F2229" s="1">
        <v>0</v>
      </c>
      <c r="H2229" s="1">
        <v>27.9</v>
      </c>
    </row>
    <row r="2230" s="1" customFormat="1" spans="1:8">
      <c r="A2230" s="1" t="s">
        <v>14</v>
      </c>
      <c r="B2230" s="1" t="s">
        <v>19</v>
      </c>
      <c r="C2230" s="1" t="str">
        <f t="shared" si="43"/>
        <v>020082</v>
      </c>
      <c r="D2230" s="1" t="str">
        <f>"112208508"</f>
        <v>112208508</v>
      </c>
      <c r="E2230" s="1">
        <v>92.5</v>
      </c>
      <c r="F2230" s="1">
        <v>97</v>
      </c>
      <c r="H2230" s="1">
        <v>94.3</v>
      </c>
    </row>
    <row r="2231" s="1" customFormat="1" spans="1:8">
      <c r="A2231" s="1" t="s">
        <v>14</v>
      </c>
      <c r="B2231" s="1" t="s">
        <v>19</v>
      </c>
      <c r="C2231" s="1" t="str">
        <f t="shared" si="43"/>
        <v>020082</v>
      </c>
      <c r="D2231" s="1" t="str">
        <f>"112208509"</f>
        <v>112208509</v>
      </c>
      <c r="E2231" s="1">
        <v>73</v>
      </c>
      <c r="F2231" s="1">
        <v>76.5</v>
      </c>
      <c r="H2231" s="1">
        <v>74.4</v>
      </c>
    </row>
    <row r="2232" s="1" customFormat="1" spans="1:8">
      <c r="A2232" s="1" t="s">
        <v>14</v>
      </c>
      <c r="B2232" s="1" t="s">
        <v>19</v>
      </c>
      <c r="C2232" s="1" t="str">
        <f t="shared" si="43"/>
        <v>020082</v>
      </c>
      <c r="D2232" s="1" t="str">
        <f>"112208510"</f>
        <v>112208510</v>
      </c>
      <c r="E2232" s="1">
        <v>60.5</v>
      </c>
      <c r="F2232" s="1">
        <v>55.5</v>
      </c>
      <c r="H2232" s="1">
        <v>58.5</v>
      </c>
    </row>
    <row r="2233" s="1" customFormat="1" spans="1:8">
      <c r="A2233" s="1" t="s">
        <v>14</v>
      </c>
      <c r="B2233" s="1" t="s">
        <v>19</v>
      </c>
      <c r="C2233" s="1" t="str">
        <f t="shared" si="43"/>
        <v>020082</v>
      </c>
      <c r="D2233" s="1" t="str">
        <f>"112208511"</f>
        <v>112208511</v>
      </c>
      <c r="E2233" s="1">
        <v>63.5</v>
      </c>
      <c r="F2233" s="1">
        <v>68</v>
      </c>
      <c r="H2233" s="1">
        <v>65.3</v>
      </c>
    </row>
    <row r="2234" s="1" customFormat="1" spans="1:8">
      <c r="A2234" s="1" t="s">
        <v>14</v>
      </c>
      <c r="B2234" s="1" t="s">
        <v>19</v>
      </c>
      <c r="C2234" s="1" t="str">
        <f t="shared" si="43"/>
        <v>020082</v>
      </c>
      <c r="D2234" s="1" t="str">
        <f>"112208512"</f>
        <v>112208512</v>
      </c>
      <c r="E2234" s="1">
        <v>72</v>
      </c>
      <c r="F2234" s="1">
        <v>92</v>
      </c>
      <c r="H2234" s="1">
        <v>80</v>
      </c>
    </row>
    <row r="2235" s="1" customFormat="1" spans="1:8">
      <c r="A2235" s="1" t="s">
        <v>14</v>
      </c>
      <c r="B2235" s="1" t="s">
        <v>19</v>
      </c>
      <c r="C2235" s="1" t="str">
        <f t="shared" si="43"/>
        <v>020082</v>
      </c>
      <c r="D2235" s="1" t="str">
        <f>"112208513"</f>
        <v>112208513</v>
      </c>
      <c r="E2235" s="1">
        <v>61</v>
      </c>
      <c r="F2235" s="1">
        <v>64</v>
      </c>
      <c r="H2235" s="1">
        <v>62.2</v>
      </c>
    </row>
    <row r="2236" s="1" customFormat="1" spans="1:8">
      <c r="A2236" s="1" t="s">
        <v>14</v>
      </c>
      <c r="B2236" s="1" t="s">
        <v>19</v>
      </c>
      <c r="C2236" s="1" t="str">
        <f t="shared" si="43"/>
        <v>020082</v>
      </c>
      <c r="D2236" s="1" t="str">
        <f>"112208514"</f>
        <v>112208514</v>
      </c>
      <c r="E2236" s="1">
        <v>57.5</v>
      </c>
      <c r="F2236" s="1">
        <v>67.5</v>
      </c>
      <c r="H2236" s="1">
        <v>61.5</v>
      </c>
    </row>
    <row r="2237" s="1" customFormat="1" spans="1:8">
      <c r="A2237" s="1" t="s">
        <v>14</v>
      </c>
      <c r="B2237" s="1" t="s">
        <v>19</v>
      </c>
      <c r="C2237" s="1" t="str">
        <f t="shared" si="43"/>
        <v>020082</v>
      </c>
      <c r="D2237" s="1" t="str">
        <f>"112208515"</f>
        <v>112208515</v>
      </c>
      <c r="E2237" s="1">
        <v>0</v>
      </c>
      <c r="F2237" s="1">
        <v>0</v>
      </c>
      <c r="H2237" s="1">
        <v>0</v>
      </c>
    </row>
    <row r="2238" s="1" customFormat="1" spans="1:8">
      <c r="A2238" s="1" t="s">
        <v>14</v>
      </c>
      <c r="B2238" s="1" t="s">
        <v>19</v>
      </c>
      <c r="C2238" s="1" t="str">
        <f t="shared" si="43"/>
        <v>020082</v>
      </c>
      <c r="D2238" s="1" t="str">
        <f>"112208516"</f>
        <v>112208516</v>
      </c>
      <c r="E2238" s="1">
        <v>78.5</v>
      </c>
      <c r="F2238" s="1">
        <v>64</v>
      </c>
      <c r="H2238" s="1">
        <v>72.7</v>
      </c>
    </row>
    <row r="2239" s="1" customFormat="1" spans="1:8">
      <c r="A2239" s="1" t="s">
        <v>14</v>
      </c>
      <c r="B2239" s="1" t="s">
        <v>19</v>
      </c>
      <c r="C2239" s="1" t="str">
        <f t="shared" si="43"/>
        <v>020082</v>
      </c>
      <c r="D2239" s="1" t="str">
        <f>"112208517"</f>
        <v>112208517</v>
      </c>
      <c r="E2239" s="1">
        <v>0</v>
      </c>
      <c r="F2239" s="1">
        <v>0</v>
      </c>
      <c r="H2239" s="1">
        <v>0</v>
      </c>
    </row>
    <row r="2240" s="1" customFormat="1" spans="1:8">
      <c r="A2240" s="1" t="s">
        <v>14</v>
      </c>
      <c r="B2240" s="1" t="s">
        <v>19</v>
      </c>
      <c r="C2240" s="1" t="str">
        <f t="shared" si="43"/>
        <v>020082</v>
      </c>
      <c r="D2240" s="1" t="str">
        <f>"112208518"</f>
        <v>112208518</v>
      </c>
      <c r="E2240" s="1">
        <v>72</v>
      </c>
      <c r="F2240" s="1">
        <v>74</v>
      </c>
      <c r="H2240" s="1">
        <v>72.8</v>
      </c>
    </row>
    <row r="2241" s="1" customFormat="1" spans="1:8">
      <c r="A2241" s="1" t="s">
        <v>14</v>
      </c>
      <c r="B2241" s="1" t="s">
        <v>19</v>
      </c>
      <c r="C2241" s="1" t="str">
        <f t="shared" si="43"/>
        <v>020082</v>
      </c>
      <c r="D2241" s="1" t="str">
        <f>"112208519"</f>
        <v>112208519</v>
      </c>
      <c r="E2241" s="1">
        <v>0</v>
      </c>
      <c r="F2241" s="1">
        <v>0</v>
      </c>
      <c r="H2241" s="1">
        <v>0</v>
      </c>
    </row>
    <row r="2242" s="1" customFormat="1" spans="1:8">
      <c r="A2242" s="1" t="s">
        <v>14</v>
      </c>
      <c r="B2242" s="1" t="s">
        <v>19</v>
      </c>
      <c r="C2242" s="1" t="str">
        <f t="shared" si="43"/>
        <v>020082</v>
      </c>
      <c r="D2242" s="1" t="str">
        <f>"112208520"</f>
        <v>112208520</v>
      </c>
      <c r="E2242" s="1">
        <v>78.5</v>
      </c>
      <c r="F2242" s="1">
        <v>74.5</v>
      </c>
      <c r="H2242" s="1">
        <v>76.9</v>
      </c>
    </row>
    <row r="2243" s="1" customFormat="1" spans="1:8">
      <c r="A2243" s="1" t="s">
        <v>14</v>
      </c>
      <c r="B2243" s="1" t="s">
        <v>19</v>
      </c>
      <c r="C2243" s="1" t="str">
        <f t="shared" si="43"/>
        <v>020082</v>
      </c>
      <c r="D2243" s="1" t="str">
        <f>"112208521"</f>
        <v>112208521</v>
      </c>
      <c r="E2243" s="1">
        <v>68</v>
      </c>
      <c r="F2243" s="1">
        <v>89.5</v>
      </c>
      <c r="H2243" s="1">
        <v>76.6</v>
      </c>
    </row>
    <row r="2244" s="1" customFormat="1" spans="1:8">
      <c r="A2244" s="1" t="s">
        <v>14</v>
      </c>
      <c r="B2244" s="1" t="s">
        <v>19</v>
      </c>
      <c r="C2244" s="1" t="str">
        <f t="shared" si="43"/>
        <v>020082</v>
      </c>
      <c r="D2244" s="1" t="str">
        <f>"112208522"</f>
        <v>112208522</v>
      </c>
      <c r="E2244" s="1">
        <v>63</v>
      </c>
      <c r="F2244" s="1">
        <v>73.5</v>
      </c>
      <c r="H2244" s="1">
        <v>67.2</v>
      </c>
    </row>
    <row r="2245" s="1" customFormat="1" spans="1:8">
      <c r="A2245" s="1" t="s">
        <v>14</v>
      </c>
      <c r="B2245" s="1" t="s">
        <v>19</v>
      </c>
      <c r="C2245" s="1" t="str">
        <f t="shared" si="43"/>
        <v>020082</v>
      </c>
      <c r="D2245" s="1" t="str">
        <f>"112208523"</f>
        <v>112208523</v>
      </c>
      <c r="E2245" s="1">
        <v>73</v>
      </c>
      <c r="F2245" s="1">
        <v>69.5</v>
      </c>
      <c r="H2245" s="1">
        <v>71.6</v>
      </c>
    </row>
    <row r="2246" s="1" customFormat="1" spans="1:8">
      <c r="A2246" s="1" t="s">
        <v>14</v>
      </c>
      <c r="B2246" s="1" t="s">
        <v>19</v>
      </c>
      <c r="C2246" s="1" t="str">
        <f t="shared" si="43"/>
        <v>020082</v>
      </c>
      <c r="D2246" s="1" t="str">
        <f>"112208524"</f>
        <v>112208524</v>
      </c>
      <c r="E2246" s="1">
        <v>74</v>
      </c>
      <c r="F2246" s="1">
        <v>63.5</v>
      </c>
      <c r="H2246" s="1">
        <v>69.8</v>
      </c>
    </row>
    <row r="2247" s="1" customFormat="1" spans="1:8">
      <c r="A2247" s="1" t="s">
        <v>14</v>
      </c>
      <c r="B2247" s="1" t="s">
        <v>19</v>
      </c>
      <c r="C2247" s="1" t="str">
        <f t="shared" si="43"/>
        <v>020082</v>
      </c>
      <c r="D2247" s="1" t="str">
        <f>"112208525"</f>
        <v>112208525</v>
      </c>
      <c r="E2247" s="1">
        <v>0</v>
      </c>
      <c r="F2247" s="1">
        <v>0</v>
      </c>
      <c r="H2247" s="1">
        <v>0</v>
      </c>
    </row>
    <row r="2248" s="1" customFormat="1" spans="1:8">
      <c r="A2248" s="1" t="s">
        <v>14</v>
      </c>
      <c r="B2248" s="1" t="s">
        <v>19</v>
      </c>
      <c r="C2248" s="1" t="str">
        <f t="shared" si="43"/>
        <v>020082</v>
      </c>
      <c r="D2248" s="1" t="str">
        <f>"112208526"</f>
        <v>112208526</v>
      </c>
      <c r="E2248" s="1">
        <v>74</v>
      </c>
      <c r="F2248" s="1">
        <v>62.5</v>
      </c>
      <c r="H2248" s="1">
        <v>69.4</v>
      </c>
    </row>
    <row r="2249" s="1" customFormat="1" spans="1:8">
      <c r="A2249" s="1" t="s">
        <v>14</v>
      </c>
      <c r="B2249" s="1" t="s">
        <v>19</v>
      </c>
      <c r="C2249" s="1" t="str">
        <f t="shared" si="43"/>
        <v>020082</v>
      </c>
      <c r="D2249" s="1" t="str">
        <f>"112208527"</f>
        <v>112208527</v>
      </c>
      <c r="E2249" s="1">
        <v>0</v>
      </c>
      <c r="F2249" s="1">
        <v>0</v>
      </c>
      <c r="H2249" s="1">
        <v>0</v>
      </c>
    </row>
    <row r="2250" s="1" customFormat="1" spans="1:8">
      <c r="A2250" s="1" t="s">
        <v>14</v>
      </c>
      <c r="B2250" s="1" t="s">
        <v>19</v>
      </c>
      <c r="C2250" s="1" t="str">
        <f t="shared" si="43"/>
        <v>020082</v>
      </c>
      <c r="D2250" s="1" t="str">
        <f>"112208528"</f>
        <v>112208528</v>
      </c>
      <c r="E2250" s="1">
        <v>78.5</v>
      </c>
      <c r="F2250" s="1">
        <v>85.5</v>
      </c>
      <c r="H2250" s="1">
        <v>81.3</v>
      </c>
    </row>
    <row r="2251" s="1" customFormat="1" spans="1:8">
      <c r="A2251" s="1" t="s">
        <v>14</v>
      </c>
      <c r="B2251" s="1" t="s">
        <v>19</v>
      </c>
      <c r="C2251" s="1" t="str">
        <f t="shared" si="43"/>
        <v>020082</v>
      </c>
      <c r="D2251" s="1" t="str">
        <f>"112208529"</f>
        <v>112208529</v>
      </c>
      <c r="E2251" s="1">
        <v>80.5</v>
      </c>
      <c r="F2251" s="1">
        <v>73.5</v>
      </c>
      <c r="H2251" s="1">
        <v>77.7</v>
      </c>
    </row>
    <row r="2252" s="1" customFormat="1" spans="1:8">
      <c r="A2252" s="1" t="s">
        <v>14</v>
      </c>
      <c r="B2252" s="1" t="s">
        <v>19</v>
      </c>
      <c r="C2252" s="1" t="str">
        <f t="shared" si="43"/>
        <v>020082</v>
      </c>
      <c r="D2252" s="1" t="str">
        <f>"112208530"</f>
        <v>112208530</v>
      </c>
      <c r="E2252" s="1">
        <v>74</v>
      </c>
      <c r="F2252" s="1">
        <v>78.5</v>
      </c>
      <c r="H2252" s="1">
        <v>75.8</v>
      </c>
    </row>
    <row r="2253" s="1" customFormat="1" spans="1:8">
      <c r="A2253" s="1" t="s">
        <v>14</v>
      </c>
      <c r="B2253" s="1" t="s">
        <v>19</v>
      </c>
      <c r="C2253" s="1" t="str">
        <f t="shared" si="43"/>
        <v>020082</v>
      </c>
      <c r="D2253" s="1" t="str">
        <f>"112208601"</f>
        <v>112208601</v>
      </c>
      <c r="E2253" s="1">
        <v>79.5</v>
      </c>
      <c r="F2253" s="1">
        <v>93</v>
      </c>
      <c r="H2253" s="1">
        <v>84.9</v>
      </c>
    </row>
    <row r="2254" s="1" customFormat="1" spans="1:8">
      <c r="A2254" s="1" t="s">
        <v>14</v>
      </c>
      <c r="B2254" s="1" t="s">
        <v>19</v>
      </c>
      <c r="C2254" s="1" t="str">
        <f t="shared" si="43"/>
        <v>020082</v>
      </c>
      <c r="D2254" s="1" t="str">
        <f>"112208602"</f>
        <v>112208602</v>
      </c>
      <c r="E2254" s="1">
        <v>46.5</v>
      </c>
      <c r="F2254" s="1">
        <v>55</v>
      </c>
      <c r="H2254" s="1">
        <v>49.9</v>
      </c>
    </row>
    <row r="2255" s="1" customFormat="1" spans="1:8">
      <c r="A2255" s="1" t="s">
        <v>14</v>
      </c>
      <c r="B2255" s="1" t="s">
        <v>19</v>
      </c>
      <c r="C2255" s="1" t="str">
        <f t="shared" si="43"/>
        <v>020082</v>
      </c>
      <c r="D2255" s="1" t="str">
        <f>"112208603"</f>
        <v>112208603</v>
      </c>
      <c r="E2255" s="1">
        <v>67.5</v>
      </c>
      <c r="F2255" s="1">
        <v>84</v>
      </c>
      <c r="H2255" s="1">
        <v>74.1</v>
      </c>
    </row>
    <row r="2256" s="1" customFormat="1" spans="1:8">
      <c r="A2256" s="1" t="s">
        <v>14</v>
      </c>
      <c r="B2256" s="1" t="s">
        <v>19</v>
      </c>
      <c r="C2256" s="1" t="str">
        <f t="shared" si="43"/>
        <v>020082</v>
      </c>
      <c r="D2256" s="1" t="str">
        <f>"112208604"</f>
        <v>112208604</v>
      </c>
      <c r="E2256" s="1">
        <v>62.5</v>
      </c>
      <c r="F2256" s="1">
        <v>80</v>
      </c>
      <c r="H2256" s="1">
        <v>69.5</v>
      </c>
    </row>
    <row r="2257" s="1" customFormat="1" spans="1:8">
      <c r="A2257" s="1" t="s">
        <v>14</v>
      </c>
      <c r="B2257" s="1" t="s">
        <v>19</v>
      </c>
      <c r="C2257" s="1" t="str">
        <f t="shared" si="43"/>
        <v>020082</v>
      </c>
      <c r="D2257" s="1" t="str">
        <f>"112208605"</f>
        <v>112208605</v>
      </c>
      <c r="E2257" s="1">
        <v>0</v>
      </c>
      <c r="F2257" s="1">
        <v>0</v>
      </c>
      <c r="H2257" s="1">
        <v>0</v>
      </c>
    </row>
    <row r="2258" s="1" customFormat="1" spans="1:8">
      <c r="A2258" s="1" t="s">
        <v>14</v>
      </c>
      <c r="B2258" s="1" t="s">
        <v>19</v>
      </c>
      <c r="C2258" s="1" t="str">
        <f t="shared" si="43"/>
        <v>020082</v>
      </c>
      <c r="D2258" s="1" t="str">
        <f>"112208606"</f>
        <v>112208606</v>
      </c>
      <c r="E2258" s="1">
        <v>70</v>
      </c>
      <c r="F2258" s="1">
        <v>82.5</v>
      </c>
      <c r="H2258" s="1">
        <v>75</v>
      </c>
    </row>
    <row r="2259" s="1" customFormat="1" spans="1:8">
      <c r="A2259" s="1" t="s">
        <v>14</v>
      </c>
      <c r="B2259" s="1" t="s">
        <v>19</v>
      </c>
      <c r="C2259" s="1" t="str">
        <f t="shared" si="43"/>
        <v>020082</v>
      </c>
      <c r="D2259" s="1" t="str">
        <f>"112208607"</f>
        <v>112208607</v>
      </c>
      <c r="E2259" s="1">
        <v>69</v>
      </c>
      <c r="F2259" s="1">
        <v>80.5</v>
      </c>
      <c r="H2259" s="1">
        <v>73.6</v>
      </c>
    </row>
    <row r="2260" s="1" customFormat="1" spans="1:8">
      <c r="A2260" s="1" t="s">
        <v>14</v>
      </c>
      <c r="B2260" s="1" t="s">
        <v>19</v>
      </c>
      <c r="C2260" s="1" t="str">
        <f t="shared" si="43"/>
        <v>020082</v>
      </c>
      <c r="D2260" s="1" t="str">
        <f>"112208608"</f>
        <v>112208608</v>
      </c>
      <c r="E2260" s="1">
        <v>89</v>
      </c>
      <c r="F2260" s="1">
        <v>94.5</v>
      </c>
      <c r="H2260" s="1">
        <v>91.2</v>
      </c>
    </row>
    <row r="2261" s="1" customFormat="1" spans="1:8">
      <c r="A2261" s="1" t="s">
        <v>14</v>
      </c>
      <c r="B2261" s="1" t="s">
        <v>19</v>
      </c>
      <c r="C2261" s="1" t="str">
        <f t="shared" si="43"/>
        <v>020082</v>
      </c>
      <c r="D2261" s="1" t="str">
        <f>"112208609"</f>
        <v>112208609</v>
      </c>
      <c r="E2261" s="1">
        <v>88</v>
      </c>
      <c r="F2261" s="1">
        <v>93.5</v>
      </c>
      <c r="H2261" s="1">
        <v>90.2</v>
      </c>
    </row>
    <row r="2262" s="1" customFormat="1" spans="1:8">
      <c r="A2262" s="1" t="s">
        <v>14</v>
      </c>
      <c r="B2262" s="1" t="s">
        <v>19</v>
      </c>
      <c r="C2262" s="1" t="str">
        <f t="shared" si="43"/>
        <v>020082</v>
      </c>
      <c r="D2262" s="1" t="str">
        <f>"112208610"</f>
        <v>112208610</v>
      </c>
      <c r="E2262" s="1">
        <v>67</v>
      </c>
      <c r="F2262" s="1">
        <v>67</v>
      </c>
      <c r="H2262" s="1">
        <v>67</v>
      </c>
    </row>
    <row r="2263" s="1" customFormat="1" spans="1:8">
      <c r="A2263" s="1" t="s">
        <v>14</v>
      </c>
      <c r="B2263" s="1" t="s">
        <v>19</v>
      </c>
      <c r="C2263" s="1" t="str">
        <f t="shared" si="43"/>
        <v>020082</v>
      </c>
      <c r="D2263" s="1" t="str">
        <f>"112208611"</f>
        <v>112208611</v>
      </c>
      <c r="E2263" s="1">
        <v>74</v>
      </c>
      <c r="F2263" s="1">
        <v>79.5</v>
      </c>
      <c r="H2263" s="1">
        <v>76.2</v>
      </c>
    </row>
    <row r="2264" s="1" customFormat="1" spans="1:8">
      <c r="A2264" s="1" t="s">
        <v>14</v>
      </c>
      <c r="B2264" s="1" t="s">
        <v>19</v>
      </c>
      <c r="C2264" s="1" t="str">
        <f t="shared" si="43"/>
        <v>020082</v>
      </c>
      <c r="D2264" s="1" t="str">
        <f>"112208612"</f>
        <v>112208612</v>
      </c>
      <c r="E2264" s="1">
        <v>58</v>
      </c>
      <c r="F2264" s="1">
        <v>59</v>
      </c>
      <c r="H2264" s="1">
        <v>58.4</v>
      </c>
    </row>
    <row r="2265" s="1" customFormat="1" spans="1:8">
      <c r="A2265" s="1" t="s">
        <v>14</v>
      </c>
      <c r="B2265" s="1" t="s">
        <v>19</v>
      </c>
      <c r="C2265" s="1" t="str">
        <f t="shared" si="43"/>
        <v>020082</v>
      </c>
      <c r="D2265" s="1" t="str">
        <f>"112208613"</f>
        <v>112208613</v>
      </c>
      <c r="E2265" s="1">
        <v>79.5</v>
      </c>
      <c r="F2265" s="1">
        <v>75.5</v>
      </c>
      <c r="H2265" s="1">
        <v>77.9</v>
      </c>
    </row>
    <row r="2266" s="1" customFormat="1" spans="1:8">
      <c r="A2266" s="1" t="s">
        <v>14</v>
      </c>
      <c r="B2266" s="1" t="s">
        <v>19</v>
      </c>
      <c r="C2266" s="1" t="str">
        <f t="shared" ref="C2266:C2329" si="44">"020082"</f>
        <v>020082</v>
      </c>
      <c r="D2266" s="1" t="str">
        <f>"112208614"</f>
        <v>112208614</v>
      </c>
      <c r="E2266" s="1">
        <v>80.5</v>
      </c>
      <c r="F2266" s="1">
        <v>77</v>
      </c>
      <c r="G2266" s="1">
        <v>2</v>
      </c>
      <c r="H2266" s="1">
        <v>81.1</v>
      </c>
    </row>
    <row r="2267" s="1" customFormat="1" spans="1:8">
      <c r="A2267" s="1" t="s">
        <v>14</v>
      </c>
      <c r="B2267" s="1" t="s">
        <v>19</v>
      </c>
      <c r="C2267" s="1" t="str">
        <f t="shared" si="44"/>
        <v>020082</v>
      </c>
      <c r="D2267" s="1" t="str">
        <f>"112208615"</f>
        <v>112208615</v>
      </c>
      <c r="E2267" s="1">
        <v>62</v>
      </c>
      <c r="F2267" s="1">
        <v>70</v>
      </c>
      <c r="H2267" s="1">
        <v>65.2</v>
      </c>
    </row>
    <row r="2268" s="1" customFormat="1" spans="1:8">
      <c r="A2268" s="1" t="s">
        <v>14</v>
      </c>
      <c r="B2268" s="1" t="s">
        <v>19</v>
      </c>
      <c r="C2268" s="1" t="str">
        <f t="shared" si="44"/>
        <v>020082</v>
      </c>
      <c r="D2268" s="1" t="str">
        <f>"112208616"</f>
        <v>112208616</v>
      </c>
      <c r="E2268" s="1">
        <v>0</v>
      </c>
      <c r="F2268" s="1">
        <v>0</v>
      </c>
      <c r="H2268" s="1">
        <v>0</v>
      </c>
    </row>
    <row r="2269" s="1" customFormat="1" spans="1:8">
      <c r="A2269" s="1" t="s">
        <v>14</v>
      </c>
      <c r="B2269" s="1" t="s">
        <v>19</v>
      </c>
      <c r="C2269" s="1" t="str">
        <f t="shared" si="44"/>
        <v>020082</v>
      </c>
      <c r="D2269" s="1" t="str">
        <f>"112208617"</f>
        <v>112208617</v>
      </c>
      <c r="E2269" s="1">
        <v>74</v>
      </c>
      <c r="F2269" s="1">
        <v>53</v>
      </c>
      <c r="H2269" s="1">
        <v>65.6</v>
      </c>
    </row>
    <row r="2270" s="1" customFormat="1" spans="1:8">
      <c r="A2270" s="1" t="s">
        <v>14</v>
      </c>
      <c r="B2270" s="1" t="s">
        <v>19</v>
      </c>
      <c r="C2270" s="1" t="str">
        <f t="shared" si="44"/>
        <v>020082</v>
      </c>
      <c r="D2270" s="1" t="str">
        <f>"112208618"</f>
        <v>112208618</v>
      </c>
      <c r="E2270" s="1">
        <v>78.5</v>
      </c>
      <c r="F2270" s="1">
        <v>67</v>
      </c>
      <c r="H2270" s="1">
        <v>73.9</v>
      </c>
    </row>
    <row r="2271" s="1" customFormat="1" spans="1:8">
      <c r="A2271" s="1" t="s">
        <v>14</v>
      </c>
      <c r="B2271" s="1" t="s">
        <v>19</v>
      </c>
      <c r="C2271" s="1" t="str">
        <f t="shared" si="44"/>
        <v>020082</v>
      </c>
      <c r="D2271" s="1" t="str">
        <f>"112208619"</f>
        <v>112208619</v>
      </c>
      <c r="E2271" s="1">
        <v>84</v>
      </c>
      <c r="F2271" s="1">
        <v>85</v>
      </c>
      <c r="H2271" s="1">
        <v>84.4</v>
      </c>
    </row>
    <row r="2272" s="1" customFormat="1" spans="1:8">
      <c r="A2272" s="1" t="s">
        <v>14</v>
      </c>
      <c r="B2272" s="1" t="s">
        <v>19</v>
      </c>
      <c r="C2272" s="1" t="str">
        <f t="shared" si="44"/>
        <v>020082</v>
      </c>
      <c r="D2272" s="1" t="str">
        <f>"112208620"</f>
        <v>112208620</v>
      </c>
      <c r="E2272" s="1">
        <v>75.5</v>
      </c>
      <c r="F2272" s="1">
        <v>84.5</v>
      </c>
      <c r="H2272" s="1">
        <v>79.1</v>
      </c>
    </row>
    <row r="2273" s="1" customFormat="1" spans="1:8">
      <c r="A2273" s="1" t="s">
        <v>14</v>
      </c>
      <c r="B2273" s="1" t="s">
        <v>19</v>
      </c>
      <c r="C2273" s="1" t="str">
        <f t="shared" si="44"/>
        <v>020082</v>
      </c>
      <c r="D2273" s="1" t="str">
        <f>"112208621"</f>
        <v>112208621</v>
      </c>
      <c r="E2273" s="1">
        <v>0</v>
      </c>
      <c r="F2273" s="1">
        <v>0</v>
      </c>
      <c r="H2273" s="1">
        <v>0</v>
      </c>
    </row>
    <row r="2274" s="1" customFormat="1" spans="1:8">
      <c r="A2274" s="1" t="s">
        <v>14</v>
      </c>
      <c r="B2274" s="1" t="s">
        <v>19</v>
      </c>
      <c r="C2274" s="1" t="str">
        <f t="shared" si="44"/>
        <v>020082</v>
      </c>
      <c r="D2274" s="1" t="str">
        <f>"112208622"</f>
        <v>112208622</v>
      </c>
      <c r="E2274" s="1">
        <v>88.5</v>
      </c>
      <c r="F2274" s="1">
        <v>98.5</v>
      </c>
      <c r="H2274" s="1">
        <v>92.5</v>
      </c>
    </row>
    <row r="2275" s="1" customFormat="1" spans="1:8">
      <c r="A2275" s="1" t="s">
        <v>14</v>
      </c>
      <c r="B2275" s="1" t="s">
        <v>19</v>
      </c>
      <c r="C2275" s="1" t="str">
        <f t="shared" si="44"/>
        <v>020082</v>
      </c>
      <c r="D2275" s="1" t="str">
        <f>"112208623"</f>
        <v>112208623</v>
      </c>
      <c r="E2275" s="1">
        <v>63.5</v>
      </c>
      <c r="F2275" s="1">
        <v>57.5</v>
      </c>
      <c r="H2275" s="1">
        <v>61.1</v>
      </c>
    </row>
    <row r="2276" s="1" customFormat="1" spans="1:8">
      <c r="A2276" s="1" t="s">
        <v>14</v>
      </c>
      <c r="B2276" s="1" t="s">
        <v>19</v>
      </c>
      <c r="C2276" s="1" t="str">
        <f t="shared" si="44"/>
        <v>020082</v>
      </c>
      <c r="D2276" s="1" t="str">
        <f>"112208624"</f>
        <v>112208624</v>
      </c>
      <c r="E2276" s="1">
        <v>80</v>
      </c>
      <c r="F2276" s="1">
        <v>76.5</v>
      </c>
      <c r="H2276" s="1">
        <v>78.6</v>
      </c>
    </row>
    <row r="2277" s="1" customFormat="1" spans="1:8">
      <c r="A2277" s="1" t="s">
        <v>14</v>
      </c>
      <c r="B2277" s="1" t="s">
        <v>19</v>
      </c>
      <c r="C2277" s="1" t="str">
        <f t="shared" si="44"/>
        <v>020082</v>
      </c>
      <c r="D2277" s="1" t="str">
        <f>"112208625"</f>
        <v>112208625</v>
      </c>
      <c r="E2277" s="1">
        <v>79</v>
      </c>
      <c r="F2277" s="1">
        <v>90.5</v>
      </c>
      <c r="H2277" s="1">
        <v>83.6</v>
      </c>
    </row>
    <row r="2278" s="1" customFormat="1" spans="1:8">
      <c r="A2278" s="1" t="s">
        <v>14</v>
      </c>
      <c r="B2278" s="1" t="s">
        <v>19</v>
      </c>
      <c r="C2278" s="1" t="str">
        <f t="shared" si="44"/>
        <v>020082</v>
      </c>
      <c r="D2278" s="1" t="str">
        <f>"112208626"</f>
        <v>112208626</v>
      </c>
      <c r="E2278" s="1">
        <v>63</v>
      </c>
      <c r="F2278" s="1">
        <v>66</v>
      </c>
      <c r="H2278" s="1">
        <v>64.2</v>
      </c>
    </row>
    <row r="2279" s="1" customFormat="1" spans="1:8">
      <c r="A2279" s="1" t="s">
        <v>14</v>
      </c>
      <c r="B2279" s="1" t="s">
        <v>19</v>
      </c>
      <c r="C2279" s="1" t="str">
        <f t="shared" si="44"/>
        <v>020082</v>
      </c>
      <c r="D2279" s="1" t="str">
        <f>"112208627"</f>
        <v>112208627</v>
      </c>
      <c r="E2279" s="1">
        <v>85</v>
      </c>
      <c r="F2279" s="1">
        <v>86</v>
      </c>
      <c r="H2279" s="1">
        <v>85.4</v>
      </c>
    </row>
    <row r="2280" s="1" customFormat="1" spans="1:8">
      <c r="A2280" s="1" t="s">
        <v>14</v>
      </c>
      <c r="B2280" s="1" t="s">
        <v>19</v>
      </c>
      <c r="C2280" s="1" t="str">
        <f t="shared" si="44"/>
        <v>020082</v>
      </c>
      <c r="D2280" s="1" t="str">
        <f>"112208628"</f>
        <v>112208628</v>
      </c>
      <c r="E2280" s="1">
        <v>66</v>
      </c>
      <c r="F2280" s="1">
        <v>57</v>
      </c>
      <c r="H2280" s="1">
        <v>62.4</v>
      </c>
    </row>
    <row r="2281" s="1" customFormat="1" spans="1:8">
      <c r="A2281" s="1" t="s">
        <v>14</v>
      </c>
      <c r="B2281" s="1" t="s">
        <v>19</v>
      </c>
      <c r="C2281" s="1" t="str">
        <f t="shared" si="44"/>
        <v>020082</v>
      </c>
      <c r="D2281" s="1" t="str">
        <f>"112208629"</f>
        <v>112208629</v>
      </c>
      <c r="E2281" s="1">
        <v>80</v>
      </c>
      <c r="F2281" s="1">
        <v>88</v>
      </c>
      <c r="H2281" s="1">
        <v>83.2</v>
      </c>
    </row>
    <row r="2282" s="1" customFormat="1" spans="1:8">
      <c r="A2282" s="1" t="s">
        <v>14</v>
      </c>
      <c r="B2282" s="1" t="s">
        <v>19</v>
      </c>
      <c r="C2282" s="1" t="str">
        <f t="shared" si="44"/>
        <v>020082</v>
      </c>
      <c r="D2282" s="1" t="str">
        <f>"112208630"</f>
        <v>112208630</v>
      </c>
      <c r="E2282" s="1">
        <v>57</v>
      </c>
      <c r="F2282" s="1">
        <v>59</v>
      </c>
      <c r="H2282" s="1">
        <v>57.8</v>
      </c>
    </row>
    <row r="2283" s="1" customFormat="1" spans="1:8">
      <c r="A2283" s="1" t="s">
        <v>14</v>
      </c>
      <c r="B2283" s="1" t="s">
        <v>19</v>
      </c>
      <c r="C2283" s="1" t="str">
        <f t="shared" si="44"/>
        <v>020082</v>
      </c>
      <c r="D2283" s="1" t="str">
        <f>"112208701"</f>
        <v>112208701</v>
      </c>
      <c r="E2283" s="1">
        <v>76.5</v>
      </c>
      <c r="F2283" s="1">
        <v>100.5</v>
      </c>
      <c r="H2283" s="1">
        <v>86.1</v>
      </c>
    </row>
    <row r="2284" s="1" customFormat="1" spans="1:8">
      <c r="A2284" s="1" t="s">
        <v>14</v>
      </c>
      <c r="B2284" s="1" t="s">
        <v>19</v>
      </c>
      <c r="C2284" s="1" t="str">
        <f t="shared" si="44"/>
        <v>020082</v>
      </c>
      <c r="D2284" s="1" t="str">
        <f>"112208702"</f>
        <v>112208702</v>
      </c>
      <c r="E2284" s="1">
        <v>74.5</v>
      </c>
      <c r="F2284" s="1">
        <v>63.5</v>
      </c>
      <c r="H2284" s="1">
        <v>70.1</v>
      </c>
    </row>
    <row r="2285" s="1" customFormat="1" spans="1:8">
      <c r="A2285" s="1" t="s">
        <v>14</v>
      </c>
      <c r="B2285" s="1" t="s">
        <v>19</v>
      </c>
      <c r="C2285" s="1" t="str">
        <f t="shared" si="44"/>
        <v>020082</v>
      </c>
      <c r="D2285" s="1" t="str">
        <f>"112208703"</f>
        <v>112208703</v>
      </c>
      <c r="E2285" s="1">
        <v>93</v>
      </c>
      <c r="F2285" s="1">
        <v>98.5</v>
      </c>
      <c r="H2285" s="1">
        <v>95.2</v>
      </c>
    </row>
    <row r="2286" s="1" customFormat="1" spans="1:8">
      <c r="A2286" s="1" t="s">
        <v>14</v>
      </c>
      <c r="B2286" s="1" t="s">
        <v>19</v>
      </c>
      <c r="C2286" s="1" t="str">
        <f t="shared" si="44"/>
        <v>020082</v>
      </c>
      <c r="D2286" s="1" t="str">
        <f>"112208704"</f>
        <v>112208704</v>
      </c>
      <c r="E2286" s="1">
        <v>61.5</v>
      </c>
      <c r="F2286" s="1">
        <v>73</v>
      </c>
      <c r="H2286" s="1">
        <v>66.1</v>
      </c>
    </row>
    <row r="2287" s="1" customFormat="1" spans="1:8">
      <c r="A2287" s="1" t="s">
        <v>14</v>
      </c>
      <c r="B2287" s="1" t="s">
        <v>19</v>
      </c>
      <c r="C2287" s="1" t="str">
        <f t="shared" si="44"/>
        <v>020082</v>
      </c>
      <c r="D2287" s="1" t="str">
        <f>"112208705"</f>
        <v>112208705</v>
      </c>
      <c r="E2287" s="1">
        <v>83.5</v>
      </c>
      <c r="F2287" s="1">
        <v>90.5</v>
      </c>
      <c r="H2287" s="1">
        <v>86.3</v>
      </c>
    </row>
    <row r="2288" s="1" customFormat="1" spans="1:8">
      <c r="A2288" s="1" t="s">
        <v>14</v>
      </c>
      <c r="B2288" s="1" t="s">
        <v>19</v>
      </c>
      <c r="C2288" s="1" t="str">
        <f t="shared" si="44"/>
        <v>020082</v>
      </c>
      <c r="D2288" s="1" t="str">
        <f>"112208706"</f>
        <v>112208706</v>
      </c>
      <c r="E2288" s="1">
        <v>0</v>
      </c>
      <c r="F2288" s="1">
        <v>0</v>
      </c>
      <c r="H2288" s="1">
        <v>0</v>
      </c>
    </row>
    <row r="2289" s="1" customFormat="1" spans="1:8">
      <c r="A2289" s="1" t="s">
        <v>14</v>
      </c>
      <c r="B2289" s="1" t="s">
        <v>19</v>
      </c>
      <c r="C2289" s="1" t="str">
        <f t="shared" si="44"/>
        <v>020082</v>
      </c>
      <c r="D2289" s="1" t="str">
        <f>"112208707"</f>
        <v>112208707</v>
      </c>
      <c r="E2289" s="1">
        <v>69.5</v>
      </c>
      <c r="F2289" s="1">
        <v>68</v>
      </c>
      <c r="H2289" s="1">
        <v>68.9</v>
      </c>
    </row>
    <row r="2290" s="1" customFormat="1" spans="1:8">
      <c r="A2290" s="1" t="s">
        <v>14</v>
      </c>
      <c r="B2290" s="1" t="s">
        <v>19</v>
      </c>
      <c r="C2290" s="1" t="str">
        <f t="shared" si="44"/>
        <v>020082</v>
      </c>
      <c r="D2290" s="1" t="str">
        <f>"112208708"</f>
        <v>112208708</v>
      </c>
      <c r="E2290" s="1">
        <v>81</v>
      </c>
      <c r="F2290" s="1">
        <v>92</v>
      </c>
      <c r="H2290" s="1">
        <v>85.4</v>
      </c>
    </row>
    <row r="2291" s="1" customFormat="1" spans="1:8">
      <c r="A2291" s="1" t="s">
        <v>14</v>
      </c>
      <c r="B2291" s="1" t="s">
        <v>19</v>
      </c>
      <c r="C2291" s="1" t="str">
        <f t="shared" si="44"/>
        <v>020082</v>
      </c>
      <c r="D2291" s="1" t="str">
        <f>"112208709"</f>
        <v>112208709</v>
      </c>
      <c r="E2291" s="1">
        <v>74</v>
      </c>
      <c r="F2291" s="1">
        <v>59</v>
      </c>
      <c r="H2291" s="1">
        <v>68</v>
      </c>
    </row>
    <row r="2292" s="1" customFormat="1" spans="1:8">
      <c r="A2292" s="1" t="s">
        <v>14</v>
      </c>
      <c r="B2292" s="1" t="s">
        <v>19</v>
      </c>
      <c r="C2292" s="1" t="str">
        <f t="shared" si="44"/>
        <v>020082</v>
      </c>
      <c r="D2292" s="1" t="str">
        <f>"112208710"</f>
        <v>112208710</v>
      </c>
      <c r="E2292" s="1">
        <v>0</v>
      </c>
      <c r="F2292" s="1">
        <v>0</v>
      </c>
      <c r="H2292" s="1">
        <v>0</v>
      </c>
    </row>
    <row r="2293" s="1" customFormat="1" spans="1:8">
      <c r="A2293" s="1" t="s">
        <v>14</v>
      </c>
      <c r="B2293" s="1" t="s">
        <v>19</v>
      </c>
      <c r="C2293" s="1" t="str">
        <f t="shared" si="44"/>
        <v>020082</v>
      </c>
      <c r="D2293" s="1" t="str">
        <f>"112208711"</f>
        <v>112208711</v>
      </c>
      <c r="E2293" s="1">
        <v>71</v>
      </c>
      <c r="F2293" s="1">
        <v>79</v>
      </c>
      <c r="H2293" s="1">
        <v>74.2</v>
      </c>
    </row>
    <row r="2294" s="1" customFormat="1" spans="1:8">
      <c r="A2294" s="1" t="s">
        <v>14</v>
      </c>
      <c r="B2294" s="1" t="s">
        <v>19</v>
      </c>
      <c r="C2294" s="1" t="str">
        <f t="shared" si="44"/>
        <v>020082</v>
      </c>
      <c r="D2294" s="1" t="str">
        <f>"112208712"</f>
        <v>112208712</v>
      </c>
      <c r="E2294" s="1">
        <v>0</v>
      </c>
      <c r="F2294" s="1">
        <v>0</v>
      </c>
      <c r="H2294" s="1">
        <v>0</v>
      </c>
    </row>
    <row r="2295" s="1" customFormat="1" spans="1:8">
      <c r="A2295" s="1" t="s">
        <v>14</v>
      </c>
      <c r="B2295" s="1" t="s">
        <v>19</v>
      </c>
      <c r="C2295" s="1" t="str">
        <f t="shared" si="44"/>
        <v>020082</v>
      </c>
      <c r="D2295" s="1" t="str">
        <f>"112208713"</f>
        <v>112208713</v>
      </c>
      <c r="E2295" s="1">
        <v>0</v>
      </c>
      <c r="F2295" s="1">
        <v>0</v>
      </c>
      <c r="H2295" s="1">
        <v>0</v>
      </c>
    </row>
    <row r="2296" s="1" customFormat="1" spans="1:8">
      <c r="A2296" s="1" t="s">
        <v>14</v>
      </c>
      <c r="B2296" s="1" t="s">
        <v>19</v>
      </c>
      <c r="C2296" s="1" t="str">
        <f t="shared" si="44"/>
        <v>020082</v>
      </c>
      <c r="D2296" s="1" t="str">
        <f>"112208714"</f>
        <v>112208714</v>
      </c>
      <c r="E2296" s="1">
        <v>72.5</v>
      </c>
      <c r="F2296" s="1">
        <v>81</v>
      </c>
      <c r="H2296" s="1">
        <v>75.9</v>
      </c>
    </row>
    <row r="2297" s="1" customFormat="1" spans="1:8">
      <c r="A2297" s="1" t="s">
        <v>14</v>
      </c>
      <c r="B2297" s="1" t="s">
        <v>19</v>
      </c>
      <c r="C2297" s="1" t="str">
        <f t="shared" si="44"/>
        <v>020082</v>
      </c>
      <c r="D2297" s="1" t="str">
        <f>"112208715"</f>
        <v>112208715</v>
      </c>
      <c r="E2297" s="1">
        <v>72.5</v>
      </c>
      <c r="F2297" s="1">
        <v>75</v>
      </c>
      <c r="H2297" s="1">
        <v>73.5</v>
      </c>
    </row>
    <row r="2298" s="1" customFormat="1" spans="1:8">
      <c r="A2298" s="1" t="s">
        <v>14</v>
      </c>
      <c r="B2298" s="1" t="s">
        <v>19</v>
      </c>
      <c r="C2298" s="1" t="str">
        <f t="shared" si="44"/>
        <v>020082</v>
      </c>
      <c r="D2298" s="1" t="str">
        <f>"112208716"</f>
        <v>112208716</v>
      </c>
      <c r="E2298" s="1">
        <v>63.5</v>
      </c>
      <c r="F2298" s="1">
        <v>56.5</v>
      </c>
      <c r="H2298" s="1">
        <v>60.7</v>
      </c>
    </row>
    <row r="2299" s="1" customFormat="1" spans="1:8">
      <c r="A2299" s="1" t="s">
        <v>14</v>
      </c>
      <c r="B2299" s="1" t="s">
        <v>19</v>
      </c>
      <c r="C2299" s="1" t="str">
        <f t="shared" si="44"/>
        <v>020082</v>
      </c>
      <c r="D2299" s="1" t="str">
        <f>"112208717"</f>
        <v>112208717</v>
      </c>
      <c r="E2299" s="1">
        <v>61</v>
      </c>
      <c r="F2299" s="1">
        <v>63</v>
      </c>
      <c r="H2299" s="1">
        <v>61.8</v>
      </c>
    </row>
    <row r="2300" s="1" customFormat="1" spans="1:8">
      <c r="A2300" s="1" t="s">
        <v>14</v>
      </c>
      <c r="B2300" s="1" t="s">
        <v>19</v>
      </c>
      <c r="C2300" s="1" t="str">
        <f t="shared" si="44"/>
        <v>020082</v>
      </c>
      <c r="D2300" s="1" t="str">
        <f>"112208718"</f>
        <v>112208718</v>
      </c>
      <c r="E2300" s="1">
        <v>93</v>
      </c>
      <c r="F2300" s="1">
        <v>106</v>
      </c>
      <c r="H2300" s="1">
        <v>98.2</v>
      </c>
    </row>
    <row r="2301" s="1" customFormat="1" spans="1:8">
      <c r="A2301" s="1" t="s">
        <v>14</v>
      </c>
      <c r="B2301" s="1" t="s">
        <v>19</v>
      </c>
      <c r="C2301" s="1" t="str">
        <f t="shared" si="44"/>
        <v>020082</v>
      </c>
      <c r="D2301" s="1" t="str">
        <f>"112208719"</f>
        <v>112208719</v>
      </c>
      <c r="E2301" s="1">
        <v>87.5</v>
      </c>
      <c r="F2301" s="1">
        <v>95</v>
      </c>
      <c r="H2301" s="1">
        <v>90.5</v>
      </c>
    </row>
    <row r="2302" s="1" customFormat="1" spans="1:8">
      <c r="A2302" s="1" t="s">
        <v>14</v>
      </c>
      <c r="B2302" s="1" t="s">
        <v>19</v>
      </c>
      <c r="C2302" s="1" t="str">
        <f t="shared" si="44"/>
        <v>020082</v>
      </c>
      <c r="D2302" s="1" t="str">
        <f>"112208720"</f>
        <v>112208720</v>
      </c>
      <c r="E2302" s="1">
        <v>78.5</v>
      </c>
      <c r="F2302" s="1">
        <v>78</v>
      </c>
      <c r="H2302" s="1">
        <v>78.3</v>
      </c>
    </row>
    <row r="2303" s="1" customFormat="1" spans="1:8">
      <c r="A2303" s="1" t="s">
        <v>14</v>
      </c>
      <c r="B2303" s="1" t="s">
        <v>19</v>
      </c>
      <c r="C2303" s="1" t="str">
        <f t="shared" si="44"/>
        <v>020082</v>
      </c>
      <c r="D2303" s="1" t="str">
        <f>"112208721"</f>
        <v>112208721</v>
      </c>
      <c r="E2303" s="1">
        <v>89.5</v>
      </c>
      <c r="F2303" s="1">
        <v>77.5</v>
      </c>
      <c r="H2303" s="1">
        <v>84.7</v>
      </c>
    </row>
    <row r="2304" s="1" customFormat="1" spans="1:8">
      <c r="A2304" s="1" t="s">
        <v>14</v>
      </c>
      <c r="B2304" s="1" t="s">
        <v>19</v>
      </c>
      <c r="C2304" s="1" t="str">
        <f t="shared" si="44"/>
        <v>020082</v>
      </c>
      <c r="D2304" s="1" t="str">
        <f>"112208722"</f>
        <v>112208722</v>
      </c>
      <c r="E2304" s="1">
        <v>0</v>
      </c>
      <c r="F2304" s="1">
        <v>0</v>
      </c>
      <c r="H2304" s="1">
        <v>0</v>
      </c>
    </row>
    <row r="2305" s="1" customFormat="1" spans="1:8">
      <c r="A2305" s="1" t="s">
        <v>14</v>
      </c>
      <c r="B2305" s="1" t="s">
        <v>19</v>
      </c>
      <c r="C2305" s="1" t="str">
        <f t="shared" si="44"/>
        <v>020082</v>
      </c>
      <c r="D2305" s="1" t="str">
        <f>"112208723"</f>
        <v>112208723</v>
      </c>
      <c r="E2305" s="1">
        <v>0</v>
      </c>
      <c r="F2305" s="1">
        <v>0</v>
      </c>
      <c r="H2305" s="1">
        <v>0</v>
      </c>
    </row>
    <row r="2306" s="1" customFormat="1" spans="1:8">
      <c r="A2306" s="1" t="s">
        <v>14</v>
      </c>
      <c r="B2306" s="1" t="s">
        <v>19</v>
      </c>
      <c r="C2306" s="1" t="str">
        <f t="shared" si="44"/>
        <v>020082</v>
      </c>
      <c r="D2306" s="1" t="str">
        <f>"112208724"</f>
        <v>112208724</v>
      </c>
      <c r="E2306" s="1">
        <v>90.5</v>
      </c>
      <c r="F2306" s="1">
        <v>92.5</v>
      </c>
      <c r="H2306" s="1">
        <v>91.3</v>
      </c>
    </row>
    <row r="2307" s="1" customFormat="1" spans="1:8">
      <c r="A2307" s="1" t="s">
        <v>14</v>
      </c>
      <c r="B2307" s="1" t="s">
        <v>19</v>
      </c>
      <c r="C2307" s="1" t="str">
        <f t="shared" si="44"/>
        <v>020082</v>
      </c>
      <c r="D2307" s="1" t="str">
        <f>"112208725"</f>
        <v>112208725</v>
      </c>
      <c r="E2307" s="1">
        <v>89.5</v>
      </c>
      <c r="F2307" s="1">
        <v>92</v>
      </c>
      <c r="H2307" s="1">
        <v>90.5</v>
      </c>
    </row>
    <row r="2308" s="1" customFormat="1" spans="1:8">
      <c r="A2308" s="1" t="s">
        <v>14</v>
      </c>
      <c r="B2308" s="1" t="s">
        <v>19</v>
      </c>
      <c r="C2308" s="1" t="str">
        <f t="shared" si="44"/>
        <v>020082</v>
      </c>
      <c r="D2308" s="1" t="str">
        <f>"112208726"</f>
        <v>112208726</v>
      </c>
      <c r="E2308" s="1">
        <v>73.5</v>
      </c>
      <c r="F2308" s="1">
        <v>79.5</v>
      </c>
      <c r="H2308" s="1">
        <v>75.9</v>
      </c>
    </row>
    <row r="2309" s="1" customFormat="1" spans="1:8">
      <c r="A2309" s="1" t="s">
        <v>14</v>
      </c>
      <c r="B2309" s="1" t="s">
        <v>19</v>
      </c>
      <c r="C2309" s="1" t="str">
        <f t="shared" si="44"/>
        <v>020082</v>
      </c>
      <c r="D2309" s="1" t="str">
        <f>"112208727"</f>
        <v>112208727</v>
      </c>
      <c r="E2309" s="1">
        <v>79</v>
      </c>
      <c r="F2309" s="1">
        <v>76</v>
      </c>
      <c r="H2309" s="1">
        <v>77.8</v>
      </c>
    </row>
    <row r="2310" s="1" customFormat="1" spans="1:8">
      <c r="A2310" s="1" t="s">
        <v>14</v>
      </c>
      <c r="B2310" s="1" t="s">
        <v>19</v>
      </c>
      <c r="C2310" s="1" t="str">
        <f t="shared" si="44"/>
        <v>020082</v>
      </c>
      <c r="D2310" s="1" t="str">
        <f>"112208728"</f>
        <v>112208728</v>
      </c>
      <c r="E2310" s="1">
        <v>67.5</v>
      </c>
      <c r="F2310" s="1">
        <v>59</v>
      </c>
      <c r="H2310" s="1">
        <v>64.1</v>
      </c>
    </row>
    <row r="2311" s="1" customFormat="1" spans="1:8">
      <c r="A2311" s="1" t="s">
        <v>14</v>
      </c>
      <c r="B2311" s="1" t="s">
        <v>19</v>
      </c>
      <c r="C2311" s="1" t="str">
        <f t="shared" si="44"/>
        <v>020082</v>
      </c>
      <c r="D2311" s="1" t="str">
        <f>"112208729"</f>
        <v>112208729</v>
      </c>
      <c r="E2311" s="1">
        <v>67.5</v>
      </c>
      <c r="F2311" s="1">
        <v>70</v>
      </c>
      <c r="H2311" s="1">
        <v>68.5</v>
      </c>
    </row>
    <row r="2312" s="1" customFormat="1" spans="1:8">
      <c r="A2312" s="1" t="s">
        <v>14</v>
      </c>
      <c r="B2312" s="1" t="s">
        <v>19</v>
      </c>
      <c r="C2312" s="1" t="str">
        <f t="shared" si="44"/>
        <v>020082</v>
      </c>
      <c r="D2312" s="1" t="str">
        <f>"112208730"</f>
        <v>112208730</v>
      </c>
      <c r="E2312" s="1">
        <v>84.5</v>
      </c>
      <c r="F2312" s="1">
        <v>80</v>
      </c>
      <c r="H2312" s="1">
        <v>82.7</v>
      </c>
    </row>
    <row r="2313" s="1" customFormat="1" spans="1:8">
      <c r="A2313" s="1" t="s">
        <v>14</v>
      </c>
      <c r="B2313" s="1" t="s">
        <v>19</v>
      </c>
      <c r="C2313" s="1" t="str">
        <f t="shared" si="44"/>
        <v>020082</v>
      </c>
      <c r="D2313" s="1" t="str">
        <f>"112208801"</f>
        <v>112208801</v>
      </c>
      <c r="E2313" s="1">
        <v>68</v>
      </c>
      <c r="F2313" s="1">
        <v>71</v>
      </c>
      <c r="H2313" s="1">
        <v>69.2</v>
      </c>
    </row>
    <row r="2314" s="1" customFormat="1" spans="1:8">
      <c r="A2314" s="1" t="s">
        <v>14</v>
      </c>
      <c r="B2314" s="1" t="s">
        <v>19</v>
      </c>
      <c r="C2314" s="1" t="str">
        <f t="shared" si="44"/>
        <v>020082</v>
      </c>
      <c r="D2314" s="1" t="str">
        <f>"112208802"</f>
        <v>112208802</v>
      </c>
      <c r="E2314" s="1">
        <v>75.5</v>
      </c>
      <c r="F2314" s="1">
        <v>62</v>
      </c>
      <c r="H2314" s="1">
        <v>70.1</v>
      </c>
    </row>
    <row r="2315" s="1" customFormat="1" spans="1:8">
      <c r="A2315" s="1" t="s">
        <v>14</v>
      </c>
      <c r="B2315" s="1" t="s">
        <v>19</v>
      </c>
      <c r="C2315" s="1" t="str">
        <f t="shared" si="44"/>
        <v>020082</v>
      </c>
      <c r="D2315" s="1" t="str">
        <f>"112208803"</f>
        <v>112208803</v>
      </c>
      <c r="E2315" s="1">
        <v>79.5</v>
      </c>
      <c r="F2315" s="1">
        <v>92.5</v>
      </c>
      <c r="H2315" s="1">
        <v>84.7</v>
      </c>
    </row>
    <row r="2316" s="1" customFormat="1" spans="1:8">
      <c r="A2316" s="1" t="s">
        <v>14</v>
      </c>
      <c r="B2316" s="1" t="s">
        <v>19</v>
      </c>
      <c r="C2316" s="1" t="str">
        <f t="shared" si="44"/>
        <v>020082</v>
      </c>
      <c r="D2316" s="1" t="str">
        <f>"112208804"</f>
        <v>112208804</v>
      </c>
      <c r="E2316" s="1">
        <v>68</v>
      </c>
      <c r="F2316" s="1">
        <v>56</v>
      </c>
      <c r="H2316" s="1">
        <v>63.2</v>
      </c>
    </row>
    <row r="2317" s="1" customFormat="1" spans="1:8">
      <c r="A2317" s="1" t="s">
        <v>14</v>
      </c>
      <c r="B2317" s="1" t="s">
        <v>19</v>
      </c>
      <c r="C2317" s="1" t="str">
        <f t="shared" si="44"/>
        <v>020082</v>
      </c>
      <c r="D2317" s="1" t="str">
        <f>"112208805"</f>
        <v>112208805</v>
      </c>
      <c r="E2317" s="1">
        <v>69.5</v>
      </c>
      <c r="F2317" s="1">
        <v>67.5</v>
      </c>
      <c r="H2317" s="1">
        <v>68.7</v>
      </c>
    </row>
    <row r="2318" s="1" customFormat="1" spans="1:8">
      <c r="A2318" s="1" t="s">
        <v>14</v>
      </c>
      <c r="B2318" s="1" t="s">
        <v>19</v>
      </c>
      <c r="C2318" s="1" t="str">
        <f t="shared" si="44"/>
        <v>020082</v>
      </c>
      <c r="D2318" s="1" t="str">
        <f>"112208806"</f>
        <v>112208806</v>
      </c>
      <c r="E2318" s="1">
        <v>71</v>
      </c>
      <c r="F2318" s="1">
        <v>63</v>
      </c>
      <c r="H2318" s="1">
        <v>67.8</v>
      </c>
    </row>
    <row r="2319" s="1" customFormat="1" spans="1:8">
      <c r="A2319" s="1" t="s">
        <v>14</v>
      </c>
      <c r="B2319" s="1" t="s">
        <v>19</v>
      </c>
      <c r="C2319" s="1" t="str">
        <f t="shared" si="44"/>
        <v>020082</v>
      </c>
      <c r="D2319" s="1" t="str">
        <f>"112208807"</f>
        <v>112208807</v>
      </c>
      <c r="E2319" s="1">
        <v>68.5</v>
      </c>
      <c r="F2319" s="1">
        <v>58.5</v>
      </c>
      <c r="H2319" s="1">
        <v>64.5</v>
      </c>
    </row>
    <row r="2320" s="1" customFormat="1" spans="1:8">
      <c r="A2320" s="1" t="s">
        <v>14</v>
      </c>
      <c r="B2320" s="1" t="s">
        <v>19</v>
      </c>
      <c r="C2320" s="1" t="str">
        <f t="shared" si="44"/>
        <v>020082</v>
      </c>
      <c r="D2320" s="1" t="str">
        <f>"112208808"</f>
        <v>112208808</v>
      </c>
      <c r="E2320" s="1">
        <v>84</v>
      </c>
      <c r="F2320" s="1">
        <v>87</v>
      </c>
      <c r="H2320" s="1">
        <v>85.2</v>
      </c>
    </row>
    <row r="2321" s="1" customFormat="1" spans="1:8">
      <c r="A2321" s="1" t="s">
        <v>14</v>
      </c>
      <c r="B2321" s="1" t="s">
        <v>19</v>
      </c>
      <c r="C2321" s="1" t="str">
        <f t="shared" si="44"/>
        <v>020082</v>
      </c>
      <c r="D2321" s="1" t="str">
        <f>"112208809"</f>
        <v>112208809</v>
      </c>
      <c r="E2321" s="1">
        <v>76.5</v>
      </c>
      <c r="F2321" s="1">
        <v>76.5</v>
      </c>
      <c r="H2321" s="1">
        <v>76.5</v>
      </c>
    </row>
    <row r="2322" s="1" customFormat="1" spans="1:8">
      <c r="A2322" s="1" t="s">
        <v>14</v>
      </c>
      <c r="B2322" s="1" t="s">
        <v>19</v>
      </c>
      <c r="C2322" s="1" t="str">
        <f t="shared" si="44"/>
        <v>020082</v>
      </c>
      <c r="D2322" s="1" t="str">
        <f>"112208810"</f>
        <v>112208810</v>
      </c>
      <c r="E2322" s="1">
        <v>68</v>
      </c>
      <c r="F2322" s="1">
        <v>65.5</v>
      </c>
      <c r="H2322" s="1">
        <v>67</v>
      </c>
    </row>
    <row r="2323" s="1" customFormat="1" spans="1:8">
      <c r="A2323" s="1" t="s">
        <v>14</v>
      </c>
      <c r="B2323" s="1" t="s">
        <v>19</v>
      </c>
      <c r="C2323" s="1" t="str">
        <f t="shared" si="44"/>
        <v>020082</v>
      </c>
      <c r="D2323" s="1" t="str">
        <f>"112208811"</f>
        <v>112208811</v>
      </c>
      <c r="E2323" s="1">
        <v>68</v>
      </c>
      <c r="F2323" s="1">
        <v>85</v>
      </c>
      <c r="H2323" s="1">
        <v>74.8</v>
      </c>
    </row>
    <row r="2324" s="1" customFormat="1" spans="1:8">
      <c r="A2324" s="1" t="s">
        <v>14</v>
      </c>
      <c r="B2324" s="1" t="s">
        <v>19</v>
      </c>
      <c r="C2324" s="1" t="str">
        <f t="shared" si="44"/>
        <v>020082</v>
      </c>
      <c r="D2324" s="1" t="str">
        <f>"112208812"</f>
        <v>112208812</v>
      </c>
      <c r="E2324" s="1">
        <v>69.5</v>
      </c>
      <c r="F2324" s="1">
        <v>69</v>
      </c>
      <c r="H2324" s="1">
        <v>69.3</v>
      </c>
    </row>
    <row r="2325" s="1" customFormat="1" spans="1:8">
      <c r="A2325" s="1" t="s">
        <v>14</v>
      </c>
      <c r="B2325" s="1" t="s">
        <v>19</v>
      </c>
      <c r="C2325" s="1" t="str">
        <f t="shared" si="44"/>
        <v>020082</v>
      </c>
      <c r="D2325" s="1" t="str">
        <f>"112208813"</f>
        <v>112208813</v>
      </c>
      <c r="E2325" s="1">
        <v>73.5</v>
      </c>
      <c r="F2325" s="1">
        <v>69</v>
      </c>
      <c r="H2325" s="1">
        <v>71.7</v>
      </c>
    </row>
    <row r="2326" s="1" customFormat="1" spans="1:8">
      <c r="A2326" s="1" t="s">
        <v>14</v>
      </c>
      <c r="B2326" s="1" t="s">
        <v>19</v>
      </c>
      <c r="C2326" s="1" t="str">
        <f t="shared" si="44"/>
        <v>020082</v>
      </c>
      <c r="D2326" s="1" t="str">
        <f>"112208814"</f>
        <v>112208814</v>
      </c>
      <c r="E2326" s="1">
        <v>41.5</v>
      </c>
      <c r="F2326" s="1">
        <v>58</v>
      </c>
      <c r="H2326" s="1">
        <v>48.1</v>
      </c>
    </row>
    <row r="2327" s="1" customFormat="1" spans="1:8">
      <c r="A2327" s="1" t="s">
        <v>14</v>
      </c>
      <c r="B2327" s="1" t="s">
        <v>19</v>
      </c>
      <c r="C2327" s="1" t="str">
        <f t="shared" si="44"/>
        <v>020082</v>
      </c>
      <c r="D2327" s="1" t="str">
        <f>"112208815"</f>
        <v>112208815</v>
      </c>
      <c r="E2327" s="1">
        <v>82</v>
      </c>
      <c r="F2327" s="1">
        <v>84.5</v>
      </c>
      <c r="H2327" s="1">
        <v>83</v>
      </c>
    </row>
    <row r="2328" s="1" customFormat="1" spans="1:8">
      <c r="A2328" s="1" t="s">
        <v>14</v>
      </c>
      <c r="B2328" s="1" t="s">
        <v>19</v>
      </c>
      <c r="C2328" s="1" t="str">
        <f t="shared" si="44"/>
        <v>020082</v>
      </c>
      <c r="D2328" s="1" t="str">
        <f>"112208816"</f>
        <v>112208816</v>
      </c>
      <c r="E2328" s="1">
        <v>64</v>
      </c>
      <c r="F2328" s="1">
        <v>95.5</v>
      </c>
      <c r="H2328" s="1">
        <v>76.6</v>
      </c>
    </row>
    <row r="2329" s="1" customFormat="1" spans="1:8">
      <c r="A2329" s="1" t="s">
        <v>14</v>
      </c>
      <c r="B2329" s="1" t="s">
        <v>19</v>
      </c>
      <c r="C2329" s="1" t="str">
        <f t="shared" si="44"/>
        <v>020082</v>
      </c>
      <c r="D2329" s="1" t="str">
        <f>"112208817"</f>
        <v>112208817</v>
      </c>
      <c r="E2329" s="1">
        <v>60.5</v>
      </c>
      <c r="F2329" s="1">
        <v>51.5</v>
      </c>
      <c r="H2329" s="1">
        <v>56.9</v>
      </c>
    </row>
    <row r="2330" s="1" customFormat="1" spans="1:8">
      <c r="A2330" s="1" t="s">
        <v>14</v>
      </c>
      <c r="B2330" s="1" t="s">
        <v>19</v>
      </c>
      <c r="C2330" s="1" t="str">
        <f t="shared" ref="C2330:C2393" si="45">"020082"</f>
        <v>020082</v>
      </c>
      <c r="D2330" s="1" t="str">
        <f>"112208818"</f>
        <v>112208818</v>
      </c>
      <c r="E2330" s="1">
        <v>87.5</v>
      </c>
      <c r="F2330" s="1">
        <v>86</v>
      </c>
      <c r="H2330" s="1">
        <v>86.9</v>
      </c>
    </row>
    <row r="2331" s="1" customFormat="1" spans="1:8">
      <c r="A2331" s="1" t="s">
        <v>14</v>
      </c>
      <c r="B2331" s="1" t="s">
        <v>19</v>
      </c>
      <c r="C2331" s="1" t="str">
        <f t="shared" si="45"/>
        <v>020082</v>
      </c>
      <c r="D2331" s="1" t="str">
        <f>"112208819"</f>
        <v>112208819</v>
      </c>
      <c r="E2331" s="1">
        <v>61.5</v>
      </c>
      <c r="F2331" s="1">
        <v>81</v>
      </c>
      <c r="H2331" s="1">
        <v>69.3</v>
      </c>
    </row>
    <row r="2332" s="1" customFormat="1" spans="1:8">
      <c r="A2332" s="1" t="s">
        <v>14</v>
      </c>
      <c r="B2332" s="1" t="s">
        <v>19</v>
      </c>
      <c r="C2332" s="1" t="str">
        <f t="shared" si="45"/>
        <v>020082</v>
      </c>
      <c r="D2332" s="1" t="str">
        <f>"112208820"</f>
        <v>112208820</v>
      </c>
      <c r="E2332" s="1">
        <v>0</v>
      </c>
      <c r="F2332" s="1">
        <v>0</v>
      </c>
      <c r="H2332" s="1">
        <v>0</v>
      </c>
    </row>
    <row r="2333" s="1" customFormat="1" spans="1:8">
      <c r="A2333" s="1" t="s">
        <v>14</v>
      </c>
      <c r="B2333" s="1" t="s">
        <v>19</v>
      </c>
      <c r="C2333" s="1" t="str">
        <f t="shared" si="45"/>
        <v>020082</v>
      </c>
      <c r="D2333" s="1" t="str">
        <f>"112208821"</f>
        <v>112208821</v>
      </c>
      <c r="E2333" s="1">
        <v>82</v>
      </c>
      <c r="F2333" s="1">
        <v>96</v>
      </c>
      <c r="H2333" s="1">
        <v>87.6</v>
      </c>
    </row>
    <row r="2334" s="1" customFormat="1" spans="1:8">
      <c r="A2334" s="1" t="s">
        <v>14</v>
      </c>
      <c r="B2334" s="1" t="s">
        <v>19</v>
      </c>
      <c r="C2334" s="1" t="str">
        <f t="shared" si="45"/>
        <v>020082</v>
      </c>
      <c r="D2334" s="1" t="str">
        <f>"112208822"</f>
        <v>112208822</v>
      </c>
      <c r="E2334" s="1">
        <v>0</v>
      </c>
      <c r="F2334" s="1">
        <v>0</v>
      </c>
      <c r="H2334" s="1">
        <v>0</v>
      </c>
    </row>
    <row r="2335" s="1" customFormat="1" spans="1:8">
      <c r="A2335" s="1" t="s">
        <v>14</v>
      </c>
      <c r="B2335" s="1" t="s">
        <v>19</v>
      </c>
      <c r="C2335" s="1" t="str">
        <f t="shared" si="45"/>
        <v>020082</v>
      </c>
      <c r="D2335" s="1" t="str">
        <f>"112208823"</f>
        <v>112208823</v>
      </c>
      <c r="E2335" s="1">
        <v>0</v>
      </c>
      <c r="F2335" s="1">
        <v>0</v>
      </c>
      <c r="H2335" s="1">
        <v>0</v>
      </c>
    </row>
    <row r="2336" s="1" customFormat="1" spans="1:8">
      <c r="A2336" s="1" t="s">
        <v>14</v>
      </c>
      <c r="B2336" s="1" t="s">
        <v>19</v>
      </c>
      <c r="C2336" s="1" t="str">
        <f t="shared" si="45"/>
        <v>020082</v>
      </c>
      <c r="D2336" s="1" t="str">
        <f>"112208824"</f>
        <v>112208824</v>
      </c>
      <c r="E2336" s="1">
        <v>0</v>
      </c>
      <c r="F2336" s="1">
        <v>0</v>
      </c>
      <c r="H2336" s="1">
        <v>0</v>
      </c>
    </row>
    <row r="2337" s="1" customFormat="1" spans="1:8">
      <c r="A2337" s="1" t="s">
        <v>14</v>
      </c>
      <c r="B2337" s="1" t="s">
        <v>19</v>
      </c>
      <c r="C2337" s="1" t="str">
        <f t="shared" si="45"/>
        <v>020082</v>
      </c>
      <c r="D2337" s="1" t="str">
        <f>"112208825"</f>
        <v>112208825</v>
      </c>
      <c r="E2337" s="1">
        <v>0</v>
      </c>
      <c r="F2337" s="1">
        <v>0</v>
      </c>
      <c r="H2337" s="1">
        <v>0</v>
      </c>
    </row>
    <row r="2338" s="1" customFormat="1" spans="1:8">
      <c r="A2338" s="1" t="s">
        <v>14</v>
      </c>
      <c r="B2338" s="1" t="s">
        <v>19</v>
      </c>
      <c r="C2338" s="1" t="str">
        <f t="shared" si="45"/>
        <v>020082</v>
      </c>
      <c r="D2338" s="1" t="str">
        <f>"112208826"</f>
        <v>112208826</v>
      </c>
      <c r="E2338" s="1">
        <v>83</v>
      </c>
      <c r="F2338" s="1">
        <v>76.5</v>
      </c>
      <c r="H2338" s="1">
        <v>80.4</v>
      </c>
    </row>
    <row r="2339" s="1" customFormat="1" spans="1:8">
      <c r="A2339" s="1" t="s">
        <v>14</v>
      </c>
      <c r="B2339" s="1" t="s">
        <v>19</v>
      </c>
      <c r="C2339" s="1" t="str">
        <f t="shared" si="45"/>
        <v>020082</v>
      </c>
      <c r="D2339" s="1" t="str">
        <f>"112208827"</f>
        <v>112208827</v>
      </c>
      <c r="E2339" s="1">
        <v>91.5</v>
      </c>
      <c r="F2339" s="1">
        <v>90.5</v>
      </c>
      <c r="H2339" s="1">
        <v>91.1</v>
      </c>
    </row>
    <row r="2340" s="1" customFormat="1" spans="1:8">
      <c r="A2340" s="1" t="s">
        <v>14</v>
      </c>
      <c r="B2340" s="1" t="s">
        <v>19</v>
      </c>
      <c r="C2340" s="1" t="str">
        <f t="shared" si="45"/>
        <v>020082</v>
      </c>
      <c r="D2340" s="1" t="str">
        <f>"112208828"</f>
        <v>112208828</v>
      </c>
      <c r="E2340" s="1">
        <v>84</v>
      </c>
      <c r="F2340" s="1">
        <v>86</v>
      </c>
      <c r="H2340" s="1">
        <v>84.8</v>
      </c>
    </row>
    <row r="2341" s="1" customFormat="1" spans="1:8">
      <c r="A2341" s="1" t="s">
        <v>14</v>
      </c>
      <c r="B2341" s="1" t="s">
        <v>19</v>
      </c>
      <c r="C2341" s="1" t="str">
        <f t="shared" si="45"/>
        <v>020082</v>
      </c>
      <c r="D2341" s="1" t="str">
        <f>"112208829"</f>
        <v>112208829</v>
      </c>
      <c r="E2341" s="1">
        <v>0</v>
      </c>
      <c r="F2341" s="1">
        <v>0</v>
      </c>
      <c r="H2341" s="1">
        <v>0</v>
      </c>
    </row>
    <row r="2342" s="1" customFormat="1" spans="1:8">
      <c r="A2342" s="1" t="s">
        <v>14</v>
      </c>
      <c r="B2342" s="1" t="s">
        <v>19</v>
      </c>
      <c r="C2342" s="1" t="str">
        <f t="shared" si="45"/>
        <v>020082</v>
      </c>
      <c r="D2342" s="1" t="str">
        <f>"112208830"</f>
        <v>112208830</v>
      </c>
      <c r="E2342" s="1">
        <v>73</v>
      </c>
      <c r="F2342" s="1">
        <v>57.5</v>
      </c>
      <c r="H2342" s="1">
        <v>66.8</v>
      </c>
    </row>
    <row r="2343" s="1" customFormat="1" spans="1:8">
      <c r="A2343" s="1" t="s">
        <v>14</v>
      </c>
      <c r="B2343" s="1" t="s">
        <v>19</v>
      </c>
      <c r="C2343" s="1" t="str">
        <f t="shared" si="45"/>
        <v>020082</v>
      </c>
      <c r="D2343" s="1" t="str">
        <f>"112208901"</f>
        <v>112208901</v>
      </c>
      <c r="E2343" s="1">
        <v>82</v>
      </c>
      <c r="F2343" s="1">
        <v>83.5</v>
      </c>
      <c r="H2343" s="1">
        <v>82.6</v>
      </c>
    </row>
    <row r="2344" s="1" customFormat="1" spans="1:8">
      <c r="A2344" s="1" t="s">
        <v>14</v>
      </c>
      <c r="B2344" s="1" t="s">
        <v>19</v>
      </c>
      <c r="C2344" s="1" t="str">
        <f t="shared" si="45"/>
        <v>020082</v>
      </c>
      <c r="D2344" s="1" t="str">
        <f>"112208902"</f>
        <v>112208902</v>
      </c>
      <c r="E2344" s="1">
        <v>75.5</v>
      </c>
      <c r="F2344" s="1">
        <v>64</v>
      </c>
      <c r="H2344" s="1">
        <v>70.9</v>
      </c>
    </row>
    <row r="2345" s="1" customFormat="1" spans="1:8">
      <c r="A2345" s="1" t="s">
        <v>14</v>
      </c>
      <c r="B2345" s="1" t="s">
        <v>19</v>
      </c>
      <c r="C2345" s="1" t="str">
        <f t="shared" si="45"/>
        <v>020082</v>
      </c>
      <c r="D2345" s="1" t="str">
        <f>"112208903"</f>
        <v>112208903</v>
      </c>
      <c r="E2345" s="1">
        <v>0</v>
      </c>
      <c r="F2345" s="1">
        <v>0</v>
      </c>
      <c r="H2345" s="1">
        <v>0</v>
      </c>
    </row>
    <row r="2346" s="1" customFormat="1" spans="1:8">
      <c r="A2346" s="1" t="s">
        <v>14</v>
      </c>
      <c r="B2346" s="1" t="s">
        <v>19</v>
      </c>
      <c r="C2346" s="1" t="str">
        <f t="shared" si="45"/>
        <v>020082</v>
      </c>
      <c r="D2346" s="1" t="str">
        <f>"112208904"</f>
        <v>112208904</v>
      </c>
      <c r="E2346" s="1">
        <v>82.5</v>
      </c>
      <c r="F2346" s="1">
        <v>92</v>
      </c>
      <c r="H2346" s="1">
        <v>86.3</v>
      </c>
    </row>
    <row r="2347" s="1" customFormat="1" spans="1:8">
      <c r="A2347" s="1" t="s">
        <v>14</v>
      </c>
      <c r="B2347" s="1" t="s">
        <v>19</v>
      </c>
      <c r="C2347" s="1" t="str">
        <f t="shared" si="45"/>
        <v>020082</v>
      </c>
      <c r="D2347" s="1" t="str">
        <f>"112208905"</f>
        <v>112208905</v>
      </c>
      <c r="E2347" s="1">
        <v>53</v>
      </c>
      <c r="F2347" s="1">
        <v>38</v>
      </c>
      <c r="H2347" s="1">
        <v>47</v>
      </c>
    </row>
    <row r="2348" s="1" customFormat="1" spans="1:8">
      <c r="A2348" s="1" t="s">
        <v>14</v>
      </c>
      <c r="B2348" s="1" t="s">
        <v>19</v>
      </c>
      <c r="C2348" s="1" t="str">
        <f t="shared" si="45"/>
        <v>020082</v>
      </c>
      <c r="D2348" s="1" t="str">
        <f>"112208906"</f>
        <v>112208906</v>
      </c>
      <c r="E2348" s="1">
        <v>64</v>
      </c>
      <c r="F2348" s="1">
        <v>69</v>
      </c>
      <c r="H2348" s="1">
        <v>66</v>
      </c>
    </row>
    <row r="2349" s="1" customFormat="1" spans="1:8">
      <c r="A2349" s="1" t="s">
        <v>14</v>
      </c>
      <c r="B2349" s="1" t="s">
        <v>19</v>
      </c>
      <c r="C2349" s="1" t="str">
        <f t="shared" si="45"/>
        <v>020082</v>
      </c>
      <c r="D2349" s="1" t="str">
        <f>"112208907"</f>
        <v>112208907</v>
      </c>
      <c r="E2349" s="1">
        <v>0</v>
      </c>
      <c r="F2349" s="1">
        <v>0</v>
      </c>
      <c r="H2349" s="1">
        <v>0</v>
      </c>
    </row>
    <row r="2350" s="1" customFormat="1" spans="1:8">
      <c r="A2350" s="1" t="s">
        <v>14</v>
      </c>
      <c r="B2350" s="1" t="s">
        <v>19</v>
      </c>
      <c r="C2350" s="1" t="str">
        <f t="shared" si="45"/>
        <v>020082</v>
      </c>
      <c r="D2350" s="1" t="str">
        <f>"112208908"</f>
        <v>112208908</v>
      </c>
      <c r="E2350" s="1">
        <v>72.5</v>
      </c>
      <c r="F2350" s="1">
        <v>66</v>
      </c>
      <c r="H2350" s="1">
        <v>69.9</v>
      </c>
    </row>
    <row r="2351" s="1" customFormat="1" spans="1:8">
      <c r="A2351" s="1" t="s">
        <v>14</v>
      </c>
      <c r="B2351" s="1" t="s">
        <v>19</v>
      </c>
      <c r="C2351" s="1" t="str">
        <f t="shared" si="45"/>
        <v>020082</v>
      </c>
      <c r="D2351" s="1" t="str">
        <f>"112208909"</f>
        <v>112208909</v>
      </c>
      <c r="E2351" s="1">
        <v>0</v>
      </c>
      <c r="F2351" s="1">
        <v>0</v>
      </c>
      <c r="H2351" s="1">
        <v>0</v>
      </c>
    </row>
    <row r="2352" s="1" customFormat="1" spans="1:8">
      <c r="A2352" s="1" t="s">
        <v>14</v>
      </c>
      <c r="B2352" s="1" t="s">
        <v>19</v>
      </c>
      <c r="C2352" s="1" t="str">
        <f t="shared" si="45"/>
        <v>020082</v>
      </c>
      <c r="D2352" s="1" t="str">
        <f>"112208910"</f>
        <v>112208910</v>
      </c>
      <c r="E2352" s="1">
        <v>87</v>
      </c>
      <c r="F2352" s="1">
        <v>92</v>
      </c>
      <c r="H2352" s="1">
        <v>89</v>
      </c>
    </row>
    <row r="2353" s="1" customFormat="1" spans="1:8">
      <c r="A2353" s="1" t="s">
        <v>14</v>
      </c>
      <c r="B2353" s="1" t="s">
        <v>19</v>
      </c>
      <c r="C2353" s="1" t="str">
        <f t="shared" si="45"/>
        <v>020082</v>
      </c>
      <c r="D2353" s="1" t="str">
        <f>"112208911"</f>
        <v>112208911</v>
      </c>
      <c r="E2353" s="1">
        <v>63</v>
      </c>
      <c r="F2353" s="1">
        <v>68.5</v>
      </c>
      <c r="H2353" s="1">
        <v>65.2</v>
      </c>
    </row>
    <row r="2354" s="1" customFormat="1" spans="1:8">
      <c r="A2354" s="1" t="s">
        <v>14</v>
      </c>
      <c r="B2354" s="1" t="s">
        <v>19</v>
      </c>
      <c r="C2354" s="1" t="str">
        <f t="shared" si="45"/>
        <v>020082</v>
      </c>
      <c r="D2354" s="1" t="str">
        <f>"112208912"</f>
        <v>112208912</v>
      </c>
      <c r="E2354" s="1">
        <v>66.5</v>
      </c>
      <c r="F2354" s="1">
        <v>88</v>
      </c>
      <c r="H2354" s="1">
        <v>75.1</v>
      </c>
    </row>
    <row r="2355" s="1" customFormat="1" spans="1:8">
      <c r="A2355" s="1" t="s">
        <v>14</v>
      </c>
      <c r="B2355" s="1" t="s">
        <v>19</v>
      </c>
      <c r="C2355" s="1" t="str">
        <f t="shared" si="45"/>
        <v>020082</v>
      </c>
      <c r="D2355" s="1" t="str">
        <f>"112208913"</f>
        <v>112208913</v>
      </c>
      <c r="E2355" s="1">
        <v>68.5</v>
      </c>
      <c r="F2355" s="1">
        <v>68</v>
      </c>
      <c r="H2355" s="1">
        <v>68.3</v>
      </c>
    </row>
    <row r="2356" s="1" customFormat="1" spans="1:8">
      <c r="A2356" s="1" t="s">
        <v>14</v>
      </c>
      <c r="B2356" s="1" t="s">
        <v>19</v>
      </c>
      <c r="C2356" s="1" t="str">
        <f t="shared" si="45"/>
        <v>020082</v>
      </c>
      <c r="D2356" s="1" t="str">
        <f>"112208914"</f>
        <v>112208914</v>
      </c>
      <c r="E2356" s="1">
        <v>61</v>
      </c>
      <c r="F2356" s="1">
        <v>50.5</v>
      </c>
      <c r="H2356" s="1">
        <v>56.8</v>
      </c>
    </row>
    <row r="2357" s="1" customFormat="1" spans="1:8">
      <c r="A2357" s="1" t="s">
        <v>14</v>
      </c>
      <c r="B2357" s="1" t="s">
        <v>19</v>
      </c>
      <c r="C2357" s="1" t="str">
        <f t="shared" si="45"/>
        <v>020082</v>
      </c>
      <c r="D2357" s="1" t="str">
        <f>"112208915"</f>
        <v>112208915</v>
      </c>
      <c r="E2357" s="1">
        <v>81</v>
      </c>
      <c r="F2357" s="1">
        <v>86.5</v>
      </c>
      <c r="H2357" s="1">
        <v>83.2</v>
      </c>
    </row>
    <row r="2358" s="1" customFormat="1" spans="1:8">
      <c r="A2358" s="1" t="s">
        <v>14</v>
      </c>
      <c r="B2358" s="1" t="s">
        <v>19</v>
      </c>
      <c r="C2358" s="1" t="str">
        <f t="shared" si="45"/>
        <v>020082</v>
      </c>
      <c r="D2358" s="1" t="str">
        <f>"112208916"</f>
        <v>112208916</v>
      </c>
      <c r="E2358" s="1">
        <v>83.5</v>
      </c>
      <c r="F2358" s="1">
        <v>92</v>
      </c>
      <c r="H2358" s="1">
        <v>86.9</v>
      </c>
    </row>
    <row r="2359" s="1" customFormat="1" spans="1:8">
      <c r="A2359" s="1" t="s">
        <v>14</v>
      </c>
      <c r="B2359" s="1" t="s">
        <v>19</v>
      </c>
      <c r="C2359" s="1" t="str">
        <f t="shared" si="45"/>
        <v>020082</v>
      </c>
      <c r="D2359" s="1" t="str">
        <f>"112208917"</f>
        <v>112208917</v>
      </c>
      <c r="E2359" s="1">
        <v>0</v>
      </c>
      <c r="F2359" s="1">
        <v>0</v>
      </c>
      <c r="H2359" s="1">
        <v>0</v>
      </c>
    </row>
    <row r="2360" s="1" customFormat="1" spans="1:8">
      <c r="A2360" s="1" t="s">
        <v>14</v>
      </c>
      <c r="B2360" s="1" t="s">
        <v>19</v>
      </c>
      <c r="C2360" s="1" t="str">
        <f t="shared" si="45"/>
        <v>020082</v>
      </c>
      <c r="D2360" s="1" t="str">
        <f>"112208918"</f>
        <v>112208918</v>
      </c>
      <c r="E2360" s="1">
        <v>67.5</v>
      </c>
      <c r="F2360" s="1">
        <v>73</v>
      </c>
      <c r="H2360" s="1">
        <v>69.7</v>
      </c>
    </row>
    <row r="2361" s="1" customFormat="1" spans="1:8">
      <c r="A2361" s="1" t="s">
        <v>14</v>
      </c>
      <c r="B2361" s="1" t="s">
        <v>19</v>
      </c>
      <c r="C2361" s="1" t="str">
        <f t="shared" si="45"/>
        <v>020082</v>
      </c>
      <c r="D2361" s="1" t="str">
        <f>"112208919"</f>
        <v>112208919</v>
      </c>
      <c r="E2361" s="1">
        <v>78</v>
      </c>
      <c r="F2361" s="1">
        <v>68.5</v>
      </c>
      <c r="H2361" s="1">
        <v>74.2</v>
      </c>
    </row>
    <row r="2362" s="1" customFormat="1" spans="1:8">
      <c r="A2362" s="1" t="s">
        <v>14</v>
      </c>
      <c r="B2362" s="1" t="s">
        <v>19</v>
      </c>
      <c r="C2362" s="1" t="str">
        <f t="shared" si="45"/>
        <v>020082</v>
      </c>
      <c r="D2362" s="1" t="str">
        <f>"112208920"</f>
        <v>112208920</v>
      </c>
      <c r="E2362" s="1">
        <v>0</v>
      </c>
      <c r="F2362" s="1">
        <v>0</v>
      </c>
      <c r="H2362" s="1">
        <v>0</v>
      </c>
    </row>
    <row r="2363" s="1" customFormat="1" spans="1:8">
      <c r="A2363" s="1" t="s">
        <v>14</v>
      </c>
      <c r="B2363" s="1" t="s">
        <v>19</v>
      </c>
      <c r="C2363" s="1" t="str">
        <f t="shared" si="45"/>
        <v>020082</v>
      </c>
      <c r="D2363" s="1" t="str">
        <f>"112208921"</f>
        <v>112208921</v>
      </c>
      <c r="E2363" s="1">
        <v>78.5</v>
      </c>
      <c r="F2363" s="1">
        <v>85</v>
      </c>
      <c r="H2363" s="1">
        <v>81.1</v>
      </c>
    </row>
    <row r="2364" s="1" customFormat="1" spans="1:8">
      <c r="A2364" s="1" t="s">
        <v>14</v>
      </c>
      <c r="B2364" s="1" t="s">
        <v>19</v>
      </c>
      <c r="C2364" s="1" t="str">
        <f t="shared" si="45"/>
        <v>020082</v>
      </c>
      <c r="D2364" s="1" t="str">
        <f>"112208922"</f>
        <v>112208922</v>
      </c>
      <c r="E2364" s="1">
        <v>75.5</v>
      </c>
      <c r="F2364" s="1">
        <v>62.5</v>
      </c>
      <c r="H2364" s="1">
        <v>70.3</v>
      </c>
    </row>
    <row r="2365" s="1" customFormat="1" spans="1:8">
      <c r="A2365" s="1" t="s">
        <v>14</v>
      </c>
      <c r="B2365" s="1" t="s">
        <v>19</v>
      </c>
      <c r="C2365" s="1" t="str">
        <f t="shared" si="45"/>
        <v>020082</v>
      </c>
      <c r="D2365" s="1" t="str">
        <f>"112208923"</f>
        <v>112208923</v>
      </c>
      <c r="E2365" s="1">
        <v>70.5</v>
      </c>
      <c r="F2365" s="1">
        <v>62</v>
      </c>
      <c r="H2365" s="1">
        <v>67.1</v>
      </c>
    </row>
    <row r="2366" s="1" customFormat="1" spans="1:8">
      <c r="A2366" s="1" t="s">
        <v>14</v>
      </c>
      <c r="B2366" s="1" t="s">
        <v>19</v>
      </c>
      <c r="C2366" s="1" t="str">
        <f t="shared" si="45"/>
        <v>020082</v>
      </c>
      <c r="D2366" s="1" t="str">
        <f>"112208924"</f>
        <v>112208924</v>
      </c>
      <c r="E2366" s="1">
        <v>83.5</v>
      </c>
      <c r="F2366" s="1">
        <v>81</v>
      </c>
      <c r="H2366" s="1">
        <v>82.5</v>
      </c>
    </row>
    <row r="2367" s="1" customFormat="1" spans="1:8">
      <c r="A2367" s="1" t="s">
        <v>14</v>
      </c>
      <c r="B2367" s="1" t="s">
        <v>19</v>
      </c>
      <c r="C2367" s="1" t="str">
        <f t="shared" si="45"/>
        <v>020082</v>
      </c>
      <c r="D2367" s="1" t="str">
        <f>"112208925"</f>
        <v>112208925</v>
      </c>
      <c r="E2367" s="1">
        <v>0</v>
      </c>
      <c r="F2367" s="1">
        <v>0</v>
      </c>
      <c r="H2367" s="1">
        <v>0</v>
      </c>
    </row>
    <row r="2368" s="1" customFormat="1" spans="1:8">
      <c r="A2368" s="1" t="s">
        <v>14</v>
      </c>
      <c r="B2368" s="1" t="s">
        <v>19</v>
      </c>
      <c r="C2368" s="1" t="str">
        <f t="shared" si="45"/>
        <v>020082</v>
      </c>
      <c r="D2368" s="1" t="str">
        <f>"112208926"</f>
        <v>112208926</v>
      </c>
      <c r="E2368" s="1">
        <v>68</v>
      </c>
      <c r="F2368" s="1">
        <v>77.5</v>
      </c>
      <c r="H2368" s="1">
        <v>71.8</v>
      </c>
    </row>
    <row r="2369" s="1" customFormat="1" spans="1:8">
      <c r="A2369" s="1" t="s">
        <v>14</v>
      </c>
      <c r="B2369" s="1" t="s">
        <v>19</v>
      </c>
      <c r="C2369" s="1" t="str">
        <f t="shared" si="45"/>
        <v>020082</v>
      </c>
      <c r="D2369" s="1" t="str">
        <f>"112208927"</f>
        <v>112208927</v>
      </c>
      <c r="E2369" s="1">
        <v>61.5</v>
      </c>
      <c r="F2369" s="1">
        <v>64.5</v>
      </c>
      <c r="H2369" s="1">
        <v>62.7</v>
      </c>
    </row>
    <row r="2370" s="1" customFormat="1" spans="1:8">
      <c r="A2370" s="1" t="s">
        <v>14</v>
      </c>
      <c r="B2370" s="1" t="s">
        <v>19</v>
      </c>
      <c r="C2370" s="1" t="str">
        <f t="shared" si="45"/>
        <v>020082</v>
      </c>
      <c r="D2370" s="1" t="str">
        <f>"112208928"</f>
        <v>112208928</v>
      </c>
      <c r="E2370" s="1">
        <v>82</v>
      </c>
      <c r="F2370" s="1">
        <v>73.5</v>
      </c>
      <c r="H2370" s="1">
        <v>78.6</v>
      </c>
    </row>
    <row r="2371" s="1" customFormat="1" spans="1:8">
      <c r="A2371" s="1" t="s">
        <v>14</v>
      </c>
      <c r="B2371" s="1" t="s">
        <v>19</v>
      </c>
      <c r="C2371" s="1" t="str">
        <f t="shared" si="45"/>
        <v>020082</v>
      </c>
      <c r="D2371" s="1" t="str">
        <f>"112208929"</f>
        <v>112208929</v>
      </c>
      <c r="E2371" s="1">
        <v>63</v>
      </c>
      <c r="F2371" s="1">
        <v>58.5</v>
      </c>
      <c r="H2371" s="1">
        <v>61.2</v>
      </c>
    </row>
    <row r="2372" s="1" customFormat="1" spans="1:8">
      <c r="A2372" s="1" t="s">
        <v>14</v>
      </c>
      <c r="B2372" s="1" t="s">
        <v>19</v>
      </c>
      <c r="C2372" s="1" t="str">
        <f t="shared" si="45"/>
        <v>020082</v>
      </c>
      <c r="D2372" s="1" t="str">
        <f>"112208930"</f>
        <v>112208930</v>
      </c>
      <c r="E2372" s="1">
        <v>75</v>
      </c>
      <c r="F2372" s="1">
        <v>72</v>
      </c>
      <c r="H2372" s="1">
        <v>73.8</v>
      </c>
    </row>
    <row r="2373" s="1" customFormat="1" spans="1:8">
      <c r="A2373" s="1" t="s">
        <v>14</v>
      </c>
      <c r="B2373" s="1" t="s">
        <v>19</v>
      </c>
      <c r="C2373" s="1" t="str">
        <f t="shared" si="45"/>
        <v>020082</v>
      </c>
      <c r="D2373" s="1" t="str">
        <f>"112209001"</f>
        <v>112209001</v>
      </c>
      <c r="E2373" s="1">
        <v>74</v>
      </c>
      <c r="F2373" s="1">
        <v>66</v>
      </c>
      <c r="H2373" s="1">
        <v>70.8</v>
      </c>
    </row>
    <row r="2374" s="1" customFormat="1" spans="1:8">
      <c r="A2374" s="1" t="s">
        <v>14</v>
      </c>
      <c r="B2374" s="1" t="s">
        <v>19</v>
      </c>
      <c r="C2374" s="1" t="str">
        <f t="shared" si="45"/>
        <v>020082</v>
      </c>
      <c r="D2374" s="1" t="str">
        <f>"112209002"</f>
        <v>112209002</v>
      </c>
      <c r="E2374" s="1">
        <v>0</v>
      </c>
      <c r="F2374" s="1">
        <v>0</v>
      </c>
      <c r="H2374" s="1">
        <v>0</v>
      </c>
    </row>
    <row r="2375" s="1" customFormat="1" spans="1:8">
      <c r="A2375" s="1" t="s">
        <v>14</v>
      </c>
      <c r="B2375" s="1" t="s">
        <v>19</v>
      </c>
      <c r="C2375" s="1" t="str">
        <f t="shared" si="45"/>
        <v>020082</v>
      </c>
      <c r="D2375" s="1" t="str">
        <f>"112209003"</f>
        <v>112209003</v>
      </c>
      <c r="E2375" s="1">
        <v>72.5</v>
      </c>
      <c r="F2375" s="1">
        <v>61</v>
      </c>
      <c r="H2375" s="1">
        <v>67.9</v>
      </c>
    </row>
    <row r="2376" s="1" customFormat="1" spans="1:8">
      <c r="A2376" s="1" t="s">
        <v>14</v>
      </c>
      <c r="B2376" s="1" t="s">
        <v>19</v>
      </c>
      <c r="C2376" s="1" t="str">
        <f t="shared" si="45"/>
        <v>020082</v>
      </c>
      <c r="D2376" s="1" t="str">
        <f>"112209004"</f>
        <v>112209004</v>
      </c>
      <c r="E2376" s="1">
        <v>82</v>
      </c>
      <c r="F2376" s="1">
        <v>63.5</v>
      </c>
      <c r="H2376" s="1">
        <v>74.6</v>
      </c>
    </row>
    <row r="2377" s="1" customFormat="1" spans="1:8">
      <c r="A2377" s="1" t="s">
        <v>14</v>
      </c>
      <c r="B2377" s="1" t="s">
        <v>19</v>
      </c>
      <c r="C2377" s="1" t="str">
        <f t="shared" si="45"/>
        <v>020082</v>
      </c>
      <c r="D2377" s="1" t="str">
        <f>"112209005"</f>
        <v>112209005</v>
      </c>
      <c r="E2377" s="1">
        <v>80</v>
      </c>
      <c r="F2377" s="1">
        <v>70</v>
      </c>
      <c r="H2377" s="1">
        <v>76</v>
      </c>
    </row>
    <row r="2378" s="1" customFormat="1" spans="1:8">
      <c r="A2378" s="1" t="s">
        <v>14</v>
      </c>
      <c r="B2378" s="1" t="s">
        <v>19</v>
      </c>
      <c r="C2378" s="1" t="str">
        <f t="shared" si="45"/>
        <v>020082</v>
      </c>
      <c r="D2378" s="1" t="str">
        <f>"112209006"</f>
        <v>112209006</v>
      </c>
      <c r="E2378" s="1">
        <v>58</v>
      </c>
      <c r="F2378" s="1">
        <v>0</v>
      </c>
      <c r="H2378" s="1">
        <v>34.8</v>
      </c>
    </row>
    <row r="2379" s="1" customFormat="1" spans="1:8">
      <c r="A2379" s="1" t="s">
        <v>14</v>
      </c>
      <c r="B2379" s="1" t="s">
        <v>19</v>
      </c>
      <c r="C2379" s="1" t="str">
        <f t="shared" si="45"/>
        <v>020082</v>
      </c>
      <c r="D2379" s="1" t="str">
        <f>"112209007"</f>
        <v>112209007</v>
      </c>
      <c r="E2379" s="1">
        <v>69</v>
      </c>
      <c r="F2379" s="1">
        <v>66</v>
      </c>
      <c r="H2379" s="1">
        <v>67.8</v>
      </c>
    </row>
    <row r="2380" s="1" customFormat="1" spans="1:8">
      <c r="A2380" s="1" t="s">
        <v>14</v>
      </c>
      <c r="B2380" s="1" t="s">
        <v>19</v>
      </c>
      <c r="C2380" s="1" t="str">
        <f t="shared" si="45"/>
        <v>020082</v>
      </c>
      <c r="D2380" s="1" t="str">
        <f>"112209008"</f>
        <v>112209008</v>
      </c>
      <c r="E2380" s="1">
        <v>61</v>
      </c>
      <c r="F2380" s="1">
        <v>68</v>
      </c>
      <c r="H2380" s="1">
        <v>63.8</v>
      </c>
    </row>
    <row r="2381" s="1" customFormat="1" spans="1:8">
      <c r="A2381" s="1" t="s">
        <v>14</v>
      </c>
      <c r="B2381" s="1" t="s">
        <v>19</v>
      </c>
      <c r="C2381" s="1" t="str">
        <f t="shared" si="45"/>
        <v>020082</v>
      </c>
      <c r="D2381" s="1" t="str">
        <f>"112209009"</f>
        <v>112209009</v>
      </c>
      <c r="E2381" s="1">
        <v>63.5</v>
      </c>
      <c r="F2381" s="1">
        <v>78.5</v>
      </c>
      <c r="H2381" s="1">
        <v>69.5</v>
      </c>
    </row>
    <row r="2382" s="1" customFormat="1" spans="1:8">
      <c r="A2382" s="1" t="s">
        <v>14</v>
      </c>
      <c r="B2382" s="1" t="s">
        <v>19</v>
      </c>
      <c r="C2382" s="1" t="str">
        <f t="shared" si="45"/>
        <v>020082</v>
      </c>
      <c r="D2382" s="1" t="str">
        <f>"112209010"</f>
        <v>112209010</v>
      </c>
      <c r="E2382" s="1">
        <v>92</v>
      </c>
      <c r="F2382" s="1">
        <v>100</v>
      </c>
      <c r="H2382" s="1">
        <v>95.2</v>
      </c>
    </row>
    <row r="2383" s="1" customFormat="1" spans="1:8">
      <c r="A2383" s="1" t="s">
        <v>14</v>
      </c>
      <c r="B2383" s="1" t="s">
        <v>19</v>
      </c>
      <c r="C2383" s="1" t="str">
        <f t="shared" si="45"/>
        <v>020082</v>
      </c>
      <c r="D2383" s="1" t="str">
        <f>"112209011"</f>
        <v>112209011</v>
      </c>
      <c r="E2383" s="1">
        <v>0</v>
      </c>
      <c r="F2383" s="1">
        <v>0</v>
      </c>
      <c r="H2383" s="1">
        <v>0</v>
      </c>
    </row>
    <row r="2384" s="1" customFormat="1" spans="1:8">
      <c r="A2384" s="1" t="s">
        <v>14</v>
      </c>
      <c r="B2384" s="1" t="s">
        <v>19</v>
      </c>
      <c r="C2384" s="1" t="str">
        <f t="shared" si="45"/>
        <v>020082</v>
      </c>
      <c r="D2384" s="1" t="str">
        <f>"112209012"</f>
        <v>112209012</v>
      </c>
      <c r="E2384" s="1">
        <v>79</v>
      </c>
      <c r="F2384" s="1">
        <v>86.5</v>
      </c>
      <c r="H2384" s="1">
        <v>82</v>
      </c>
    </row>
    <row r="2385" s="1" customFormat="1" spans="1:8">
      <c r="A2385" s="1" t="s">
        <v>14</v>
      </c>
      <c r="B2385" s="1" t="s">
        <v>19</v>
      </c>
      <c r="C2385" s="1" t="str">
        <f t="shared" si="45"/>
        <v>020082</v>
      </c>
      <c r="D2385" s="1" t="str">
        <f>"112209013"</f>
        <v>112209013</v>
      </c>
      <c r="E2385" s="1">
        <v>0</v>
      </c>
      <c r="F2385" s="1">
        <v>0</v>
      </c>
      <c r="H2385" s="1">
        <v>0</v>
      </c>
    </row>
    <row r="2386" s="1" customFormat="1" spans="1:8">
      <c r="A2386" s="1" t="s">
        <v>14</v>
      </c>
      <c r="B2386" s="1" t="s">
        <v>19</v>
      </c>
      <c r="C2386" s="1" t="str">
        <f t="shared" si="45"/>
        <v>020082</v>
      </c>
      <c r="D2386" s="1" t="str">
        <f>"112209014"</f>
        <v>112209014</v>
      </c>
      <c r="E2386" s="1">
        <v>63.5</v>
      </c>
      <c r="F2386" s="1">
        <v>83.5</v>
      </c>
      <c r="H2386" s="1">
        <v>71.5</v>
      </c>
    </row>
    <row r="2387" s="1" customFormat="1" spans="1:8">
      <c r="A2387" s="1" t="s">
        <v>14</v>
      </c>
      <c r="B2387" s="1" t="s">
        <v>19</v>
      </c>
      <c r="C2387" s="1" t="str">
        <f t="shared" si="45"/>
        <v>020082</v>
      </c>
      <c r="D2387" s="1" t="str">
        <f>"112209015"</f>
        <v>112209015</v>
      </c>
      <c r="E2387" s="1">
        <v>26</v>
      </c>
      <c r="F2387" s="1">
        <v>35.5</v>
      </c>
      <c r="H2387" s="1">
        <v>29.8</v>
      </c>
    </row>
    <row r="2388" s="1" customFormat="1" spans="1:8">
      <c r="A2388" s="1" t="s">
        <v>14</v>
      </c>
      <c r="B2388" s="1" t="s">
        <v>19</v>
      </c>
      <c r="C2388" s="1" t="str">
        <f t="shared" si="45"/>
        <v>020082</v>
      </c>
      <c r="D2388" s="1" t="str">
        <f>"112209016"</f>
        <v>112209016</v>
      </c>
      <c r="E2388" s="1">
        <v>55.5</v>
      </c>
      <c r="F2388" s="1">
        <v>64.5</v>
      </c>
      <c r="H2388" s="1">
        <v>59.1</v>
      </c>
    </row>
    <row r="2389" s="1" customFormat="1" spans="1:8">
      <c r="A2389" s="1" t="s">
        <v>14</v>
      </c>
      <c r="B2389" s="1" t="s">
        <v>19</v>
      </c>
      <c r="C2389" s="1" t="str">
        <f t="shared" si="45"/>
        <v>020082</v>
      </c>
      <c r="D2389" s="1" t="str">
        <f>"112209017"</f>
        <v>112209017</v>
      </c>
      <c r="E2389" s="1">
        <v>65.5</v>
      </c>
      <c r="F2389" s="1">
        <v>61</v>
      </c>
      <c r="H2389" s="1">
        <v>63.7</v>
      </c>
    </row>
    <row r="2390" s="1" customFormat="1" spans="1:8">
      <c r="A2390" s="1" t="s">
        <v>14</v>
      </c>
      <c r="B2390" s="1" t="s">
        <v>19</v>
      </c>
      <c r="C2390" s="1" t="str">
        <f t="shared" si="45"/>
        <v>020082</v>
      </c>
      <c r="D2390" s="1" t="str">
        <f>"112209018"</f>
        <v>112209018</v>
      </c>
      <c r="E2390" s="1">
        <v>84</v>
      </c>
      <c r="F2390" s="1">
        <v>91</v>
      </c>
      <c r="H2390" s="1">
        <v>86.8</v>
      </c>
    </row>
    <row r="2391" s="1" customFormat="1" spans="1:8">
      <c r="A2391" s="1" t="s">
        <v>14</v>
      </c>
      <c r="B2391" s="1" t="s">
        <v>19</v>
      </c>
      <c r="C2391" s="1" t="str">
        <f t="shared" si="45"/>
        <v>020082</v>
      </c>
      <c r="D2391" s="1" t="str">
        <f>"112209019"</f>
        <v>112209019</v>
      </c>
      <c r="E2391" s="1">
        <v>64.5</v>
      </c>
      <c r="F2391" s="1">
        <v>61.5</v>
      </c>
      <c r="H2391" s="1">
        <v>63.3</v>
      </c>
    </row>
    <row r="2392" s="1" customFormat="1" spans="1:8">
      <c r="A2392" s="1" t="s">
        <v>14</v>
      </c>
      <c r="B2392" s="1" t="s">
        <v>19</v>
      </c>
      <c r="C2392" s="1" t="str">
        <f t="shared" si="45"/>
        <v>020082</v>
      </c>
      <c r="D2392" s="1" t="str">
        <f>"112209020"</f>
        <v>112209020</v>
      </c>
      <c r="E2392" s="1">
        <v>87.5</v>
      </c>
      <c r="F2392" s="1">
        <v>74.5</v>
      </c>
      <c r="H2392" s="1">
        <v>82.3</v>
      </c>
    </row>
    <row r="2393" s="1" customFormat="1" spans="1:8">
      <c r="A2393" s="1" t="s">
        <v>14</v>
      </c>
      <c r="B2393" s="1" t="s">
        <v>19</v>
      </c>
      <c r="C2393" s="1" t="str">
        <f t="shared" si="45"/>
        <v>020082</v>
      </c>
      <c r="D2393" s="1" t="str">
        <f>"112209021"</f>
        <v>112209021</v>
      </c>
      <c r="E2393" s="1">
        <v>72.5</v>
      </c>
      <c r="F2393" s="1">
        <v>65.5</v>
      </c>
      <c r="H2393" s="1">
        <v>69.7</v>
      </c>
    </row>
    <row r="2394" s="1" customFormat="1" spans="1:8">
      <c r="A2394" s="1" t="s">
        <v>14</v>
      </c>
      <c r="B2394" s="1" t="s">
        <v>19</v>
      </c>
      <c r="C2394" s="1" t="str">
        <f t="shared" ref="C2394:C2457" si="46">"020082"</f>
        <v>020082</v>
      </c>
      <c r="D2394" s="1" t="str">
        <f>"112209022"</f>
        <v>112209022</v>
      </c>
      <c r="E2394" s="1">
        <v>0</v>
      </c>
      <c r="F2394" s="1">
        <v>0</v>
      </c>
      <c r="H2394" s="1">
        <v>0</v>
      </c>
    </row>
    <row r="2395" s="1" customFormat="1" spans="1:8">
      <c r="A2395" s="1" t="s">
        <v>14</v>
      </c>
      <c r="B2395" s="1" t="s">
        <v>19</v>
      </c>
      <c r="C2395" s="1" t="str">
        <f t="shared" si="46"/>
        <v>020082</v>
      </c>
      <c r="D2395" s="1" t="str">
        <f>"112209023"</f>
        <v>112209023</v>
      </c>
      <c r="E2395" s="1">
        <v>0</v>
      </c>
      <c r="F2395" s="1">
        <v>0</v>
      </c>
      <c r="H2395" s="1">
        <v>0</v>
      </c>
    </row>
    <row r="2396" s="1" customFormat="1" spans="1:8">
      <c r="A2396" s="1" t="s">
        <v>14</v>
      </c>
      <c r="B2396" s="1" t="s">
        <v>19</v>
      </c>
      <c r="C2396" s="1" t="str">
        <f t="shared" si="46"/>
        <v>020082</v>
      </c>
      <c r="D2396" s="1" t="str">
        <f>"112209024"</f>
        <v>112209024</v>
      </c>
      <c r="E2396" s="1">
        <v>92.5</v>
      </c>
      <c r="F2396" s="1">
        <v>94</v>
      </c>
      <c r="H2396" s="1">
        <v>93.1</v>
      </c>
    </row>
    <row r="2397" s="1" customFormat="1" spans="1:8">
      <c r="A2397" s="1" t="s">
        <v>14</v>
      </c>
      <c r="B2397" s="1" t="s">
        <v>19</v>
      </c>
      <c r="C2397" s="1" t="str">
        <f t="shared" si="46"/>
        <v>020082</v>
      </c>
      <c r="D2397" s="1" t="str">
        <f>"112209025"</f>
        <v>112209025</v>
      </c>
      <c r="E2397" s="1">
        <v>76.5</v>
      </c>
      <c r="F2397" s="1">
        <v>76</v>
      </c>
      <c r="H2397" s="1">
        <v>76.3</v>
      </c>
    </row>
    <row r="2398" s="1" customFormat="1" spans="1:8">
      <c r="A2398" s="1" t="s">
        <v>14</v>
      </c>
      <c r="B2398" s="1" t="s">
        <v>19</v>
      </c>
      <c r="C2398" s="1" t="str">
        <f t="shared" si="46"/>
        <v>020082</v>
      </c>
      <c r="D2398" s="1" t="str">
        <f>"112209026"</f>
        <v>112209026</v>
      </c>
      <c r="E2398" s="1">
        <v>90.5</v>
      </c>
      <c r="F2398" s="1">
        <v>96.5</v>
      </c>
      <c r="H2398" s="1">
        <v>92.9</v>
      </c>
    </row>
    <row r="2399" s="1" customFormat="1" spans="1:8">
      <c r="A2399" s="1" t="s">
        <v>14</v>
      </c>
      <c r="B2399" s="1" t="s">
        <v>19</v>
      </c>
      <c r="C2399" s="1" t="str">
        <f t="shared" si="46"/>
        <v>020082</v>
      </c>
      <c r="D2399" s="1" t="str">
        <f>"112209027"</f>
        <v>112209027</v>
      </c>
      <c r="E2399" s="1">
        <v>82.5</v>
      </c>
      <c r="F2399" s="1">
        <v>89</v>
      </c>
      <c r="H2399" s="1">
        <v>85.1</v>
      </c>
    </row>
    <row r="2400" s="1" customFormat="1" spans="1:8">
      <c r="A2400" s="1" t="s">
        <v>14</v>
      </c>
      <c r="B2400" s="1" t="s">
        <v>19</v>
      </c>
      <c r="C2400" s="1" t="str">
        <f t="shared" si="46"/>
        <v>020082</v>
      </c>
      <c r="D2400" s="1" t="str">
        <f>"112209028"</f>
        <v>112209028</v>
      </c>
      <c r="E2400" s="1">
        <v>73.5</v>
      </c>
      <c r="F2400" s="1">
        <v>62</v>
      </c>
      <c r="H2400" s="1">
        <v>68.9</v>
      </c>
    </row>
    <row r="2401" s="1" customFormat="1" spans="1:8">
      <c r="A2401" s="1" t="s">
        <v>14</v>
      </c>
      <c r="B2401" s="1" t="s">
        <v>19</v>
      </c>
      <c r="C2401" s="1" t="str">
        <f t="shared" si="46"/>
        <v>020082</v>
      </c>
      <c r="D2401" s="1" t="str">
        <f>"112209029"</f>
        <v>112209029</v>
      </c>
      <c r="E2401" s="1">
        <v>78.5</v>
      </c>
      <c r="F2401" s="1">
        <v>94.5</v>
      </c>
      <c r="H2401" s="1">
        <v>84.9</v>
      </c>
    </row>
    <row r="2402" s="1" customFormat="1" spans="1:8">
      <c r="A2402" s="1" t="s">
        <v>14</v>
      </c>
      <c r="B2402" s="1" t="s">
        <v>19</v>
      </c>
      <c r="C2402" s="1" t="str">
        <f t="shared" si="46"/>
        <v>020082</v>
      </c>
      <c r="D2402" s="1" t="str">
        <f>"112209030"</f>
        <v>112209030</v>
      </c>
      <c r="E2402" s="1">
        <v>69</v>
      </c>
      <c r="F2402" s="1">
        <v>64</v>
      </c>
      <c r="H2402" s="1">
        <v>67</v>
      </c>
    </row>
    <row r="2403" s="1" customFormat="1" spans="1:8">
      <c r="A2403" s="1" t="s">
        <v>14</v>
      </c>
      <c r="B2403" s="1" t="s">
        <v>19</v>
      </c>
      <c r="C2403" s="1" t="str">
        <f t="shared" si="46"/>
        <v>020082</v>
      </c>
      <c r="D2403" s="1" t="str">
        <f>"112209101"</f>
        <v>112209101</v>
      </c>
      <c r="E2403" s="1">
        <v>69</v>
      </c>
      <c r="F2403" s="1">
        <v>82</v>
      </c>
      <c r="H2403" s="1">
        <v>74.2</v>
      </c>
    </row>
    <row r="2404" s="1" customFormat="1" spans="1:8">
      <c r="A2404" s="1" t="s">
        <v>14</v>
      </c>
      <c r="B2404" s="1" t="s">
        <v>19</v>
      </c>
      <c r="C2404" s="1" t="str">
        <f t="shared" si="46"/>
        <v>020082</v>
      </c>
      <c r="D2404" s="1" t="str">
        <f>"112209102"</f>
        <v>112209102</v>
      </c>
      <c r="E2404" s="1">
        <v>79.5</v>
      </c>
      <c r="F2404" s="1">
        <v>95.5</v>
      </c>
      <c r="H2404" s="1">
        <v>85.9</v>
      </c>
    </row>
    <row r="2405" s="1" customFormat="1" spans="1:8">
      <c r="A2405" s="1" t="s">
        <v>14</v>
      </c>
      <c r="B2405" s="1" t="s">
        <v>19</v>
      </c>
      <c r="C2405" s="1" t="str">
        <f t="shared" si="46"/>
        <v>020082</v>
      </c>
      <c r="D2405" s="1" t="str">
        <f>"112209103"</f>
        <v>112209103</v>
      </c>
      <c r="E2405" s="1">
        <v>0</v>
      </c>
      <c r="F2405" s="1">
        <v>0</v>
      </c>
      <c r="H2405" s="1">
        <v>0</v>
      </c>
    </row>
    <row r="2406" s="1" customFormat="1" spans="1:8">
      <c r="A2406" s="1" t="s">
        <v>14</v>
      </c>
      <c r="B2406" s="1" t="s">
        <v>19</v>
      </c>
      <c r="C2406" s="1" t="str">
        <f t="shared" si="46"/>
        <v>020082</v>
      </c>
      <c r="D2406" s="1" t="str">
        <f>"112209104"</f>
        <v>112209104</v>
      </c>
      <c r="E2406" s="1">
        <v>66.5</v>
      </c>
      <c r="F2406" s="1">
        <v>64</v>
      </c>
      <c r="H2406" s="1">
        <v>65.5</v>
      </c>
    </row>
    <row r="2407" s="1" customFormat="1" spans="1:8">
      <c r="A2407" s="1" t="s">
        <v>14</v>
      </c>
      <c r="B2407" s="1" t="s">
        <v>19</v>
      </c>
      <c r="C2407" s="1" t="str">
        <f t="shared" si="46"/>
        <v>020082</v>
      </c>
      <c r="D2407" s="1" t="str">
        <f>"112209105"</f>
        <v>112209105</v>
      </c>
      <c r="E2407" s="1">
        <v>72</v>
      </c>
      <c r="F2407" s="1">
        <v>67.5</v>
      </c>
      <c r="H2407" s="1">
        <v>70.2</v>
      </c>
    </row>
    <row r="2408" s="1" customFormat="1" spans="1:8">
      <c r="A2408" s="1" t="s">
        <v>14</v>
      </c>
      <c r="B2408" s="1" t="s">
        <v>19</v>
      </c>
      <c r="C2408" s="1" t="str">
        <f t="shared" si="46"/>
        <v>020082</v>
      </c>
      <c r="D2408" s="1" t="str">
        <f>"112209106"</f>
        <v>112209106</v>
      </c>
      <c r="E2408" s="1">
        <v>65</v>
      </c>
      <c r="F2408" s="1">
        <v>50.5</v>
      </c>
      <c r="H2408" s="1">
        <v>59.2</v>
      </c>
    </row>
    <row r="2409" s="1" customFormat="1" spans="1:8">
      <c r="A2409" s="1" t="s">
        <v>14</v>
      </c>
      <c r="B2409" s="1" t="s">
        <v>19</v>
      </c>
      <c r="C2409" s="1" t="str">
        <f t="shared" si="46"/>
        <v>020082</v>
      </c>
      <c r="D2409" s="1" t="str">
        <f>"112209107"</f>
        <v>112209107</v>
      </c>
      <c r="E2409" s="1">
        <v>87.5</v>
      </c>
      <c r="F2409" s="1">
        <v>101.5</v>
      </c>
      <c r="H2409" s="1">
        <v>93.1</v>
      </c>
    </row>
    <row r="2410" s="1" customFormat="1" spans="1:8">
      <c r="A2410" s="1" t="s">
        <v>14</v>
      </c>
      <c r="B2410" s="1" t="s">
        <v>19</v>
      </c>
      <c r="C2410" s="1" t="str">
        <f t="shared" si="46"/>
        <v>020082</v>
      </c>
      <c r="D2410" s="1" t="str">
        <f>"112209108"</f>
        <v>112209108</v>
      </c>
      <c r="E2410" s="1">
        <v>0</v>
      </c>
      <c r="F2410" s="1">
        <v>0</v>
      </c>
      <c r="H2410" s="1">
        <v>0</v>
      </c>
    </row>
    <row r="2411" s="1" customFormat="1" spans="1:8">
      <c r="A2411" s="1" t="s">
        <v>14</v>
      </c>
      <c r="B2411" s="1" t="s">
        <v>19</v>
      </c>
      <c r="C2411" s="1" t="str">
        <f t="shared" si="46"/>
        <v>020082</v>
      </c>
      <c r="D2411" s="1" t="str">
        <f>"112209109"</f>
        <v>112209109</v>
      </c>
      <c r="E2411" s="1">
        <v>80.5</v>
      </c>
      <c r="F2411" s="1">
        <v>84</v>
      </c>
      <c r="H2411" s="1">
        <v>81.9</v>
      </c>
    </row>
    <row r="2412" s="1" customFormat="1" spans="1:8">
      <c r="A2412" s="1" t="s">
        <v>14</v>
      </c>
      <c r="B2412" s="1" t="s">
        <v>19</v>
      </c>
      <c r="C2412" s="1" t="str">
        <f t="shared" si="46"/>
        <v>020082</v>
      </c>
      <c r="D2412" s="1" t="str">
        <f>"112209110"</f>
        <v>112209110</v>
      </c>
      <c r="E2412" s="1">
        <v>0</v>
      </c>
      <c r="F2412" s="1">
        <v>0</v>
      </c>
      <c r="H2412" s="1">
        <v>0</v>
      </c>
    </row>
    <row r="2413" s="1" customFormat="1" spans="1:8">
      <c r="A2413" s="1" t="s">
        <v>14</v>
      </c>
      <c r="B2413" s="1" t="s">
        <v>19</v>
      </c>
      <c r="C2413" s="1" t="str">
        <f t="shared" si="46"/>
        <v>020082</v>
      </c>
      <c r="D2413" s="1" t="str">
        <f>"112209111"</f>
        <v>112209111</v>
      </c>
      <c r="E2413" s="1">
        <v>84.5</v>
      </c>
      <c r="F2413" s="1">
        <v>84</v>
      </c>
      <c r="H2413" s="1">
        <v>84.3</v>
      </c>
    </row>
    <row r="2414" s="1" customFormat="1" spans="1:8">
      <c r="A2414" s="1" t="s">
        <v>14</v>
      </c>
      <c r="B2414" s="1" t="s">
        <v>19</v>
      </c>
      <c r="C2414" s="1" t="str">
        <f t="shared" si="46"/>
        <v>020082</v>
      </c>
      <c r="D2414" s="1" t="str">
        <f>"112209112"</f>
        <v>112209112</v>
      </c>
      <c r="E2414" s="1">
        <v>72</v>
      </c>
      <c r="F2414" s="1">
        <v>87</v>
      </c>
      <c r="H2414" s="1">
        <v>78</v>
      </c>
    </row>
    <row r="2415" s="1" customFormat="1" spans="1:8">
      <c r="A2415" s="1" t="s">
        <v>14</v>
      </c>
      <c r="B2415" s="1" t="s">
        <v>19</v>
      </c>
      <c r="C2415" s="1" t="str">
        <f t="shared" si="46"/>
        <v>020082</v>
      </c>
      <c r="D2415" s="1" t="str">
        <f>"112209113"</f>
        <v>112209113</v>
      </c>
      <c r="E2415" s="1">
        <v>66.5</v>
      </c>
      <c r="F2415" s="1">
        <v>52</v>
      </c>
      <c r="H2415" s="1">
        <v>60.7</v>
      </c>
    </row>
    <row r="2416" s="1" customFormat="1" spans="1:8">
      <c r="A2416" s="1" t="s">
        <v>14</v>
      </c>
      <c r="B2416" s="1" t="s">
        <v>19</v>
      </c>
      <c r="C2416" s="1" t="str">
        <f t="shared" si="46"/>
        <v>020082</v>
      </c>
      <c r="D2416" s="1" t="str">
        <f>"112209114"</f>
        <v>112209114</v>
      </c>
      <c r="E2416" s="1">
        <v>97</v>
      </c>
      <c r="F2416" s="1">
        <v>100</v>
      </c>
      <c r="H2416" s="1">
        <v>98.2</v>
      </c>
    </row>
    <row r="2417" s="1" customFormat="1" spans="1:8">
      <c r="A2417" s="1" t="s">
        <v>14</v>
      </c>
      <c r="B2417" s="1" t="s">
        <v>19</v>
      </c>
      <c r="C2417" s="1" t="str">
        <f t="shared" si="46"/>
        <v>020082</v>
      </c>
      <c r="D2417" s="1" t="str">
        <f>"112209115"</f>
        <v>112209115</v>
      </c>
      <c r="E2417" s="1">
        <v>61</v>
      </c>
      <c r="F2417" s="1">
        <v>54.5</v>
      </c>
      <c r="H2417" s="1">
        <v>58.4</v>
      </c>
    </row>
    <row r="2418" s="1" customFormat="1" spans="1:8">
      <c r="A2418" s="1" t="s">
        <v>14</v>
      </c>
      <c r="B2418" s="1" t="s">
        <v>19</v>
      </c>
      <c r="C2418" s="1" t="str">
        <f t="shared" si="46"/>
        <v>020082</v>
      </c>
      <c r="D2418" s="1" t="str">
        <f>"112209116"</f>
        <v>112209116</v>
      </c>
      <c r="E2418" s="1">
        <v>0</v>
      </c>
      <c r="F2418" s="1">
        <v>0</v>
      </c>
      <c r="H2418" s="1">
        <v>0</v>
      </c>
    </row>
    <row r="2419" s="1" customFormat="1" spans="1:8">
      <c r="A2419" s="1" t="s">
        <v>14</v>
      </c>
      <c r="B2419" s="1" t="s">
        <v>19</v>
      </c>
      <c r="C2419" s="1" t="str">
        <f t="shared" si="46"/>
        <v>020082</v>
      </c>
      <c r="D2419" s="1" t="str">
        <f>"112209117"</f>
        <v>112209117</v>
      </c>
      <c r="E2419" s="1">
        <v>76</v>
      </c>
      <c r="F2419" s="1">
        <v>63</v>
      </c>
      <c r="H2419" s="1">
        <v>70.8</v>
      </c>
    </row>
    <row r="2420" s="1" customFormat="1" spans="1:8">
      <c r="A2420" s="1" t="s">
        <v>14</v>
      </c>
      <c r="B2420" s="1" t="s">
        <v>19</v>
      </c>
      <c r="C2420" s="1" t="str">
        <f t="shared" si="46"/>
        <v>020082</v>
      </c>
      <c r="D2420" s="1" t="str">
        <f>"112209118"</f>
        <v>112209118</v>
      </c>
      <c r="E2420" s="1">
        <v>71.5</v>
      </c>
      <c r="F2420" s="1">
        <v>74</v>
      </c>
      <c r="H2420" s="1">
        <v>72.5</v>
      </c>
    </row>
    <row r="2421" s="1" customFormat="1" spans="1:8">
      <c r="A2421" s="1" t="s">
        <v>14</v>
      </c>
      <c r="B2421" s="1" t="s">
        <v>19</v>
      </c>
      <c r="C2421" s="1" t="str">
        <f t="shared" si="46"/>
        <v>020082</v>
      </c>
      <c r="D2421" s="1" t="str">
        <f>"112209119"</f>
        <v>112209119</v>
      </c>
      <c r="E2421" s="1">
        <v>75</v>
      </c>
      <c r="F2421" s="1">
        <v>81</v>
      </c>
      <c r="H2421" s="1">
        <v>77.4</v>
      </c>
    </row>
    <row r="2422" s="1" customFormat="1" spans="1:8">
      <c r="A2422" s="1" t="s">
        <v>14</v>
      </c>
      <c r="B2422" s="1" t="s">
        <v>19</v>
      </c>
      <c r="C2422" s="1" t="str">
        <f t="shared" si="46"/>
        <v>020082</v>
      </c>
      <c r="D2422" s="1" t="str">
        <f>"112209120"</f>
        <v>112209120</v>
      </c>
      <c r="E2422" s="1">
        <v>0</v>
      </c>
      <c r="F2422" s="1">
        <v>0</v>
      </c>
      <c r="H2422" s="1">
        <v>0</v>
      </c>
    </row>
    <row r="2423" s="1" customFormat="1" spans="1:8">
      <c r="A2423" s="1" t="s">
        <v>14</v>
      </c>
      <c r="B2423" s="1" t="s">
        <v>19</v>
      </c>
      <c r="C2423" s="1" t="str">
        <f t="shared" si="46"/>
        <v>020082</v>
      </c>
      <c r="D2423" s="1" t="str">
        <f>"112209121"</f>
        <v>112209121</v>
      </c>
      <c r="E2423" s="1">
        <v>0</v>
      </c>
      <c r="F2423" s="1">
        <v>0</v>
      </c>
      <c r="H2423" s="1">
        <v>0</v>
      </c>
    </row>
    <row r="2424" s="1" customFormat="1" spans="1:8">
      <c r="A2424" s="1" t="s">
        <v>14</v>
      </c>
      <c r="B2424" s="1" t="s">
        <v>19</v>
      </c>
      <c r="C2424" s="1" t="str">
        <f t="shared" si="46"/>
        <v>020082</v>
      </c>
      <c r="D2424" s="1" t="str">
        <f>"112209122"</f>
        <v>112209122</v>
      </c>
      <c r="E2424" s="1">
        <v>68.5</v>
      </c>
      <c r="F2424" s="1">
        <v>74</v>
      </c>
      <c r="H2424" s="1">
        <v>70.7</v>
      </c>
    </row>
    <row r="2425" s="1" customFormat="1" spans="1:8">
      <c r="A2425" s="1" t="s">
        <v>14</v>
      </c>
      <c r="B2425" s="1" t="s">
        <v>19</v>
      </c>
      <c r="C2425" s="1" t="str">
        <f t="shared" si="46"/>
        <v>020082</v>
      </c>
      <c r="D2425" s="1" t="str">
        <f>"112209123"</f>
        <v>112209123</v>
      </c>
      <c r="E2425" s="1">
        <v>66</v>
      </c>
      <c r="F2425" s="1">
        <v>67.5</v>
      </c>
      <c r="H2425" s="1">
        <v>66.6</v>
      </c>
    </row>
    <row r="2426" s="1" customFormat="1" spans="1:8">
      <c r="A2426" s="1" t="s">
        <v>14</v>
      </c>
      <c r="B2426" s="1" t="s">
        <v>19</v>
      </c>
      <c r="C2426" s="1" t="str">
        <f t="shared" si="46"/>
        <v>020082</v>
      </c>
      <c r="D2426" s="1" t="str">
        <f>"112209124"</f>
        <v>112209124</v>
      </c>
      <c r="E2426" s="1">
        <v>0</v>
      </c>
      <c r="F2426" s="1">
        <v>0</v>
      </c>
      <c r="H2426" s="1">
        <v>0</v>
      </c>
    </row>
    <row r="2427" s="1" customFormat="1" spans="1:8">
      <c r="A2427" s="1" t="s">
        <v>14</v>
      </c>
      <c r="B2427" s="1" t="s">
        <v>19</v>
      </c>
      <c r="C2427" s="1" t="str">
        <f t="shared" si="46"/>
        <v>020082</v>
      </c>
      <c r="D2427" s="1" t="str">
        <f>"112209125"</f>
        <v>112209125</v>
      </c>
      <c r="E2427" s="1">
        <v>58.5</v>
      </c>
      <c r="F2427" s="1">
        <v>49</v>
      </c>
      <c r="H2427" s="1">
        <v>54.7</v>
      </c>
    </row>
    <row r="2428" s="1" customFormat="1" spans="1:8">
      <c r="A2428" s="1" t="s">
        <v>14</v>
      </c>
      <c r="B2428" s="1" t="s">
        <v>19</v>
      </c>
      <c r="C2428" s="1" t="str">
        <f t="shared" si="46"/>
        <v>020082</v>
      </c>
      <c r="D2428" s="1" t="str">
        <f>"112209126"</f>
        <v>112209126</v>
      </c>
      <c r="E2428" s="1">
        <v>84.5</v>
      </c>
      <c r="F2428" s="1">
        <v>87.5</v>
      </c>
      <c r="H2428" s="1">
        <v>85.7</v>
      </c>
    </row>
    <row r="2429" s="1" customFormat="1" spans="1:8">
      <c r="A2429" s="1" t="s">
        <v>14</v>
      </c>
      <c r="B2429" s="1" t="s">
        <v>19</v>
      </c>
      <c r="C2429" s="1" t="str">
        <f t="shared" si="46"/>
        <v>020082</v>
      </c>
      <c r="D2429" s="1" t="str">
        <f>"112209127"</f>
        <v>112209127</v>
      </c>
      <c r="E2429" s="1">
        <v>71</v>
      </c>
      <c r="F2429" s="1">
        <v>75</v>
      </c>
      <c r="H2429" s="1">
        <v>72.6</v>
      </c>
    </row>
    <row r="2430" s="1" customFormat="1" spans="1:8">
      <c r="A2430" s="1" t="s">
        <v>14</v>
      </c>
      <c r="B2430" s="1" t="s">
        <v>19</v>
      </c>
      <c r="C2430" s="1" t="str">
        <f t="shared" si="46"/>
        <v>020082</v>
      </c>
      <c r="D2430" s="1" t="str">
        <f>"112209128"</f>
        <v>112209128</v>
      </c>
      <c r="E2430" s="1">
        <v>66</v>
      </c>
      <c r="F2430" s="1">
        <v>72.5</v>
      </c>
      <c r="H2430" s="1">
        <v>68.6</v>
      </c>
    </row>
    <row r="2431" s="1" customFormat="1" spans="1:8">
      <c r="A2431" s="1" t="s">
        <v>14</v>
      </c>
      <c r="B2431" s="1" t="s">
        <v>19</v>
      </c>
      <c r="C2431" s="1" t="str">
        <f t="shared" si="46"/>
        <v>020082</v>
      </c>
      <c r="D2431" s="1" t="str">
        <f>"112209129"</f>
        <v>112209129</v>
      </c>
      <c r="E2431" s="1">
        <v>64.5</v>
      </c>
      <c r="F2431" s="1">
        <v>85.5</v>
      </c>
      <c r="H2431" s="1">
        <v>72.9</v>
      </c>
    </row>
    <row r="2432" s="1" customFormat="1" spans="1:8">
      <c r="A2432" s="1" t="s">
        <v>14</v>
      </c>
      <c r="B2432" s="1" t="s">
        <v>19</v>
      </c>
      <c r="C2432" s="1" t="str">
        <f t="shared" si="46"/>
        <v>020082</v>
      </c>
      <c r="D2432" s="1" t="str">
        <f>"112209130"</f>
        <v>112209130</v>
      </c>
      <c r="E2432" s="1">
        <v>73.5</v>
      </c>
      <c r="F2432" s="1">
        <v>79.5</v>
      </c>
      <c r="H2432" s="1">
        <v>75.9</v>
      </c>
    </row>
    <row r="2433" s="1" customFormat="1" spans="1:8">
      <c r="A2433" s="1" t="s">
        <v>14</v>
      </c>
      <c r="B2433" s="1" t="s">
        <v>19</v>
      </c>
      <c r="C2433" s="1" t="str">
        <f t="shared" si="46"/>
        <v>020082</v>
      </c>
      <c r="D2433" s="1" t="str">
        <f>"112209201"</f>
        <v>112209201</v>
      </c>
      <c r="E2433" s="1">
        <v>0</v>
      </c>
      <c r="F2433" s="1">
        <v>0</v>
      </c>
      <c r="H2433" s="1">
        <v>0</v>
      </c>
    </row>
    <row r="2434" s="1" customFormat="1" spans="1:8">
      <c r="A2434" s="1" t="s">
        <v>14</v>
      </c>
      <c r="B2434" s="1" t="s">
        <v>19</v>
      </c>
      <c r="C2434" s="1" t="str">
        <f t="shared" si="46"/>
        <v>020082</v>
      </c>
      <c r="D2434" s="1" t="str">
        <f>"112209202"</f>
        <v>112209202</v>
      </c>
      <c r="E2434" s="1">
        <v>0</v>
      </c>
      <c r="F2434" s="1">
        <v>0</v>
      </c>
      <c r="H2434" s="1">
        <v>0</v>
      </c>
    </row>
    <row r="2435" s="1" customFormat="1" spans="1:8">
      <c r="A2435" s="1" t="s">
        <v>14</v>
      </c>
      <c r="B2435" s="1" t="s">
        <v>19</v>
      </c>
      <c r="C2435" s="1" t="str">
        <f t="shared" si="46"/>
        <v>020082</v>
      </c>
      <c r="D2435" s="1" t="str">
        <f>"112209203"</f>
        <v>112209203</v>
      </c>
      <c r="E2435" s="1">
        <v>74</v>
      </c>
      <c r="F2435" s="1">
        <v>59</v>
      </c>
      <c r="H2435" s="1">
        <v>68</v>
      </c>
    </row>
    <row r="2436" s="1" customFormat="1" spans="1:8">
      <c r="A2436" s="1" t="s">
        <v>14</v>
      </c>
      <c r="B2436" s="1" t="s">
        <v>19</v>
      </c>
      <c r="C2436" s="1" t="str">
        <f t="shared" si="46"/>
        <v>020082</v>
      </c>
      <c r="D2436" s="1" t="str">
        <f>"112209204"</f>
        <v>112209204</v>
      </c>
      <c r="E2436" s="1">
        <v>73</v>
      </c>
      <c r="F2436" s="1">
        <v>94</v>
      </c>
      <c r="H2436" s="1">
        <v>81.4</v>
      </c>
    </row>
    <row r="2437" s="1" customFormat="1" spans="1:8">
      <c r="A2437" s="1" t="s">
        <v>14</v>
      </c>
      <c r="B2437" s="1" t="s">
        <v>19</v>
      </c>
      <c r="C2437" s="1" t="str">
        <f t="shared" si="46"/>
        <v>020082</v>
      </c>
      <c r="D2437" s="1" t="str">
        <f>"112209205"</f>
        <v>112209205</v>
      </c>
      <c r="E2437" s="1">
        <v>0</v>
      </c>
      <c r="F2437" s="1">
        <v>0</v>
      </c>
      <c r="H2437" s="1">
        <v>0</v>
      </c>
    </row>
    <row r="2438" s="1" customFormat="1" spans="1:8">
      <c r="A2438" s="1" t="s">
        <v>14</v>
      </c>
      <c r="B2438" s="1" t="s">
        <v>19</v>
      </c>
      <c r="C2438" s="1" t="str">
        <f t="shared" si="46"/>
        <v>020082</v>
      </c>
      <c r="D2438" s="1" t="str">
        <f>"112209206"</f>
        <v>112209206</v>
      </c>
      <c r="E2438" s="1">
        <v>0</v>
      </c>
      <c r="F2438" s="1">
        <v>0</v>
      </c>
      <c r="H2438" s="1">
        <v>0</v>
      </c>
    </row>
    <row r="2439" s="1" customFormat="1" spans="1:8">
      <c r="A2439" s="1" t="s">
        <v>14</v>
      </c>
      <c r="B2439" s="1" t="s">
        <v>19</v>
      </c>
      <c r="C2439" s="1" t="str">
        <f t="shared" si="46"/>
        <v>020082</v>
      </c>
      <c r="D2439" s="1" t="str">
        <f>"112209207"</f>
        <v>112209207</v>
      </c>
      <c r="E2439" s="1">
        <v>75.5</v>
      </c>
      <c r="F2439" s="1">
        <v>71</v>
      </c>
      <c r="H2439" s="1">
        <v>73.7</v>
      </c>
    </row>
    <row r="2440" s="1" customFormat="1" spans="1:8">
      <c r="A2440" s="1" t="s">
        <v>14</v>
      </c>
      <c r="B2440" s="1" t="s">
        <v>19</v>
      </c>
      <c r="C2440" s="1" t="str">
        <f t="shared" si="46"/>
        <v>020082</v>
      </c>
      <c r="D2440" s="1" t="str">
        <f>"112209208"</f>
        <v>112209208</v>
      </c>
      <c r="E2440" s="1">
        <v>18</v>
      </c>
      <c r="F2440" s="1">
        <v>0</v>
      </c>
      <c r="H2440" s="1">
        <v>10.8</v>
      </c>
    </row>
    <row r="2441" s="1" customFormat="1" spans="1:8">
      <c r="A2441" s="1" t="s">
        <v>14</v>
      </c>
      <c r="B2441" s="1" t="s">
        <v>19</v>
      </c>
      <c r="C2441" s="1" t="str">
        <f t="shared" si="46"/>
        <v>020082</v>
      </c>
      <c r="D2441" s="1" t="str">
        <f>"112209209"</f>
        <v>112209209</v>
      </c>
      <c r="E2441" s="1">
        <v>0</v>
      </c>
      <c r="F2441" s="1">
        <v>0</v>
      </c>
      <c r="H2441" s="1">
        <v>0</v>
      </c>
    </row>
    <row r="2442" s="1" customFormat="1" spans="1:8">
      <c r="A2442" s="1" t="s">
        <v>14</v>
      </c>
      <c r="B2442" s="1" t="s">
        <v>19</v>
      </c>
      <c r="C2442" s="1" t="str">
        <f t="shared" si="46"/>
        <v>020082</v>
      </c>
      <c r="D2442" s="1" t="str">
        <f>"112209210"</f>
        <v>112209210</v>
      </c>
      <c r="E2442" s="1">
        <v>0</v>
      </c>
      <c r="F2442" s="1">
        <v>0</v>
      </c>
      <c r="H2442" s="1">
        <v>0</v>
      </c>
    </row>
    <row r="2443" s="1" customFormat="1" spans="1:8">
      <c r="A2443" s="1" t="s">
        <v>14</v>
      </c>
      <c r="B2443" s="1" t="s">
        <v>19</v>
      </c>
      <c r="C2443" s="1" t="str">
        <f t="shared" si="46"/>
        <v>020082</v>
      </c>
      <c r="D2443" s="1" t="str">
        <f>"112209211"</f>
        <v>112209211</v>
      </c>
      <c r="E2443" s="1">
        <v>74.5</v>
      </c>
      <c r="F2443" s="1">
        <v>57</v>
      </c>
      <c r="H2443" s="1">
        <v>67.5</v>
      </c>
    </row>
    <row r="2444" s="1" customFormat="1" spans="1:8">
      <c r="A2444" s="1" t="s">
        <v>14</v>
      </c>
      <c r="B2444" s="1" t="s">
        <v>19</v>
      </c>
      <c r="C2444" s="1" t="str">
        <f t="shared" si="46"/>
        <v>020082</v>
      </c>
      <c r="D2444" s="1" t="str">
        <f>"112209212"</f>
        <v>112209212</v>
      </c>
      <c r="E2444" s="1">
        <v>80.5</v>
      </c>
      <c r="F2444" s="1">
        <v>85</v>
      </c>
      <c r="H2444" s="1">
        <v>82.3</v>
      </c>
    </row>
    <row r="2445" s="1" customFormat="1" spans="1:8">
      <c r="A2445" s="1" t="s">
        <v>14</v>
      </c>
      <c r="B2445" s="1" t="s">
        <v>19</v>
      </c>
      <c r="C2445" s="1" t="str">
        <f t="shared" si="46"/>
        <v>020082</v>
      </c>
      <c r="D2445" s="1" t="str">
        <f>"112209213"</f>
        <v>112209213</v>
      </c>
      <c r="E2445" s="1">
        <v>74.5</v>
      </c>
      <c r="F2445" s="1">
        <v>92</v>
      </c>
      <c r="H2445" s="1">
        <v>81.5</v>
      </c>
    </row>
    <row r="2446" s="1" customFormat="1" spans="1:8">
      <c r="A2446" s="1" t="s">
        <v>14</v>
      </c>
      <c r="B2446" s="1" t="s">
        <v>19</v>
      </c>
      <c r="C2446" s="1" t="str">
        <f t="shared" si="46"/>
        <v>020082</v>
      </c>
      <c r="D2446" s="1" t="str">
        <f>"112209214"</f>
        <v>112209214</v>
      </c>
      <c r="E2446" s="1">
        <v>90</v>
      </c>
      <c r="F2446" s="1">
        <v>98.5</v>
      </c>
      <c r="H2446" s="1">
        <v>93.4</v>
      </c>
    </row>
    <row r="2447" s="1" customFormat="1" spans="1:8">
      <c r="A2447" s="1" t="s">
        <v>14</v>
      </c>
      <c r="B2447" s="1" t="s">
        <v>19</v>
      </c>
      <c r="C2447" s="1" t="str">
        <f t="shared" si="46"/>
        <v>020082</v>
      </c>
      <c r="D2447" s="1" t="str">
        <f>"112209215"</f>
        <v>112209215</v>
      </c>
      <c r="E2447" s="1">
        <v>0</v>
      </c>
      <c r="F2447" s="1">
        <v>0</v>
      </c>
      <c r="H2447" s="1">
        <v>0</v>
      </c>
    </row>
    <row r="2448" s="1" customFormat="1" spans="1:8">
      <c r="A2448" s="1" t="s">
        <v>14</v>
      </c>
      <c r="B2448" s="1" t="s">
        <v>19</v>
      </c>
      <c r="C2448" s="1" t="str">
        <f t="shared" si="46"/>
        <v>020082</v>
      </c>
      <c r="D2448" s="1" t="str">
        <f>"112209216"</f>
        <v>112209216</v>
      </c>
      <c r="E2448" s="1">
        <v>52</v>
      </c>
      <c r="F2448" s="1">
        <v>48.5</v>
      </c>
      <c r="H2448" s="1">
        <v>50.6</v>
      </c>
    </row>
    <row r="2449" s="1" customFormat="1" spans="1:8">
      <c r="A2449" s="1" t="s">
        <v>14</v>
      </c>
      <c r="B2449" s="1" t="s">
        <v>19</v>
      </c>
      <c r="C2449" s="1" t="str">
        <f t="shared" si="46"/>
        <v>020082</v>
      </c>
      <c r="D2449" s="1" t="str">
        <f>"112209217"</f>
        <v>112209217</v>
      </c>
      <c r="E2449" s="1">
        <v>0</v>
      </c>
      <c r="F2449" s="1">
        <v>0</v>
      </c>
      <c r="H2449" s="1">
        <v>0</v>
      </c>
    </row>
    <row r="2450" s="1" customFormat="1" spans="1:8">
      <c r="A2450" s="1" t="s">
        <v>14</v>
      </c>
      <c r="B2450" s="1" t="s">
        <v>19</v>
      </c>
      <c r="C2450" s="1" t="str">
        <f t="shared" si="46"/>
        <v>020082</v>
      </c>
      <c r="D2450" s="1" t="str">
        <f>"112209218"</f>
        <v>112209218</v>
      </c>
      <c r="E2450" s="1">
        <v>0</v>
      </c>
      <c r="F2450" s="1">
        <v>0</v>
      </c>
      <c r="H2450" s="1">
        <v>0</v>
      </c>
    </row>
    <row r="2451" s="1" customFormat="1" spans="1:8">
      <c r="A2451" s="1" t="s">
        <v>14</v>
      </c>
      <c r="B2451" s="1" t="s">
        <v>19</v>
      </c>
      <c r="C2451" s="1" t="str">
        <f t="shared" si="46"/>
        <v>020082</v>
      </c>
      <c r="D2451" s="1" t="str">
        <f>"112209219"</f>
        <v>112209219</v>
      </c>
      <c r="E2451" s="1">
        <v>79</v>
      </c>
      <c r="F2451" s="1">
        <v>98.5</v>
      </c>
      <c r="H2451" s="1">
        <v>86.8</v>
      </c>
    </row>
    <row r="2452" s="1" customFormat="1" spans="1:8">
      <c r="A2452" s="1" t="s">
        <v>14</v>
      </c>
      <c r="B2452" s="1" t="s">
        <v>19</v>
      </c>
      <c r="C2452" s="1" t="str">
        <f t="shared" si="46"/>
        <v>020082</v>
      </c>
      <c r="D2452" s="1" t="str">
        <f>"112209220"</f>
        <v>112209220</v>
      </c>
      <c r="E2452" s="1">
        <v>81.5</v>
      </c>
      <c r="F2452" s="1">
        <v>95</v>
      </c>
      <c r="H2452" s="1">
        <v>86.9</v>
      </c>
    </row>
    <row r="2453" s="1" customFormat="1" spans="1:8">
      <c r="A2453" s="1" t="s">
        <v>14</v>
      </c>
      <c r="B2453" s="1" t="s">
        <v>19</v>
      </c>
      <c r="C2453" s="1" t="str">
        <f t="shared" si="46"/>
        <v>020082</v>
      </c>
      <c r="D2453" s="1" t="str">
        <f>"112209221"</f>
        <v>112209221</v>
      </c>
      <c r="E2453" s="1">
        <v>80</v>
      </c>
      <c r="F2453" s="1">
        <v>88</v>
      </c>
      <c r="H2453" s="1">
        <v>83.2</v>
      </c>
    </row>
    <row r="2454" s="1" customFormat="1" spans="1:8">
      <c r="A2454" s="1" t="s">
        <v>14</v>
      </c>
      <c r="B2454" s="1" t="s">
        <v>19</v>
      </c>
      <c r="C2454" s="1" t="str">
        <f t="shared" si="46"/>
        <v>020082</v>
      </c>
      <c r="D2454" s="1" t="str">
        <f>"112209222"</f>
        <v>112209222</v>
      </c>
      <c r="E2454" s="1">
        <v>82.5</v>
      </c>
      <c r="F2454" s="1">
        <v>82.5</v>
      </c>
      <c r="H2454" s="1">
        <v>82.5</v>
      </c>
    </row>
    <row r="2455" s="1" customFormat="1" spans="1:8">
      <c r="A2455" s="1" t="s">
        <v>14</v>
      </c>
      <c r="B2455" s="1" t="s">
        <v>19</v>
      </c>
      <c r="C2455" s="1" t="str">
        <f t="shared" si="46"/>
        <v>020082</v>
      </c>
      <c r="D2455" s="1" t="str">
        <f>"112209223"</f>
        <v>112209223</v>
      </c>
      <c r="E2455" s="1">
        <v>0</v>
      </c>
      <c r="F2455" s="1">
        <v>0</v>
      </c>
      <c r="H2455" s="1">
        <v>0</v>
      </c>
    </row>
    <row r="2456" s="1" customFormat="1" spans="1:8">
      <c r="A2456" s="1" t="s">
        <v>14</v>
      </c>
      <c r="B2456" s="1" t="s">
        <v>19</v>
      </c>
      <c r="C2456" s="1" t="str">
        <f t="shared" si="46"/>
        <v>020082</v>
      </c>
      <c r="D2456" s="1" t="str">
        <f>"112209224"</f>
        <v>112209224</v>
      </c>
      <c r="E2456" s="1">
        <v>78.5</v>
      </c>
      <c r="F2456" s="1">
        <v>67.5</v>
      </c>
      <c r="H2456" s="1">
        <v>74.1</v>
      </c>
    </row>
    <row r="2457" s="1" customFormat="1" spans="1:8">
      <c r="A2457" s="1" t="s">
        <v>14</v>
      </c>
      <c r="B2457" s="1" t="s">
        <v>19</v>
      </c>
      <c r="C2457" s="1" t="str">
        <f t="shared" si="46"/>
        <v>020082</v>
      </c>
      <c r="D2457" s="1" t="str">
        <f>"112209225"</f>
        <v>112209225</v>
      </c>
      <c r="E2457" s="1">
        <v>81</v>
      </c>
      <c r="F2457" s="1">
        <v>69</v>
      </c>
      <c r="H2457" s="1">
        <v>76.2</v>
      </c>
    </row>
    <row r="2458" s="1" customFormat="1" spans="1:8">
      <c r="A2458" s="1" t="s">
        <v>14</v>
      </c>
      <c r="B2458" s="1" t="s">
        <v>19</v>
      </c>
      <c r="C2458" s="1" t="str">
        <f t="shared" ref="C2458:C2465" si="47">"020082"</f>
        <v>020082</v>
      </c>
      <c r="D2458" s="1" t="str">
        <f>"112209226"</f>
        <v>112209226</v>
      </c>
      <c r="E2458" s="1">
        <v>0</v>
      </c>
      <c r="F2458" s="1">
        <v>0</v>
      </c>
      <c r="H2458" s="1">
        <v>0</v>
      </c>
    </row>
    <row r="2459" s="1" customFormat="1" spans="1:8">
      <c r="A2459" s="1" t="s">
        <v>14</v>
      </c>
      <c r="B2459" s="1" t="s">
        <v>19</v>
      </c>
      <c r="C2459" s="1" t="str">
        <f t="shared" si="47"/>
        <v>020082</v>
      </c>
      <c r="D2459" s="1" t="str">
        <f>"112209227"</f>
        <v>112209227</v>
      </c>
      <c r="E2459" s="1">
        <v>0</v>
      </c>
      <c r="F2459" s="1">
        <v>0</v>
      </c>
      <c r="H2459" s="1">
        <v>0</v>
      </c>
    </row>
    <row r="2460" s="1" customFormat="1" spans="1:8">
      <c r="A2460" s="1" t="s">
        <v>14</v>
      </c>
      <c r="B2460" s="1" t="s">
        <v>19</v>
      </c>
      <c r="C2460" s="1" t="str">
        <f t="shared" si="47"/>
        <v>020082</v>
      </c>
      <c r="D2460" s="1" t="str">
        <f>"112209228"</f>
        <v>112209228</v>
      </c>
      <c r="E2460" s="1">
        <v>62.5</v>
      </c>
      <c r="F2460" s="1">
        <v>51</v>
      </c>
      <c r="H2460" s="1">
        <v>57.9</v>
      </c>
    </row>
    <row r="2461" s="1" customFormat="1" spans="1:8">
      <c r="A2461" s="1" t="s">
        <v>14</v>
      </c>
      <c r="B2461" s="1" t="s">
        <v>19</v>
      </c>
      <c r="C2461" s="1" t="str">
        <f t="shared" si="47"/>
        <v>020082</v>
      </c>
      <c r="D2461" s="1" t="str">
        <f>"112209229"</f>
        <v>112209229</v>
      </c>
      <c r="E2461" s="1">
        <v>61.5</v>
      </c>
      <c r="F2461" s="1">
        <v>57.5</v>
      </c>
      <c r="H2461" s="1">
        <v>59.9</v>
      </c>
    </row>
    <row r="2462" s="1" customFormat="1" spans="1:8">
      <c r="A2462" s="1" t="s">
        <v>14</v>
      </c>
      <c r="B2462" s="1" t="s">
        <v>19</v>
      </c>
      <c r="C2462" s="1" t="str">
        <f t="shared" si="47"/>
        <v>020082</v>
      </c>
      <c r="D2462" s="1" t="str">
        <f>"112209230"</f>
        <v>112209230</v>
      </c>
      <c r="E2462" s="1">
        <v>75</v>
      </c>
      <c r="F2462" s="1">
        <v>92</v>
      </c>
      <c r="H2462" s="1">
        <v>81.8</v>
      </c>
    </row>
    <row r="2463" s="1" customFormat="1" spans="1:8">
      <c r="A2463" s="1" t="s">
        <v>14</v>
      </c>
      <c r="B2463" s="1" t="s">
        <v>19</v>
      </c>
      <c r="C2463" s="1" t="str">
        <f t="shared" si="47"/>
        <v>020082</v>
      </c>
      <c r="D2463" s="1" t="str">
        <f>"112209301"</f>
        <v>112209301</v>
      </c>
      <c r="E2463" s="1">
        <v>0</v>
      </c>
      <c r="F2463" s="1">
        <v>0</v>
      </c>
      <c r="H2463" s="1">
        <v>0</v>
      </c>
    </row>
    <row r="2464" s="1" customFormat="1" spans="1:8">
      <c r="A2464" s="1" t="s">
        <v>14</v>
      </c>
      <c r="B2464" s="1" t="s">
        <v>19</v>
      </c>
      <c r="C2464" s="1" t="str">
        <f t="shared" si="47"/>
        <v>020082</v>
      </c>
      <c r="D2464" s="1" t="str">
        <f>"112209302"</f>
        <v>112209302</v>
      </c>
      <c r="E2464" s="1">
        <v>62</v>
      </c>
      <c r="F2464" s="1">
        <v>70</v>
      </c>
      <c r="H2464" s="1">
        <v>65.2</v>
      </c>
    </row>
    <row r="2465" s="1" customFormat="1" spans="1:8">
      <c r="A2465" s="1" t="s">
        <v>14</v>
      </c>
      <c r="B2465" s="1" t="s">
        <v>19</v>
      </c>
      <c r="C2465" s="1" t="str">
        <f t="shared" si="47"/>
        <v>020082</v>
      </c>
      <c r="D2465" s="1" t="str">
        <f>"112209303"</f>
        <v>112209303</v>
      </c>
      <c r="E2465" s="1">
        <v>0</v>
      </c>
      <c r="F2465" s="1">
        <v>0</v>
      </c>
      <c r="H2465" s="1">
        <v>0</v>
      </c>
    </row>
    <row r="2466" s="1" customFormat="1" spans="1:8">
      <c r="A2466" s="1" t="s">
        <v>15</v>
      </c>
      <c r="B2466" s="1" t="s">
        <v>19</v>
      </c>
      <c r="C2466" s="1" t="str">
        <f t="shared" ref="C2466:C2529" si="48">"020085"</f>
        <v>020085</v>
      </c>
      <c r="D2466" s="1" t="str">
        <f>"112209304"</f>
        <v>112209304</v>
      </c>
      <c r="E2466" s="1">
        <v>57</v>
      </c>
      <c r="F2466" s="1">
        <v>52.5</v>
      </c>
      <c r="H2466" s="1">
        <v>55.2</v>
      </c>
    </row>
    <row r="2467" s="1" customFormat="1" spans="1:8">
      <c r="A2467" s="1" t="s">
        <v>15</v>
      </c>
      <c r="B2467" s="1" t="s">
        <v>19</v>
      </c>
      <c r="C2467" s="1" t="str">
        <f t="shared" si="48"/>
        <v>020085</v>
      </c>
      <c r="D2467" s="1" t="str">
        <f>"112209305"</f>
        <v>112209305</v>
      </c>
      <c r="E2467" s="1">
        <v>72.5</v>
      </c>
      <c r="F2467" s="1">
        <v>69.5</v>
      </c>
      <c r="H2467" s="1">
        <v>71.3</v>
      </c>
    </row>
    <row r="2468" s="1" customFormat="1" spans="1:8">
      <c r="A2468" s="1" t="s">
        <v>15</v>
      </c>
      <c r="B2468" s="1" t="s">
        <v>19</v>
      </c>
      <c r="C2468" s="1" t="str">
        <f t="shared" si="48"/>
        <v>020085</v>
      </c>
      <c r="D2468" s="1" t="str">
        <f>"112209306"</f>
        <v>112209306</v>
      </c>
      <c r="E2468" s="1">
        <v>66</v>
      </c>
      <c r="F2468" s="1">
        <v>61.5</v>
      </c>
      <c r="H2468" s="1">
        <v>64.2</v>
      </c>
    </row>
    <row r="2469" s="1" customFormat="1" spans="1:8">
      <c r="A2469" s="1" t="s">
        <v>15</v>
      </c>
      <c r="B2469" s="1" t="s">
        <v>19</v>
      </c>
      <c r="C2469" s="1" t="str">
        <f t="shared" si="48"/>
        <v>020085</v>
      </c>
      <c r="D2469" s="1" t="str">
        <f>"112209307"</f>
        <v>112209307</v>
      </c>
      <c r="E2469" s="1">
        <v>72.5</v>
      </c>
      <c r="F2469" s="1">
        <v>59</v>
      </c>
      <c r="H2469" s="1">
        <v>67.1</v>
      </c>
    </row>
    <row r="2470" s="1" customFormat="1" spans="1:8">
      <c r="A2470" s="1" t="s">
        <v>15</v>
      </c>
      <c r="B2470" s="1" t="s">
        <v>19</v>
      </c>
      <c r="C2470" s="1" t="str">
        <f t="shared" si="48"/>
        <v>020085</v>
      </c>
      <c r="D2470" s="1" t="str">
        <f>"112209308"</f>
        <v>112209308</v>
      </c>
      <c r="E2470" s="1">
        <v>73</v>
      </c>
      <c r="F2470" s="1">
        <v>83.5</v>
      </c>
      <c r="H2470" s="1">
        <v>77.2</v>
      </c>
    </row>
    <row r="2471" s="1" customFormat="1" spans="1:8">
      <c r="A2471" s="1" t="s">
        <v>15</v>
      </c>
      <c r="B2471" s="1" t="s">
        <v>19</v>
      </c>
      <c r="C2471" s="1" t="str">
        <f t="shared" si="48"/>
        <v>020085</v>
      </c>
      <c r="D2471" s="1" t="str">
        <f>"112209309"</f>
        <v>112209309</v>
      </c>
      <c r="E2471" s="1">
        <v>53.5</v>
      </c>
      <c r="F2471" s="1">
        <v>53</v>
      </c>
      <c r="H2471" s="1">
        <v>53.3</v>
      </c>
    </row>
    <row r="2472" s="1" customFormat="1" spans="1:8">
      <c r="A2472" s="1" t="s">
        <v>15</v>
      </c>
      <c r="B2472" s="1" t="s">
        <v>19</v>
      </c>
      <c r="C2472" s="1" t="str">
        <f t="shared" si="48"/>
        <v>020085</v>
      </c>
      <c r="D2472" s="1" t="str">
        <f>"112209310"</f>
        <v>112209310</v>
      </c>
      <c r="E2472" s="1">
        <v>82.5</v>
      </c>
      <c r="F2472" s="1">
        <v>92.5</v>
      </c>
      <c r="H2472" s="1">
        <v>86.5</v>
      </c>
    </row>
    <row r="2473" s="1" customFormat="1" spans="1:8">
      <c r="A2473" s="1" t="s">
        <v>15</v>
      </c>
      <c r="B2473" s="1" t="s">
        <v>19</v>
      </c>
      <c r="C2473" s="1" t="str">
        <f t="shared" si="48"/>
        <v>020085</v>
      </c>
      <c r="D2473" s="1" t="str">
        <f>"112209311"</f>
        <v>112209311</v>
      </c>
      <c r="E2473" s="1">
        <v>70.5</v>
      </c>
      <c r="F2473" s="1">
        <v>91</v>
      </c>
      <c r="H2473" s="1">
        <v>78.7</v>
      </c>
    </row>
    <row r="2474" s="1" customFormat="1" spans="1:8">
      <c r="A2474" s="1" t="s">
        <v>15</v>
      </c>
      <c r="B2474" s="1" t="s">
        <v>19</v>
      </c>
      <c r="C2474" s="1" t="str">
        <f t="shared" si="48"/>
        <v>020085</v>
      </c>
      <c r="D2474" s="1" t="str">
        <f>"112209312"</f>
        <v>112209312</v>
      </c>
      <c r="E2474" s="1">
        <v>0</v>
      </c>
      <c r="F2474" s="1">
        <v>0</v>
      </c>
      <c r="H2474" s="1">
        <v>0</v>
      </c>
    </row>
    <row r="2475" s="1" customFormat="1" spans="1:8">
      <c r="A2475" s="1" t="s">
        <v>15</v>
      </c>
      <c r="B2475" s="1" t="s">
        <v>19</v>
      </c>
      <c r="C2475" s="1" t="str">
        <f t="shared" si="48"/>
        <v>020085</v>
      </c>
      <c r="D2475" s="1" t="str">
        <f>"112209313"</f>
        <v>112209313</v>
      </c>
      <c r="E2475" s="1">
        <v>69.5</v>
      </c>
      <c r="F2475" s="1">
        <v>56.5</v>
      </c>
      <c r="H2475" s="1">
        <v>64.3</v>
      </c>
    </row>
    <row r="2476" s="1" customFormat="1" spans="1:8">
      <c r="A2476" s="1" t="s">
        <v>15</v>
      </c>
      <c r="B2476" s="1" t="s">
        <v>19</v>
      </c>
      <c r="C2476" s="1" t="str">
        <f t="shared" si="48"/>
        <v>020085</v>
      </c>
      <c r="D2476" s="1" t="str">
        <f>"112209314"</f>
        <v>112209314</v>
      </c>
      <c r="E2476" s="1">
        <v>0</v>
      </c>
      <c r="F2476" s="1">
        <v>0</v>
      </c>
      <c r="H2476" s="1">
        <v>0</v>
      </c>
    </row>
    <row r="2477" s="1" customFormat="1" spans="1:8">
      <c r="A2477" s="1" t="s">
        <v>15</v>
      </c>
      <c r="B2477" s="1" t="s">
        <v>19</v>
      </c>
      <c r="C2477" s="1" t="str">
        <f t="shared" si="48"/>
        <v>020085</v>
      </c>
      <c r="D2477" s="1" t="str">
        <f>"112209315"</f>
        <v>112209315</v>
      </c>
      <c r="E2477" s="1">
        <v>61</v>
      </c>
      <c r="F2477" s="1">
        <v>68.5</v>
      </c>
      <c r="H2477" s="1">
        <v>64</v>
      </c>
    </row>
    <row r="2478" s="1" customFormat="1" spans="1:8">
      <c r="A2478" s="1" t="s">
        <v>15</v>
      </c>
      <c r="B2478" s="1" t="s">
        <v>19</v>
      </c>
      <c r="C2478" s="1" t="str">
        <f t="shared" si="48"/>
        <v>020085</v>
      </c>
      <c r="D2478" s="1" t="str">
        <f>"112209316"</f>
        <v>112209316</v>
      </c>
      <c r="E2478" s="1">
        <v>71</v>
      </c>
      <c r="F2478" s="1">
        <v>75</v>
      </c>
      <c r="H2478" s="1">
        <v>72.6</v>
      </c>
    </row>
    <row r="2479" s="1" customFormat="1" spans="1:8">
      <c r="A2479" s="1" t="s">
        <v>15</v>
      </c>
      <c r="B2479" s="1" t="s">
        <v>19</v>
      </c>
      <c r="C2479" s="1" t="str">
        <f t="shared" si="48"/>
        <v>020085</v>
      </c>
      <c r="D2479" s="1" t="str">
        <f>"112209317"</f>
        <v>112209317</v>
      </c>
      <c r="E2479" s="1">
        <v>60.5</v>
      </c>
      <c r="F2479" s="1">
        <v>55</v>
      </c>
      <c r="H2479" s="1">
        <v>58.3</v>
      </c>
    </row>
    <row r="2480" s="1" customFormat="1" spans="1:8">
      <c r="A2480" s="1" t="s">
        <v>15</v>
      </c>
      <c r="B2480" s="1" t="s">
        <v>19</v>
      </c>
      <c r="C2480" s="1" t="str">
        <f t="shared" si="48"/>
        <v>020085</v>
      </c>
      <c r="D2480" s="1" t="str">
        <f>"112209318"</f>
        <v>112209318</v>
      </c>
      <c r="E2480" s="1">
        <v>0</v>
      </c>
      <c r="F2480" s="1">
        <v>0</v>
      </c>
      <c r="H2480" s="1">
        <v>0</v>
      </c>
    </row>
    <row r="2481" s="1" customFormat="1" spans="1:8">
      <c r="A2481" s="1" t="s">
        <v>15</v>
      </c>
      <c r="B2481" s="1" t="s">
        <v>19</v>
      </c>
      <c r="C2481" s="1" t="str">
        <f t="shared" si="48"/>
        <v>020085</v>
      </c>
      <c r="D2481" s="1" t="str">
        <f>"112209319"</f>
        <v>112209319</v>
      </c>
      <c r="E2481" s="1">
        <v>0</v>
      </c>
      <c r="F2481" s="1">
        <v>0</v>
      </c>
      <c r="H2481" s="1">
        <v>0</v>
      </c>
    </row>
    <row r="2482" s="1" customFormat="1" spans="1:8">
      <c r="A2482" s="1" t="s">
        <v>15</v>
      </c>
      <c r="B2482" s="1" t="s">
        <v>19</v>
      </c>
      <c r="C2482" s="1" t="str">
        <f t="shared" si="48"/>
        <v>020085</v>
      </c>
      <c r="D2482" s="1" t="str">
        <f>"112209320"</f>
        <v>112209320</v>
      </c>
      <c r="E2482" s="1">
        <v>69</v>
      </c>
      <c r="F2482" s="1">
        <v>54</v>
      </c>
      <c r="H2482" s="1">
        <v>63</v>
      </c>
    </row>
    <row r="2483" s="1" customFormat="1" spans="1:8">
      <c r="A2483" s="1" t="s">
        <v>15</v>
      </c>
      <c r="B2483" s="1" t="s">
        <v>19</v>
      </c>
      <c r="C2483" s="1" t="str">
        <f t="shared" si="48"/>
        <v>020085</v>
      </c>
      <c r="D2483" s="1" t="str">
        <f>"112209321"</f>
        <v>112209321</v>
      </c>
      <c r="E2483" s="1">
        <v>78.5</v>
      </c>
      <c r="F2483" s="1">
        <v>96</v>
      </c>
      <c r="H2483" s="1">
        <v>85.5</v>
      </c>
    </row>
    <row r="2484" s="1" customFormat="1" spans="1:8">
      <c r="A2484" s="1" t="s">
        <v>15</v>
      </c>
      <c r="B2484" s="1" t="s">
        <v>19</v>
      </c>
      <c r="C2484" s="1" t="str">
        <f t="shared" si="48"/>
        <v>020085</v>
      </c>
      <c r="D2484" s="1" t="str">
        <f>"112209322"</f>
        <v>112209322</v>
      </c>
      <c r="E2484" s="1">
        <v>87</v>
      </c>
      <c r="F2484" s="1">
        <v>81.5</v>
      </c>
      <c r="H2484" s="1">
        <v>84.8</v>
      </c>
    </row>
    <row r="2485" s="1" customFormat="1" spans="1:8">
      <c r="A2485" s="1" t="s">
        <v>15</v>
      </c>
      <c r="B2485" s="1" t="s">
        <v>19</v>
      </c>
      <c r="C2485" s="1" t="str">
        <f t="shared" si="48"/>
        <v>020085</v>
      </c>
      <c r="D2485" s="1" t="str">
        <f>"112209323"</f>
        <v>112209323</v>
      </c>
      <c r="E2485" s="1">
        <v>0</v>
      </c>
      <c r="F2485" s="1">
        <v>0</v>
      </c>
      <c r="H2485" s="1">
        <v>0</v>
      </c>
    </row>
    <row r="2486" s="1" customFormat="1" spans="1:8">
      <c r="A2486" s="1" t="s">
        <v>15</v>
      </c>
      <c r="B2486" s="1" t="s">
        <v>19</v>
      </c>
      <c r="C2486" s="1" t="str">
        <f t="shared" si="48"/>
        <v>020085</v>
      </c>
      <c r="D2486" s="1" t="str">
        <f>"112209324"</f>
        <v>112209324</v>
      </c>
      <c r="E2486" s="1">
        <v>76.5</v>
      </c>
      <c r="F2486" s="1">
        <v>64</v>
      </c>
      <c r="H2486" s="1">
        <v>71.5</v>
      </c>
    </row>
    <row r="2487" s="1" customFormat="1" spans="1:8">
      <c r="A2487" s="1" t="s">
        <v>15</v>
      </c>
      <c r="B2487" s="1" t="s">
        <v>19</v>
      </c>
      <c r="C2487" s="1" t="str">
        <f t="shared" si="48"/>
        <v>020085</v>
      </c>
      <c r="D2487" s="1" t="str">
        <f>"112209325"</f>
        <v>112209325</v>
      </c>
      <c r="E2487" s="1">
        <v>0</v>
      </c>
      <c r="F2487" s="1">
        <v>0</v>
      </c>
      <c r="H2487" s="1">
        <v>0</v>
      </c>
    </row>
    <row r="2488" s="1" customFormat="1" spans="1:8">
      <c r="A2488" s="1" t="s">
        <v>15</v>
      </c>
      <c r="B2488" s="1" t="s">
        <v>19</v>
      </c>
      <c r="C2488" s="1" t="str">
        <f t="shared" si="48"/>
        <v>020085</v>
      </c>
      <c r="D2488" s="1" t="str">
        <f>"112209326"</f>
        <v>112209326</v>
      </c>
      <c r="E2488" s="1">
        <v>0</v>
      </c>
      <c r="F2488" s="1">
        <v>0</v>
      </c>
      <c r="H2488" s="1">
        <v>0</v>
      </c>
    </row>
    <row r="2489" s="1" customFormat="1" spans="1:8">
      <c r="A2489" s="1" t="s">
        <v>15</v>
      </c>
      <c r="B2489" s="1" t="s">
        <v>19</v>
      </c>
      <c r="C2489" s="1" t="str">
        <f t="shared" si="48"/>
        <v>020085</v>
      </c>
      <c r="D2489" s="1" t="str">
        <f>"112209327"</f>
        <v>112209327</v>
      </c>
      <c r="E2489" s="1">
        <v>64.5</v>
      </c>
      <c r="F2489" s="1">
        <v>75</v>
      </c>
      <c r="H2489" s="1">
        <v>68.7</v>
      </c>
    </row>
    <row r="2490" s="1" customFormat="1" spans="1:8">
      <c r="A2490" s="1" t="s">
        <v>15</v>
      </c>
      <c r="B2490" s="1" t="s">
        <v>19</v>
      </c>
      <c r="C2490" s="1" t="str">
        <f t="shared" si="48"/>
        <v>020085</v>
      </c>
      <c r="D2490" s="1" t="str">
        <f>"112209328"</f>
        <v>112209328</v>
      </c>
      <c r="E2490" s="1">
        <v>72.5</v>
      </c>
      <c r="F2490" s="1">
        <v>67</v>
      </c>
      <c r="H2490" s="1">
        <v>70.3</v>
      </c>
    </row>
    <row r="2491" s="1" customFormat="1" spans="1:8">
      <c r="A2491" s="1" t="s">
        <v>15</v>
      </c>
      <c r="B2491" s="1" t="s">
        <v>19</v>
      </c>
      <c r="C2491" s="1" t="str">
        <f t="shared" si="48"/>
        <v>020085</v>
      </c>
      <c r="D2491" s="1" t="str">
        <f>"112209329"</f>
        <v>112209329</v>
      </c>
      <c r="E2491" s="1">
        <v>78.5</v>
      </c>
      <c r="F2491" s="1">
        <v>73.5</v>
      </c>
      <c r="H2491" s="1">
        <v>76.5</v>
      </c>
    </row>
    <row r="2492" s="1" customFormat="1" spans="1:8">
      <c r="A2492" s="1" t="s">
        <v>15</v>
      </c>
      <c r="B2492" s="1" t="s">
        <v>19</v>
      </c>
      <c r="C2492" s="1" t="str">
        <f t="shared" si="48"/>
        <v>020085</v>
      </c>
      <c r="D2492" s="1" t="str">
        <f>"112209330"</f>
        <v>112209330</v>
      </c>
      <c r="E2492" s="1">
        <v>66.5</v>
      </c>
      <c r="F2492" s="1">
        <v>50</v>
      </c>
      <c r="H2492" s="1">
        <v>59.9</v>
      </c>
    </row>
    <row r="2493" s="1" customFormat="1" spans="1:8">
      <c r="A2493" s="1" t="s">
        <v>15</v>
      </c>
      <c r="B2493" s="1" t="s">
        <v>19</v>
      </c>
      <c r="C2493" s="1" t="str">
        <f t="shared" si="48"/>
        <v>020085</v>
      </c>
      <c r="D2493" s="1" t="str">
        <f>"112209401"</f>
        <v>112209401</v>
      </c>
      <c r="E2493" s="1">
        <v>64</v>
      </c>
      <c r="F2493" s="1">
        <v>60</v>
      </c>
      <c r="H2493" s="1">
        <v>62.4</v>
      </c>
    </row>
    <row r="2494" s="1" customFormat="1" spans="1:8">
      <c r="A2494" s="1" t="s">
        <v>15</v>
      </c>
      <c r="B2494" s="1" t="s">
        <v>19</v>
      </c>
      <c r="C2494" s="1" t="str">
        <f t="shared" si="48"/>
        <v>020085</v>
      </c>
      <c r="D2494" s="1" t="str">
        <f>"112209402"</f>
        <v>112209402</v>
      </c>
      <c r="E2494" s="1">
        <v>72</v>
      </c>
      <c r="F2494" s="1">
        <v>94</v>
      </c>
      <c r="H2494" s="1">
        <v>80.8</v>
      </c>
    </row>
    <row r="2495" s="1" customFormat="1" spans="1:8">
      <c r="A2495" s="1" t="s">
        <v>15</v>
      </c>
      <c r="B2495" s="1" t="s">
        <v>19</v>
      </c>
      <c r="C2495" s="1" t="str">
        <f t="shared" si="48"/>
        <v>020085</v>
      </c>
      <c r="D2495" s="1" t="str">
        <f>"112209403"</f>
        <v>112209403</v>
      </c>
      <c r="E2495" s="1">
        <v>87.5</v>
      </c>
      <c r="F2495" s="1">
        <v>91.5</v>
      </c>
      <c r="H2495" s="1">
        <v>89.1</v>
      </c>
    </row>
    <row r="2496" s="1" customFormat="1" spans="1:8">
      <c r="A2496" s="1" t="s">
        <v>15</v>
      </c>
      <c r="B2496" s="1" t="s">
        <v>19</v>
      </c>
      <c r="C2496" s="1" t="str">
        <f t="shared" si="48"/>
        <v>020085</v>
      </c>
      <c r="D2496" s="1" t="str">
        <f>"112209404"</f>
        <v>112209404</v>
      </c>
      <c r="E2496" s="1">
        <v>77.5</v>
      </c>
      <c r="F2496" s="1">
        <v>83</v>
      </c>
      <c r="H2496" s="1">
        <v>79.7</v>
      </c>
    </row>
    <row r="2497" s="1" customFormat="1" spans="1:8">
      <c r="A2497" s="1" t="s">
        <v>15</v>
      </c>
      <c r="B2497" s="1" t="s">
        <v>19</v>
      </c>
      <c r="C2497" s="1" t="str">
        <f t="shared" si="48"/>
        <v>020085</v>
      </c>
      <c r="D2497" s="1" t="str">
        <f>"112209405"</f>
        <v>112209405</v>
      </c>
      <c r="E2497" s="1">
        <v>95</v>
      </c>
      <c r="F2497" s="1">
        <v>92</v>
      </c>
      <c r="H2497" s="1">
        <v>93.8</v>
      </c>
    </row>
    <row r="2498" s="1" customFormat="1" spans="1:8">
      <c r="A2498" s="1" t="s">
        <v>15</v>
      </c>
      <c r="B2498" s="1" t="s">
        <v>19</v>
      </c>
      <c r="C2498" s="1" t="str">
        <f t="shared" si="48"/>
        <v>020085</v>
      </c>
      <c r="D2498" s="1" t="str">
        <f>"112209406"</f>
        <v>112209406</v>
      </c>
      <c r="E2498" s="1">
        <v>70</v>
      </c>
      <c r="F2498" s="1">
        <v>74</v>
      </c>
      <c r="H2498" s="1">
        <v>71.6</v>
      </c>
    </row>
    <row r="2499" s="1" customFormat="1" spans="1:8">
      <c r="A2499" s="1" t="s">
        <v>15</v>
      </c>
      <c r="B2499" s="1" t="s">
        <v>19</v>
      </c>
      <c r="C2499" s="1" t="str">
        <f t="shared" si="48"/>
        <v>020085</v>
      </c>
      <c r="D2499" s="1" t="str">
        <f>"112209407"</f>
        <v>112209407</v>
      </c>
      <c r="E2499" s="1">
        <v>71.5</v>
      </c>
      <c r="F2499" s="1">
        <v>59</v>
      </c>
      <c r="H2499" s="1">
        <v>66.5</v>
      </c>
    </row>
    <row r="2500" s="1" customFormat="1" spans="1:8">
      <c r="A2500" s="1" t="s">
        <v>15</v>
      </c>
      <c r="B2500" s="1" t="s">
        <v>19</v>
      </c>
      <c r="C2500" s="1" t="str">
        <f t="shared" si="48"/>
        <v>020085</v>
      </c>
      <c r="D2500" s="1" t="str">
        <f>"112209408"</f>
        <v>112209408</v>
      </c>
      <c r="E2500" s="1">
        <v>54</v>
      </c>
      <c r="F2500" s="1">
        <v>0</v>
      </c>
      <c r="H2500" s="1">
        <v>32.4</v>
      </c>
    </row>
    <row r="2501" s="1" customFormat="1" spans="1:8">
      <c r="A2501" s="1" t="s">
        <v>15</v>
      </c>
      <c r="B2501" s="1" t="s">
        <v>19</v>
      </c>
      <c r="C2501" s="1" t="str">
        <f t="shared" si="48"/>
        <v>020085</v>
      </c>
      <c r="D2501" s="1" t="str">
        <f>"112209409"</f>
        <v>112209409</v>
      </c>
      <c r="E2501" s="1">
        <v>0</v>
      </c>
      <c r="F2501" s="1">
        <v>0</v>
      </c>
      <c r="H2501" s="1">
        <v>0</v>
      </c>
    </row>
    <row r="2502" s="1" customFormat="1" spans="1:8">
      <c r="A2502" s="1" t="s">
        <v>15</v>
      </c>
      <c r="B2502" s="1" t="s">
        <v>19</v>
      </c>
      <c r="C2502" s="1" t="str">
        <f t="shared" si="48"/>
        <v>020085</v>
      </c>
      <c r="D2502" s="1" t="str">
        <f>"112209410"</f>
        <v>112209410</v>
      </c>
      <c r="E2502" s="1">
        <v>76.5</v>
      </c>
      <c r="F2502" s="1">
        <v>61.5</v>
      </c>
      <c r="H2502" s="1">
        <v>70.5</v>
      </c>
    </row>
    <row r="2503" s="1" customFormat="1" spans="1:8">
      <c r="A2503" s="1" t="s">
        <v>15</v>
      </c>
      <c r="B2503" s="1" t="s">
        <v>19</v>
      </c>
      <c r="C2503" s="1" t="str">
        <f t="shared" si="48"/>
        <v>020085</v>
      </c>
      <c r="D2503" s="1" t="str">
        <f>"112209411"</f>
        <v>112209411</v>
      </c>
      <c r="E2503" s="1">
        <v>0</v>
      </c>
      <c r="F2503" s="1">
        <v>0</v>
      </c>
      <c r="H2503" s="1">
        <v>0</v>
      </c>
    </row>
    <row r="2504" s="1" customFormat="1" spans="1:8">
      <c r="A2504" s="1" t="s">
        <v>15</v>
      </c>
      <c r="B2504" s="1" t="s">
        <v>19</v>
      </c>
      <c r="C2504" s="1" t="str">
        <f t="shared" si="48"/>
        <v>020085</v>
      </c>
      <c r="D2504" s="1" t="str">
        <f>"112209412"</f>
        <v>112209412</v>
      </c>
      <c r="E2504" s="1">
        <v>62.5</v>
      </c>
      <c r="F2504" s="1">
        <v>51</v>
      </c>
      <c r="H2504" s="1">
        <v>57.9</v>
      </c>
    </row>
    <row r="2505" s="1" customFormat="1" spans="1:8">
      <c r="A2505" s="1" t="s">
        <v>15</v>
      </c>
      <c r="B2505" s="1" t="s">
        <v>19</v>
      </c>
      <c r="C2505" s="1" t="str">
        <f t="shared" si="48"/>
        <v>020085</v>
      </c>
      <c r="D2505" s="1" t="str">
        <f>"112209413"</f>
        <v>112209413</v>
      </c>
      <c r="E2505" s="1">
        <v>67</v>
      </c>
      <c r="F2505" s="1">
        <v>57.5</v>
      </c>
      <c r="H2505" s="1">
        <v>63.2</v>
      </c>
    </row>
    <row r="2506" s="1" customFormat="1" spans="1:8">
      <c r="A2506" s="1" t="s">
        <v>15</v>
      </c>
      <c r="B2506" s="1" t="s">
        <v>19</v>
      </c>
      <c r="C2506" s="1" t="str">
        <f t="shared" si="48"/>
        <v>020085</v>
      </c>
      <c r="D2506" s="1" t="str">
        <f>"112209414"</f>
        <v>112209414</v>
      </c>
      <c r="E2506" s="1">
        <v>0</v>
      </c>
      <c r="F2506" s="1">
        <v>0</v>
      </c>
      <c r="H2506" s="1">
        <v>0</v>
      </c>
    </row>
    <row r="2507" s="1" customFormat="1" spans="1:8">
      <c r="A2507" s="1" t="s">
        <v>15</v>
      </c>
      <c r="B2507" s="1" t="s">
        <v>19</v>
      </c>
      <c r="C2507" s="1" t="str">
        <f t="shared" si="48"/>
        <v>020085</v>
      </c>
      <c r="D2507" s="1" t="str">
        <f>"112209415"</f>
        <v>112209415</v>
      </c>
      <c r="E2507" s="1">
        <v>0</v>
      </c>
      <c r="F2507" s="1">
        <v>0</v>
      </c>
      <c r="H2507" s="1">
        <v>0</v>
      </c>
    </row>
    <row r="2508" s="1" customFormat="1" spans="1:8">
      <c r="A2508" s="1" t="s">
        <v>15</v>
      </c>
      <c r="B2508" s="1" t="s">
        <v>19</v>
      </c>
      <c r="C2508" s="1" t="str">
        <f t="shared" si="48"/>
        <v>020085</v>
      </c>
      <c r="D2508" s="1" t="str">
        <f>"112209416"</f>
        <v>112209416</v>
      </c>
      <c r="E2508" s="1">
        <v>76</v>
      </c>
      <c r="F2508" s="1">
        <v>83.5</v>
      </c>
      <c r="H2508" s="1">
        <v>79</v>
      </c>
    </row>
    <row r="2509" s="1" customFormat="1" spans="1:8">
      <c r="A2509" s="1" t="s">
        <v>15</v>
      </c>
      <c r="B2509" s="1" t="s">
        <v>19</v>
      </c>
      <c r="C2509" s="1" t="str">
        <f t="shared" si="48"/>
        <v>020085</v>
      </c>
      <c r="D2509" s="1" t="str">
        <f>"112209417"</f>
        <v>112209417</v>
      </c>
      <c r="E2509" s="1">
        <v>76.5</v>
      </c>
      <c r="F2509" s="1">
        <v>74.5</v>
      </c>
      <c r="H2509" s="1">
        <v>75.7</v>
      </c>
    </row>
    <row r="2510" s="1" customFormat="1" spans="1:8">
      <c r="A2510" s="1" t="s">
        <v>15</v>
      </c>
      <c r="B2510" s="1" t="s">
        <v>19</v>
      </c>
      <c r="C2510" s="1" t="str">
        <f t="shared" si="48"/>
        <v>020085</v>
      </c>
      <c r="D2510" s="1" t="str">
        <f>"112209418"</f>
        <v>112209418</v>
      </c>
      <c r="E2510" s="1">
        <v>78</v>
      </c>
      <c r="F2510" s="1">
        <v>83.5</v>
      </c>
      <c r="H2510" s="1">
        <v>80.2</v>
      </c>
    </row>
    <row r="2511" s="1" customFormat="1" spans="1:8">
      <c r="A2511" s="1" t="s">
        <v>15</v>
      </c>
      <c r="B2511" s="1" t="s">
        <v>19</v>
      </c>
      <c r="C2511" s="1" t="str">
        <f t="shared" si="48"/>
        <v>020085</v>
      </c>
      <c r="D2511" s="1" t="str">
        <f>"112209419"</f>
        <v>112209419</v>
      </c>
      <c r="E2511" s="1">
        <v>0</v>
      </c>
      <c r="F2511" s="1">
        <v>0</v>
      </c>
      <c r="H2511" s="1">
        <v>0</v>
      </c>
    </row>
    <row r="2512" s="1" customFormat="1" spans="1:8">
      <c r="A2512" s="1" t="s">
        <v>15</v>
      </c>
      <c r="B2512" s="1" t="s">
        <v>19</v>
      </c>
      <c r="C2512" s="1" t="str">
        <f t="shared" si="48"/>
        <v>020085</v>
      </c>
      <c r="D2512" s="1" t="str">
        <f>"112209420"</f>
        <v>112209420</v>
      </c>
      <c r="E2512" s="1">
        <v>78.5</v>
      </c>
      <c r="F2512" s="1">
        <v>79</v>
      </c>
      <c r="H2512" s="1">
        <v>78.7</v>
      </c>
    </row>
    <row r="2513" s="1" customFormat="1" spans="1:8">
      <c r="A2513" s="1" t="s">
        <v>15</v>
      </c>
      <c r="B2513" s="1" t="s">
        <v>19</v>
      </c>
      <c r="C2513" s="1" t="str">
        <f t="shared" si="48"/>
        <v>020085</v>
      </c>
      <c r="D2513" s="1" t="str">
        <f>"112209421"</f>
        <v>112209421</v>
      </c>
      <c r="E2513" s="1">
        <v>66</v>
      </c>
      <c r="F2513" s="1">
        <v>64.5</v>
      </c>
      <c r="H2513" s="1">
        <v>65.4</v>
      </c>
    </row>
    <row r="2514" s="1" customFormat="1" spans="1:8">
      <c r="A2514" s="1" t="s">
        <v>15</v>
      </c>
      <c r="B2514" s="1" t="s">
        <v>19</v>
      </c>
      <c r="C2514" s="1" t="str">
        <f t="shared" si="48"/>
        <v>020085</v>
      </c>
      <c r="D2514" s="1" t="str">
        <f>"112209422"</f>
        <v>112209422</v>
      </c>
      <c r="E2514" s="1">
        <v>68.5</v>
      </c>
      <c r="F2514" s="1">
        <v>67</v>
      </c>
      <c r="H2514" s="1">
        <v>67.9</v>
      </c>
    </row>
    <row r="2515" s="1" customFormat="1" spans="1:8">
      <c r="A2515" s="1" t="s">
        <v>15</v>
      </c>
      <c r="B2515" s="1" t="s">
        <v>19</v>
      </c>
      <c r="C2515" s="1" t="str">
        <f t="shared" si="48"/>
        <v>020085</v>
      </c>
      <c r="D2515" s="1" t="str">
        <f>"112209423"</f>
        <v>112209423</v>
      </c>
      <c r="E2515" s="1">
        <v>61</v>
      </c>
      <c r="F2515" s="1">
        <v>47</v>
      </c>
      <c r="H2515" s="1">
        <v>55.4</v>
      </c>
    </row>
    <row r="2516" s="1" customFormat="1" spans="1:8">
      <c r="A2516" s="1" t="s">
        <v>15</v>
      </c>
      <c r="B2516" s="1" t="s">
        <v>19</v>
      </c>
      <c r="C2516" s="1" t="str">
        <f t="shared" si="48"/>
        <v>020085</v>
      </c>
      <c r="D2516" s="1" t="str">
        <f>"112209424"</f>
        <v>112209424</v>
      </c>
      <c r="E2516" s="1">
        <v>0</v>
      </c>
      <c r="F2516" s="1">
        <v>0</v>
      </c>
      <c r="H2516" s="1">
        <v>0</v>
      </c>
    </row>
    <row r="2517" s="1" customFormat="1" spans="1:8">
      <c r="A2517" s="1" t="s">
        <v>15</v>
      </c>
      <c r="B2517" s="1" t="s">
        <v>19</v>
      </c>
      <c r="C2517" s="1" t="str">
        <f t="shared" si="48"/>
        <v>020085</v>
      </c>
      <c r="D2517" s="1" t="str">
        <f>"112209425"</f>
        <v>112209425</v>
      </c>
      <c r="E2517" s="1">
        <v>0</v>
      </c>
      <c r="F2517" s="1">
        <v>0</v>
      </c>
      <c r="H2517" s="1">
        <v>0</v>
      </c>
    </row>
    <row r="2518" s="1" customFormat="1" spans="1:8">
      <c r="A2518" s="1" t="s">
        <v>15</v>
      </c>
      <c r="B2518" s="1" t="s">
        <v>19</v>
      </c>
      <c r="C2518" s="1" t="str">
        <f t="shared" si="48"/>
        <v>020085</v>
      </c>
      <c r="D2518" s="1" t="str">
        <f>"112209426"</f>
        <v>112209426</v>
      </c>
      <c r="E2518" s="1">
        <v>0</v>
      </c>
      <c r="F2518" s="1">
        <v>0</v>
      </c>
      <c r="H2518" s="1">
        <v>0</v>
      </c>
    </row>
    <row r="2519" s="1" customFormat="1" spans="1:8">
      <c r="A2519" s="1" t="s">
        <v>15</v>
      </c>
      <c r="B2519" s="1" t="s">
        <v>19</v>
      </c>
      <c r="C2519" s="1" t="str">
        <f t="shared" si="48"/>
        <v>020085</v>
      </c>
      <c r="D2519" s="1" t="str">
        <f>"112209427"</f>
        <v>112209427</v>
      </c>
      <c r="E2519" s="1">
        <v>0</v>
      </c>
      <c r="F2519" s="1">
        <v>0</v>
      </c>
      <c r="H2519" s="1">
        <v>0</v>
      </c>
    </row>
    <row r="2520" s="1" customFormat="1" spans="1:8">
      <c r="A2520" s="1" t="s">
        <v>15</v>
      </c>
      <c r="B2520" s="1" t="s">
        <v>19</v>
      </c>
      <c r="C2520" s="1" t="str">
        <f t="shared" si="48"/>
        <v>020085</v>
      </c>
      <c r="D2520" s="1" t="str">
        <f>"112209428"</f>
        <v>112209428</v>
      </c>
      <c r="E2520" s="1">
        <v>0</v>
      </c>
      <c r="F2520" s="1">
        <v>0</v>
      </c>
      <c r="H2520" s="1">
        <v>0</v>
      </c>
    </row>
    <row r="2521" s="1" customFormat="1" spans="1:8">
      <c r="A2521" s="1" t="s">
        <v>15</v>
      </c>
      <c r="B2521" s="1" t="s">
        <v>19</v>
      </c>
      <c r="C2521" s="1" t="str">
        <f t="shared" si="48"/>
        <v>020085</v>
      </c>
      <c r="D2521" s="1" t="str">
        <f>"112209429"</f>
        <v>112209429</v>
      </c>
      <c r="E2521" s="1">
        <v>66.5</v>
      </c>
      <c r="F2521" s="1">
        <v>85.5</v>
      </c>
      <c r="H2521" s="1">
        <v>74.1</v>
      </c>
    </row>
    <row r="2522" s="1" customFormat="1" spans="1:8">
      <c r="A2522" s="1" t="s">
        <v>15</v>
      </c>
      <c r="B2522" s="1" t="s">
        <v>19</v>
      </c>
      <c r="C2522" s="1" t="str">
        <f t="shared" si="48"/>
        <v>020085</v>
      </c>
      <c r="D2522" s="1" t="str">
        <f>"112209430"</f>
        <v>112209430</v>
      </c>
      <c r="E2522" s="1">
        <v>56.5</v>
      </c>
      <c r="F2522" s="1">
        <v>57.5</v>
      </c>
      <c r="H2522" s="1">
        <v>56.9</v>
      </c>
    </row>
    <row r="2523" s="1" customFormat="1" spans="1:8">
      <c r="A2523" s="1" t="s">
        <v>15</v>
      </c>
      <c r="B2523" s="1" t="s">
        <v>19</v>
      </c>
      <c r="C2523" s="1" t="str">
        <f t="shared" si="48"/>
        <v>020085</v>
      </c>
      <c r="D2523" s="1" t="str">
        <f>"112209501"</f>
        <v>112209501</v>
      </c>
      <c r="E2523" s="1">
        <v>0</v>
      </c>
      <c r="F2523" s="1">
        <v>0</v>
      </c>
      <c r="H2523" s="1">
        <v>0</v>
      </c>
    </row>
    <row r="2524" s="1" customFormat="1" spans="1:8">
      <c r="A2524" s="1" t="s">
        <v>15</v>
      </c>
      <c r="B2524" s="1" t="s">
        <v>19</v>
      </c>
      <c r="C2524" s="1" t="str">
        <f t="shared" si="48"/>
        <v>020085</v>
      </c>
      <c r="D2524" s="1" t="str">
        <f>"112209502"</f>
        <v>112209502</v>
      </c>
      <c r="E2524" s="1">
        <v>0</v>
      </c>
      <c r="F2524" s="1">
        <v>0</v>
      </c>
      <c r="H2524" s="1">
        <v>0</v>
      </c>
    </row>
    <row r="2525" s="1" customFormat="1" spans="1:8">
      <c r="A2525" s="1" t="s">
        <v>15</v>
      </c>
      <c r="B2525" s="1" t="s">
        <v>19</v>
      </c>
      <c r="C2525" s="1" t="str">
        <f t="shared" si="48"/>
        <v>020085</v>
      </c>
      <c r="D2525" s="1" t="str">
        <f>"112209503"</f>
        <v>112209503</v>
      </c>
      <c r="E2525" s="1">
        <v>82</v>
      </c>
      <c r="F2525" s="1">
        <v>86.5</v>
      </c>
      <c r="H2525" s="1">
        <v>83.8</v>
      </c>
    </row>
    <row r="2526" s="1" customFormat="1" spans="1:8">
      <c r="A2526" s="1" t="s">
        <v>15</v>
      </c>
      <c r="B2526" s="1" t="s">
        <v>19</v>
      </c>
      <c r="C2526" s="1" t="str">
        <f t="shared" si="48"/>
        <v>020085</v>
      </c>
      <c r="D2526" s="1" t="str">
        <f>"112209504"</f>
        <v>112209504</v>
      </c>
      <c r="E2526" s="1">
        <v>73.5</v>
      </c>
      <c r="F2526" s="1">
        <v>70.5</v>
      </c>
      <c r="H2526" s="1">
        <v>72.3</v>
      </c>
    </row>
    <row r="2527" s="1" customFormat="1" spans="1:8">
      <c r="A2527" s="1" t="s">
        <v>15</v>
      </c>
      <c r="B2527" s="1" t="s">
        <v>19</v>
      </c>
      <c r="C2527" s="1" t="str">
        <f t="shared" si="48"/>
        <v>020085</v>
      </c>
      <c r="D2527" s="1" t="str">
        <f>"112209505"</f>
        <v>112209505</v>
      </c>
      <c r="E2527" s="1">
        <v>68</v>
      </c>
      <c r="F2527" s="1">
        <v>65</v>
      </c>
      <c r="H2527" s="1">
        <v>66.8</v>
      </c>
    </row>
    <row r="2528" s="1" customFormat="1" spans="1:8">
      <c r="A2528" s="1" t="s">
        <v>15</v>
      </c>
      <c r="B2528" s="1" t="s">
        <v>19</v>
      </c>
      <c r="C2528" s="1" t="str">
        <f t="shared" si="48"/>
        <v>020085</v>
      </c>
      <c r="D2528" s="1" t="str">
        <f>"112209506"</f>
        <v>112209506</v>
      </c>
      <c r="E2528" s="1">
        <v>0</v>
      </c>
      <c r="F2528" s="1">
        <v>0</v>
      </c>
      <c r="H2528" s="1">
        <v>0</v>
      </c>
    </row>
    <row r="2529" s="1" customFormat="1" spans="1:8">
      <c r="A2529" s="1" t="s">
        <v>15</v>
      </c>
      <c r="B2529" s="1" t="s">
        <v>19</v>
      </c>
      <c r="C2529" s="1" t="str">
        <f t="shared" si="48"/>
        <v>020085</v>
      </c>
      <c r="D2529" s="1" t="str">
        <f>"112209507"</f>
        <v>112209507</v>
      </c>
      <c r="E2529" s="1">
        <v>0</v>
      </c>
      <c r="F2529" s="1">
        <v>0</v>
      </c>
      <c r="H2529" s="1">
        <v>0</v>
      </c>
    </row>
    <row r="2530" s="1" customFormat="1" spans="1:8">
      <c r="A2530" s="1" t="s">
        <v>15</v>
      </c>
      <c r="B2530" s="1" t="s">
        <v>19</v>
      </c>
      <c r="C2530" s="1" t="str">
        <f t="shared" ref="C2530:C2593" si="49">"020085"</f>
        <v>020085</v>
      </c>
      <c r="D2530" s="1" t="str">
        <f>"112209508"</f>
        <v>112209508</v>
      </c>
      <c r="E2530" s="1">
        <v>64</v>
      </c>
      <c r="F2530" s="1">
        <v>57</v>
      </c>
      <c r="H2530" s="1">
        <v>61.2</v>
      </c>
    </row>
    <row r="2531" s="1" customFormat="1" spans="1:8">
      <c r="A2531" s="1" t="s">
        <v>15</v>
      </c>
      <c r="B2531" s="1" t="s">
        <v>19</v>
      </c>
      <c r="C2531" s="1" t="str">
        <f t="shared" si="49"/>
        <v>020085</v>
      </c>
      <c r="D2531" s="1" t="str">
        <f>"112209509"</f>
        <v>112209509</v>
      </c>
      <c r="E2531" s="1">
        <v>61.5</v>
      </c>
      <c r="F2531" s="1">
        <v>50</v>
      </c>
      <c r="H2531" s="1">
        <v>56.9</v>
      </c>
    </row>
    <row r="2532" s="1" customFormat="1" spans="1:8">
      <c r="A2532" s="1" t="s">
        <v>15</v>
      </c>
      <c r="B2532" s="1" t="s">
        <v>19</v>
      </c>
      <c r="C2532" s="1" t="str">
        <f t="shared" si="49"/>
        <v>020085</v>
      </c>
      <c r="D2532" s="1" t="str">
        <f>"112209510"</f>
        <v>112209510</v>
      </c>
      <c r="E2532" s="1">
        <v>68.5</v>
      </c>
      <c r="F2532" s="1">
        <v>61.5</v>
      </c>
      <c r="H2532" s="1">
        <v>65.7</v>
      </c>
    </row>
    <row r="2533" s="1" customFormat="1" spans="1:8">
      <c r="A2533" s="1" t="s">
        <v>15</v>
      </c>
      <c r="B2533" s="1" t="s">
        <v>19</v>
      </c>
      <c r="C2533" s="1" t="str">
        <f t="shared" si="49"/>
        <v>020085</v>
      </c>
      <c r="D2533" s="1" t="str">
        <f>"112209511"</f>
        <v>112209511</v>
      </c>
      <c r="E2533" s="1">
        <v>72</v>
      </c>
      <c r="F2533" s="1">
        <v>60</v>
      </c>
      <c r="H2533" s="1">
        <v>67.2</v>
      </c>
    </row>
    <row r="2534" s="1" customFormat="1" spans="1:8">
      <c r="A2534" s="1" t="s">
        <v>15</v>
      </c>
      <c r="B2534" s="1" t="s">
        <v>19</v>
      </c>
      <c r="C2534" s="1" t="str">
        <f t="shared" si="49"/>
        <v>020085</v>
      </c>
      <c r="D2534" s="1" t="str">
        <f>"112209512"</f>
        <v>112209512</v>
      </c>
      <c r="E2534" s="1">
        <v>0</v>
      </c>
      <c r="F2534" s="1">
        <v>0</v>
      </c>
      <c r="H2534" s="1">
        <v>0</v>
      </c>
    </row>
    <row r="2535" s="1" customFormat="1" spans="1:8">
      <c r="A2535" s="1" t="s">
        <v>15</v>
      </c>
      <c r="B2535" s="1" t="s">
        <v>19</v>
      </c>
      <c r="C2535" s="1" t="str">
        <f t="shared" si="49"/>
        <v>020085</v>
      </c>
      <c r="D2535" s="1" t="str">
        <f>"112209513"</f>
        <v>112209513</v>
      </c>
      <c r="E2535" s="1">
        <v>72.5</v>
      </c>
      <c r="F2535" s="1">
        <v>73</v>
      </c>
      <c r="H2535" s="1">
        <v>72.7</v>
      </c>
    </row>
    <row r="2536" s="1" customFormat="1" spans="1:8">
      <c r="A2536" s="1" t="s">
        <v>15</v>
      </c>
      <c r="B2536" s="1" t="s">
        <v>19</v>
      </c>
      <c r="C2536" s="1" t="str">
        <f t="shared" si="49"/>
        <v>020085</v>
      </c>
      <c r="D2536" s="1" t="str">
        <f>"112209514"</f>
        <v>112209514</v>
      </c>
      <c r="E2536" s="1">
        <v>92.5</v>
      </c>
      <c r="F2536" s="1">
        <v>91</v>
      </c>
      <c r="H2536" s="1">
        <v>91.9</v>
      </c>
    </row>
    <row r="2537" s="1" customFormat="1" spans="1:8">
      <c r="A2537" s="1" t="s">
        <v>15</v>
      </c>
      <c r="B2537" s="1" t="s">
        <v>19</v>
      </c>
      <c r="C2537" s="1" t="str">
        <f t="shared" si="49"/>
        <v>020085</v>
      </c>
      <c r="D2537" s="1" t="str">
        <f>"112209515"</f>
        <v>112209515</v>
      </c>
      <c r="E2537" s="1">
        <v>75.5</v>
      </c>
      <c r="F2537" s="1">
        <v>75</v>
      </c>
      <c r="H2537" s="1">
        <v>75.3</v>
      </c>
    </row>
    <row r="2538" s="1" customFormat="1" spans="1:8">
      <c r="A2538" s="1" t="s">
        <v>15</v>
      </c>
      <c r="B2538" s="1" t="s">
        <v>19</v>
      </c>
      <c r="C2538" s="1" t="str">
        <f t="shared" si="49"/>
        <v>020085</v>
      </c>
      <c r="D2538" s="1" t="str">
        <f>"112209516"</f>
        <v>112209516</v>
      </c>
      <c r="E2538" s="1">
        <v>61.5</v>
      </c>
      <c r="F2538" s="1">
        <v>69.5</v>
      </c>
      <c r="H2538" s="1">
        <v>64.7</v>
      </c>
    </row>
    <row r="2539" s="1" customFormat="1" spans="1:8">
      <c r="A2539" s="1" t="s">
        <v>15</v>
      </c>
      <c r="B2539" s="1" t="s">
        <v>19</v>
      </c>
      <c r="C2539" s="1" t="str">
        <f t="shared" si="49"/>
        <v>020085</v>
      </c>
      <c r="D2539" s="1" t="str">
        <f>"112209517"</f>
        <v>112209517</v>
      </c>
      <c r="E2539" s="1">
        <v>86.5</v>
      </c>
      <c r="F2539" s="1">
        <v>83.5</v>
      </c>
      <c r="H2539" s="1">
        <v>85.3</v>
      </c>
    </row>
    <row r="2540" s="1" customFormat="1" spans="1:8">
      <c r="A2540" s="1" t="s">
        <v>15</v>
      </c>
      <c r="B2540" s="1" t="s">
        <v>19</v>
      </c>
      <c r="C2540" s="1" t="str">
        <f t="shared" si="49"/>
        <v>020085</v>
      </c>
      <c r="D2540" s="1" t="str">
        <f>"112209518"</f>
        <v>112209518</v>
      </c>
      <c r="E2540" s="1">
        <v>80.5</v>
      </c>
      <c r="F2540" s="1">
        <v>80.5</v>
      </c>
      <c r="H2540" s="1">
        <v>80.5</v>
      </c>
    </row>
    <row r="2541" s="1" customFormat="1" spans="1:8">
      <c r="A2541" s="1" t="s">
        <v>15</v>
      </c>
      <c r="B2541" s="1" t="s">
        <v>19</v>
      </c>
      <c r="C2541" s="1" t="str">
        <f t="shared" si="49"/>
        <v>020085</v>
      </c>
      <c r="D2541" s="1" t="str">
        <f>"112209519"</f>
        <v>112209519</v>
      </c>
      <c r="E2541" s="1">
        <v>81.5</v>
      </c>
      <c r="F2541" s="1">
        <v>83.5</v>
      </c>
      <c r="H2541" s="1">
        <v>82.3</v>
      </c>
    </row>
    <row r="2542" s="1" customFormat="1" spans="1:8">
      <c r="A2542" s="1" t="s">
        <v>15</v>
      </c>
      <c r="B2542" s="1" t="s">
        <v>19</v>
      </c>
      <c r="C2542" s="1" t="str">
        <f t="shared" si="49"/>
        <v>020085</v>
      </c>
      <c r="D2542" s="1" t="str">
        <f>"112209520"</f>
        <v>112209520</v>
      </c>
      <c r="E2542" s="1">
        <v>67.5</v>
      </c>
      <c r="F2542" s="1">
        <v>64.5</v>
      </c>
      <c r="H2542" s="1">
        <v>66.3</v>
      </c>
    </row>
    <row r="2543" s="1" customFormat="1" spans="1:8">
      <c r="A2543" s="1" t="s">
        <v>15</v>
      </c>
      <c r="B2543" s="1" t="s">
        <v>19</v>
      </c>
      <c r="C2543" s="1" t="str">
        <f t="shared" si="49"/>
        <v>020085</v>
      </c>
      <c r="D2543" s="1" t="str">
        <f>"112209521"</f>
        <v>112209521</v>
      </c>
      <c r="E2543" s="1">
        <v>83</v>
      </c>
      <c r="F2543" s="1">
        <v>75.5</v>
      </c>
      <c r="H2543" s="1">
        <v>80</v>
      </c>
    </row>
    <row r="2544" s="1" customFormat="1" spans="1:8">
      <c r="A2544" s="1" t="s">
        <v>15</v>
      </c>
      <c r="B2544" s="1" t="s">
        <v>19</v>
      </c>
      <c r="C2544" s="1" t="str">
        <f t="shared" si="49"/>
        <v>020085</v>
      </c>
      <c r="D2544" s="1" t="str">
        <f>"112209522"</f>
        <v>112209522</v>
      </c>
      <c r="E2544" s="1">
        <v>68.5</v>
      </c>
      <c r="F2544" s="1">
        <v>90</v>
      </c>
      <c r="H2544" s="1">
        <v>77.1</v>
      </c>
    </row>
    <row r="2545" s="1" customFormat="1" spans="1:8">
      <c r="A2545" s="1" t="s">
        <v>15</v>
      </c>
      <c r="B2545" s="1" t="s">
        <v>19</v>
      </c>
      <c r="C2545" s="1" t="str">
        <f t="shared" si="49"/>
        <v>020085</v>
      </c>
      <c r="D2545" s="1" t="str">
        <f>"112209523"</f>
        <v>112209523</v>
      </c>
      <c r="E2545" s="1">
        <v>76.5</v>
      </c>
      <c r="F2545" s="1">
        <v>82.5</v>
      </c>
      <c r="H2545" s="1">
        <v>78.9</v>
      </c>
    </row>
    <row r="2546" s="1" customFormat="1" spans="1:8">
      <c r="A2546" s="1" t="s">
        <v>15</v>
      </c>
      <c r="B2546" s="1" t="s">
        <v>19</v>
      </c>
      <c r="C2546" s="1" t="str">
        <f t="shared" si="49"/>
        <v>020085</v>
      </c>
      <c r="D2546" s="1" t="str">
        <f>"112209524"</f>
        <v>112209524</v>
      </c>
      <c r="E2546" s="1">
        <v>66.5</v>
      </c>
      <c r="F2546" s="1">
        <v>58</v>
      </c>
      <c r="H2546" s="1">
        <v>63.1</v>
      </c>
    </row>
    <row r="2547" s="1" customFormat="1" spans="1:8">
      <c r="A2547" s="1" t="s">
        <v>15</v>
      </c>
      <c r="B2547" s="1" t="s">
        <v>19</v>
      </c>
      <c r="C2547" s="1" t="str">
        <f t="shared" si="49"/>
        <v>020085</v>
      </c>
      <c r="D2547" s="1" t="str">
        <f>"112209525"</f>
        <v>112209525</v>
      </c>
      <c r="E2547" s="1">
        <v>0</v>
      </c>
      <c r="F2547" s="1">
        <v>0</v>
      </c>
      <c r="H2547" s="1">
        <v>0</v>
      </c>
    </row>
    <row r="2548" s="1" customFormat="1" spans="1:8">
      <c r="A2548" s="1" t="s">
        <v>15</v>
      </c>
      <c r="B2548" s="1" t="s">
        <v>19</v>
      </c>
      <c r="C2548" s="1" t="str">
        <f t="shared" si="49"/>
        <v>020085</v>
      </c>
      <c r="D2548" s="1" t="str">
        <f>"112209526"</f>
        <v>112209526</v>
      </c>
      <c r="E2548" s="1">
        <v>62.5</v>
      </c>
      <c r="F2548" s="1">
        <v>55</v>
      </c>
      <c r="H2548" s="1">
        <v>59.5</v>
      </c>
    </row>
    <row r="2549" s="1" customFormat="1" spans="1:8">
      <c r="A2549" s="1" t="s">
        <v>15</v>
      </c>
      <c r="B2549" s="1" t="s">
        <v>19</v>
      </c>
      <c r="C2549" s="1" t="str">
        <f t="shared" si="49"/>
        <v>020085</v>
      </c>
      <c r="D2549" s="1" t="str">
        <f>"112209527"</f>
        <v>112209527</v>
      </c>
      <c r="E2549" s="1">
        <v>71</v>
      </c>
      <c r="F2549" s="1">
        <v>74.5</v>
      </c>
      <c r="H2549" s="1">
        <v>72.4</v>
      </c>
    </row>
    <row r="2550" s="1" customFormat="1" spans="1:8">
      <c r="A2550" s="1" t="s">
        <v>15</v>
      </c>
      <c r="B2550" s="1" t="s">
        <v>19</v>
      </c>
      <c r="C2550" s="1" t="str">
        <f t="shared" si="49"/>
        <v>020085</v>
      </c>
      <c r="D2550" s="1" t="str">
        <f>"112209528"</f>
        <v>112209528</v>
      </c>
      <c r="E2550" s="1">
        <v>69.5</v>
      </c>
      <c r="F2550" s="1">
        <v>78.5</v>
      </c>
      <c r="H2550" s="1">
        <v>73.1</v>
      </c>
    </row>
    <row r="2551" s="1" customFormat="1" spans="1:8">
      <c r="A2551" s="1" t="s">
        <v>15</v>
      </c>
      <c r="B2551" s="1" t="s">
        <v>19</v>
      </c>
      <c r="C2551" s="1" t="str">
        <f t="shared" si="49"/>
        <v>020085</v>
      </c>
      <c r="D2551" s="1" t="str">
        <f>"112209529"</f>
        <v>112209529</v>
      </c>
      <c r="E2551" s="1">
        <v>79</v>
      </c>
      <c r="F2551" s="1">
        <v>74</v>
      </c>
      <c r="H2551" s="1">
        <v>77</v>
      </c>
    </row>
    <row r="2552" s="1" customFormat="1" spans="1:8">
      <c r="A2552" s="1" t="s">
        <v>15</v>
      </c>
      <c r="B2552" s="1" t="s">
        <v>19</v>
      </c>
      <c r="C2552" s="1" t="str">
        <f t="shared" si="49"/>
        <v>020085</v>
      </c>
      <c r="D2552" s="1" t="str">
        <f>"112209530"</f>
        <v>112209530</v>
      </c>
      <c r="E2552" s="1">
        <v>74</v>
      </c>
      <c r="F2552" s="1">
        <v>82.5</v>
      </c>
      <c r="H2552" s="1">
        <v>77.4</v>
      </c>
    </row>
    <row r="2553" s="1" customFormat="1" spans="1:8">
      <c r="A2553" s="1" t="s">
        <v>15</v>
      </c>
      <c r="B2553" s="1" t="s">
        <v>19</v>
      </c>
      <c r="C2553" s="1" t="str">
        <f t="shared" si="49"/>
        <v>020085</v>
      </c>
      <c r="D2553" s="1" t="str">
        <f>"112209601"</f>
        <v>112209601</v>
      </c>
      <c r="E2553" s="1">
        <v>73</v>
      </c>
      <c r="F2553" s="1">
        <v>53</v>
      </c>
      <c r="H2553" s="1">
        <v>65</v>
      </c>
    </row>
    <row r="2554" s="1" customFormat="1" spans="1:8">
      <c r="A2554" s="1" t="s">
        <v>15</v>
      </c>
      <c r="B2554" s="1" t="s">
        <v>19</v>
      </c>
      <c r="C2554" s="1" t="str">
        <f t="shared" si="49"/>
        <v>020085</v>
      </c>
      <c r="D2554" s="1" t="str">
        <f>"112209602"</f>
        <v>112209602</v>
      </c>
      <c r="E2554" s="1">
        <v>64.5</v>
      </c>
      <c r="F2554" s="1">
        <v>60.5</v>
      </c>
      <c r="H2554" s="1">
        <v>62.9</v>
      </c>
    </row>
    <row r="2555" s="1" customFormat="1" spans="1:8">
      <c r="A2555" s="1" t="s">
        <v>15</v>
      </c>
      <c r="B2555" s="1" t="s">
        <v>19</v>
      </c>
      <c r="C2555" s="1" t="str">
        <f t="shared" si="49"/>
        <v>020085</v>
      </c>
      <c r="D2555" s="1" t="str">
        <f>"112209603"</f>
        <v>112209603</v>
      </c>
      <c r="E2555" s="1">
        <v>60</v>
      </c>
      <c r="F2555" s="1">
        <v>60.5</v>
      </c>
      <c r="H2555" s="1">
        <v>60.2</v>
      </c>
    </row>
    <row r="2556" s="1" customFormat="1" spans="1:8">
      <c r="A2556" s="1" t="s">
        <v>15</v>
      </c>
      <c r="B2556" s="1" t="s">
        <v>19</v>
      </c>
      <c r="C2556" s="1" t="str">
        <f t="shared" si="49"/>
        <v>020085</v>
      </c>
      <c r="D2556" s="1" t="str">
        <f>"112209604"</f>
        <v>112209604</v>
      </c>
      <c r="E2556" s="1">
        <v>62</v>
      </c>
      <c r="F2556" s="1">
        <v>68.5</v>
      </c>
      <c r="H2556" s="1">
        <v>64.6</v>
      </c>
    </row>
    <row r="2557" s="1" customFormat="1" spans="1:8">
      <c r="A2557" s="1" t="s">
        <v>15</v>
      </c>
      <c r="B2557" s="1" t="s">
        <v>19</v>
      </c>
      <c r="C2557" s="1" t="str">
        <f t="shared" si="49"/>
        <v>020085</v>
      </c>
      <c r="D2557" s="1" t="str">
        <f>"112209605"</f>
        <v>112209605</v>
      </c>
      <c r="E2557" s="1">
        <v>72.5</v>
      </c>
      <c r="F2557" s="1">
        <v>72</v>
      </c>
      <c r="H2557" s="1">
        <v>72.3</v>
      </c>
    </row>
    <row r="2558" s="1" customFormat="1" spans="1:8">
      <c r="A2558" s="1" t="s">
        <v>15</v>
      </c>
      <c r="B2558" s="1" t="s">
        <v>19</v>
      </c>
      <c r="C2558" s="1" t="str">
        <f t="shared" si="49"/>
        <v>020085</v>
      </c>
      <c r="D2558" s="1" t="str">
        <f>"112209606"</f>
        <v>112209606</v>
      </c>
      <c r="E2558" s="1">
        <v>83</v>
      </c>
      <c r="F2558" s="1">
        <v>80.5</v>
      </c>
      <c r="H2558" s="1">
        <v>82</v>
      </c>
    </row>
    <row r="2559" s="1" customFormat="1" spans="1:8">
      <c r="A2559" s="1" t="s">
        <v>15</v>
      </c>
      <c r="B2559" s="1" t="s">
        <v>19</v>
      </c>
      <c r="C2559" s="1" t="str">
        <f t="shared" si="49"/>
        <v>020085</v>
      </c>
      <c r="D2559" s="1" t="str">
        <f>"112209607"</f>
        <v>112209607</v>
      </c>
      <c r="E2559" s="1">
        <v>57.5</v>
      </c>
      <c r="F2559" s="1">
        <v>59</v>
      </c>
      <c r="H2559" s="1">
        <v>58.1</v>
      </c>
    </row>
    <row r="2560" s="1" customFormat="1" spans="1:8">
      <c r="A2560" s="1" t="s">
        <v>15</v>
      </c>
      <c r="B2560" s="1" t="s">
        <v>19</v>
      </c>
      <c r="C2560" s="1" t="str">
        <f t="shared" si="49"/>
        <v>020085</v>
      </c>
      <c r="D2560" s="1" t="str">
        <f>"112209608"</f>
        <v>112209608</v>
      </c>
      <c r="E2560" s="1">
        <v>72</v>
      </c>
      <c r="F2560" s="1">
        <v>80</v>
      </c>
      <c r="H2560" s="1">
        <v>75.2</v>
      </c>
    </row>
    <row r="2561" s="1" customFormat="1" spans="1:8">
      <c r="A2561" s="1" t="s">
        <v>15</v>
      </c>
      <c r="B2561" s="1" t="s">
        <v>19</v>
      </c>
      <c r="C2561" s="1" t="str">
        <f t="shared" si="49"/>
        <v>020085</v>
      </c>
      <c r="D2561" s="1" t="str">
        <f>"112209609"</f>
        <v>112209609</v>
      </c>
      <c r="E2561" s="1">
        <v>66</v>
      </c>
      <c r="F2561" s="1">
        <v>70.5</v>
      </c>
      <c r="H2561" s="1">
        <v>67.8</v>
      </c>
    </row>
    <row r="2562" s="1" customFormat="1" spans="1:8">
      <c r="A2562" s="1" t="s">
        <v>15</v>
      </c>
      <c r="B2562" s="1" t="s">
        <v>19</v>
      </c>
      <c r="C2562" s="1" t="str">
        <f t="shared" si="49"/>
        <v>020085</v>
      </c>
      <c r="D2562" s="1" t="str">
        <f>"112209610"</f>
        <v>112209610</v>
      </c>
      <c r="E2562" s="1">
        <v>62.5</v>
      </c>
      <c r="F2562" s="1">
        <v>62.5</v>
      </c>
      <c r="H2562" s="1">
        <v>62.5</v>
      </c>
    </row>
    <row r="2563" s="1" customFormat="1" spans="1:8">
      <c r="A2563" s="1" t="s">
        <v>15</v>
      </c>
      <c r="B2563" s="1" t="s">
        <v>19</v>
      </c>
      <c r="C2563" s="1" t="str">
        <f t="shared" si="49"/>
        <v>020085</v>
      </c>
      <c r="D2563" s="1" t="str">
        <f>"112209611"</f>
        <v>112209611</v>
      </c>
      <c r="E2563" s="1">
        <v>65.5</v>
      </c>
      <c r="F2563" s="1">
        <v>59</v>
      </c>
      <c r="H2563" s="1">
        <v>62.9</v>
      </c>
    </row>
    <row r="2564" s="1" customFormat="1" spans="1:8">
      <c r="A2564" s="1" t="s">
        <v>15</v>
      </c>
      <c r="B2564" s="1" t="s">
        <v>19</v>
      </c>
      <c r="C2564" s="1" t="str">
        <f t="shared" si="49"/>
        <v>020085</v>
      </c>
      <c r="D2564" s="1" t="str">
        <f>"112209612"</f>
        <v>112209612</v>
      </c>
      <c r="E2564" s="1">
        <v>0</v>
      </c>
      <c r="F2564" s="1">
        <v>0</v>
      </c>
      <c r="H2564" s="1">
        <v>0</v>
      </c>
    </row>
    <row r="2565" s="1" customFormat="1" spans="1:8">
      <c r="A2565" s="1" t="s">
        <v>15</v>
      </c>
      <c r="B2565" s="1" t="s">
        <v>19</v>
      </c>
      <c r="C2565" s="1" t="str">
        <f t="shared" si="49"/>
        <v>020085</v>
      </c>
      <c r="D2565" s="1" t="str">
        <f>"112209613"</f>
        <v>112209613</v>
      </c>
      <c r="E2565" s="1">
        <v>73</v>
      </c>
      <c r="F2565" s="1">
        <v>62</v>
      </c>
      <c r="H2565" s="1">
        <v>68.6</v>
      </c>
    </row>
    <row r="2566" s="1" customFormat="1" spans="1:8">
      <c r="A2566" s="1" t="s">
        <v>15</v>
      </c>
      <c r="B2566" s="1" t="s">
        <v>19</v>
      </c>
      <c r="C2566" s="1" t="str">
        <f t="shared" si="49"/>
        <v>020085</v>
      </c>
      <c r="D2566" s="1" t="str">
        <f>"112209614"</f>
        <v>112209614</v>
      </c>
      <c r="E2566" s="1">
        <v>61.5</v>
      </c>
      <c r="F2566" s="1">
        <v>57.5</v>
      </c>
      <c r="H2566" s="1">
        <v>59.9</v>
      </c>
    </row>
    <row r="2567" s="1" customFormat="1" spans="1:8">
      <c r="A2567" s="1" t="s">
        <v>15</v>
      </c>
      <c r="B2567" s="1" t="s">
        <v>19</v>
      </c>
      <c r="C2567" s="1" t="str">
        <f t="shared" si="49"/>
        <v>020085</v>
      </c>
      <c r="D2567" s="1" t="str">
        <f>"112209615"</f>
        <v>112209615</v>
      </c>
      <c r="E2567" s="1">
        <v>0</v>
      </c>
      <c r="F2567" s="1">
        <v>0</v>
      </c>
      <c r="H2567" s="1">
        <v>0</v>
      </c>
    </row>
    <row r="2568" s="1" customFormat="1" spans="1:8">
      <c r="A2568" s="1" t="s">
        <v>15</v>
      </c>
      <c r="B2568" s="1" t="s">
        <v>19</v>
      </c>
      <c r="C2568" s="1" t="str">
        <f t="shared" si="49"/>
        <v>020085</v>
      </c>
      <c r="D2568" s="1" t="str">
        <f>"112209616"</f>
        <v>112209616</v>
      </c>
      <c r="E2568" s="1">
        <v>0</v>
      </c>
      <c r="F2568" s="1">
        <v>0</v>
      </c>
      <c r="H2568" s="1">
        <v>0</v>
      </c>
    </row>
    <row r="2569" s="1" customFormat="1" spans="1:8">
      <c r="A2569" s="1" t="s">
        <v>15</v>
      </c>
      <c r="B2569" s="1" t="s">
        <v>19</v>
      </c>
      <c r="C2569" s="1" t="str">
        <f t="shared" si="49"/>
        <v>020085</v>
      </c>
      <c r="D2569" s="1" t="str">
        <f>"112209617"</f>
        <v>112209617</v>
      </c>
      <c r="E2569" s="1">
        <v>85</v>
      </c>
      <c r="F2569" s="1">
        <v>93</v>
      </c>
      <c r="H2569" s="1">
        <v>88.2</v>
      </c>
    </row>
    <row r="2570" s="1" customFormat="1" spans="1:8">
      <c r="A2570" s="1" t="s">
        <v>15</v>
      </c>
      <c r="B2570" s="1" t="s">
        <v>19</v>
      </c>
      <c r="C2570" s="1" t="str">
        <f t="shared" si="49"/>
        <v>020085</v>
      </c>
      <c r="D2570" s="1" t="str">
        <f>"112209618"</f>
        <v>112209618</v>
      </c>
      <c r="E2570" s="1">
        <v>0</v>
      </c>
      <c r="F2570" s="1">
        <v>0</v>
      </c>
      <c r="H2570" s="1">
        <v>0</v>
      </c>
    </row>
    <row r="2571" s="1" customFormat="1" spans="1:8">
      <c r="A2571" s="1" t="s">
        <v>15</v>
      </c>
      <c r="B2571" s="1" t="s">
        <v>19</v>
      </c>
      <c r="C2571" s="1" t="str">
        <f t="shared" si="49"/>
        <v>020085</v>
      </c>
      <c r="D2571" s="1" t="str">
        <f>"112209619"</f>
        <v>112209619</v>
      </c>
      <c r="E2571" s="1">
        <v>0</v>
      </c>
      <c r="F2571" s="1">
        <v>0</v>
      </c>
      <c r="H2571" s="1">
        <v>0</v>
      </c>
    </row>
    <row r="2572" s="1" customFormat="1" spans="1:8">
      <c r="A2572" s="1" t="s">
        <v>15</v>
      </c>
      <c r="B2572" s="1" t="s">
        <v>19</v>
      </c>
      <c r="C2572" s="1" t="str">
        <f t="shared" si="49"/>
        <v>020085</v>
      </c>
      <c r="D2572" s="1" t="str">
        <f>"112209620"</f>
        <v>112209620</v>
      </c>
      <c r="E2572" s="1">
        <v>59</v>
      </c>
      <c r="F2572" s="1">
        <v>53</v>
      </c>
      <c r="H2572" s="1">
        <v>56.6</v>
      </c>
    </row>
    <row r="2573" s="1" customFormat="1" spans="1:8">
      <c r="A2573" s="1" t="s">
        <v>15</v>
      </c>
      <c r="B2573" s="1" t="s">
        <v>19</v>
      </c>
      <c r="C2573" s="1" t="str">
        <f t="shared" si="49"/>
        <v>020085</v>
      </c>
      <c r="D2573" s="1" t="str">
        <f>"112209621"</f>
        <v>112209621</v>
      </c>
      <c r="E2573" s="1">
        <v>72</v>
      </c>
      <c r="F2573" s="1">
        <v>81</v>
      </c>
      <c r="H2573" s="1">
        <v>75.6</v>
      </c>
    </row>
    <row r="2574" s="1" customFormat="1" spans="1:8">
      <c r="A2574" s="1" t="s">
        <v>15</v>
      </c>
      <c r="B2574" s="1" t="s">
        <v>19</v>
      </c>
      <c r="C2574" s="1" t="str">
        <f t="shared" si="49"/>
        <v>020085</v>
      </c>
      <c r="D2574" s="1" t="str">
        <f>"112209622"</f>
        <v>112209622</v>
      </c>
      <c r="E2574" s="1">
        <v>78</v>
      </c>
      <c r="F2574" s="1">
        <v>91</v>
      </c>
      <c r="H2574" s="1">
        <v>83.2</v>
      </c>
    </row>
    <row r="2575" s="1" customFormat="1" spans="1:8">
      <c r="A2575" s="1" t="s">
        <v>15</v>
      </c>
      <c r="B2575" s="1" t="s">
        <v>19</v>
      </c>
      <c r="C2575" s="1" t="str">
        <f t="shared" si="49"/>
        <v>020085</v>
      </c>
      <c r="D2575" s="1" t="str">
        <f>"112209623"</f>
        <v>112209623</v>
      </c>
      <c r="E2575" s="1">
        <v>0</v>
      </c>
      <c r="F2575" s="1">
        <v>0</v>
      </c>
      <c r="H2575" s="1">
        <v>0</v>
      </c>
    </row>
    <row r="2576" s="1" customFormat="1" spans="1:8">
      <c r="A2576" s="1" t="s">
        <v>15</v>
      </c>
      <c r="B2576" s="1" t="s">
        <v>19</v>
      </c>
      <c r="C2576" s="1" t="str">
        <f t="shared" si="49"/>
        <v>020085</v>
      </c>
      <c r="D2576" s="1" t="str">
        <f>"112209624"</f>
        <v>112209624</v>
      </c>
      <c r="E2576" s="1">
        <v>82.5</v>
      </c>
      <c r="F2576" s="1">
        <v>77</v>
      </c>
      <c r="H2576" s="1">
        <v>80.3</v>
      </c>
    </row>
    <row r="2577" s="1" customFormat="1" spans="1:8">
      <c r="A2577" s="1" t="s">
        <v>15</v>
      </c>
      <c r="B2577" s="1" t="s">
        <v>19</v>
      </c>
      <c r="C2577" s="1" t="str">
        <f t="shared" si="49"/>
        <v>020085</v>
      </c>
      <c r="D2577" s="1" t="str">
        <f>"112209625"</f>
        <v>112209625</v>
      </c>
      <c r="E2577" s="1">
        <v>84.5</v>
      </c>
      <c r="F2577" s="1">
        <v>85.5</v>
      </c>
      <c r="H2577" s="1">
        <v>84.9</v>
      </c>
    </row>
    <row r="2578" s="1" customFormat="1" spans="1:8">
      <c r="A2578" s="1" t="s">
        <v>15</v>
      </c>
      <c r="B2578" s="1" t="s">
        <v>19</v>
      </c>
      <c r="C2578" s="1" t="str">
        <f t="shared" si="49"/>
        <v>020085</v>
      </c>
      <c r="D2578" s="1" t="str">
        <f>"112209626"</f>
        <v>112209626</v>
      </c>
      <c r="E2578" s="1">
        <v>0</v>
      </c>
      <c r="F2578" s="1">
        <v>0</v>
      </c>
      <c r="H2578" s="1">
        <v>0</v>
      </c>
    </row>
    <row r="2579" s="1" customFormat="1" spans="1:8">
      <c r="A2579" s="1" t="s">
        <v>15</v>
      </c>
      <c r="B2579" s="1" t="s">
        <v>19</v>
      </c>
      <c r="C2579" s="1" t="str">
        <f t="shared" si="49"/>
        <v>020085</v>
      </c>
      <c r="D2579" s="1" t="str">
        <f>"112209627"</f>
        <v>112209627</v>
      </c>
      <c r="E2579" s="1">
        <v>0</v>
      </c>
      <c r="F2579" s="1">
        <v>0</v>
      </c>
      <c r="H2579" s="1">
        <v>0</v>
      </c>
    </row>
    <row r="2580" s="1" customFormat="1" spans="1:8">
      <c r="A2580" s="1" t="s">
        <v>15</v>
      </c>
      <c r="B2580" s="1" t="s">
        <v>19</v>
      </c>
      <c r="C2580" s="1" t="str">
        <f t="shared" si="49"/>
        <v>020085</v>
      </c>
      <c r="D2580" s="1" t="str">
        <f>"112209628"</f>
        <v>112209628</v>
      </c>
      <c r="E2580" s="1">
        <v>73.5</v>
      </c>
      <c r="F2580" s="1">
        <v>88</v>
      </c>
      <c r="H2580" s="1">
        <v>79.3</v>
      </c>
    </row>
    <row r="2581" s="1" customFormat="1" spans="1:8">
      <c r="A2581" s="1" t="s">
        <v>15</v>
      </c>
      <c r="B2581" s="1" t="s">
        <v>19</v>
      </c>
      <c r="C2581" s="1" t="str">
        <f t="shared" si="49"/>
        <v>020085</v>
      </c>
      <c r="D2581" s="1" t="str">
        <f>"112209629"</f>
        <v>112209629</v>
      </c>
      <c r="E2581" s="1">
        <v>70</v>
      </c>
      <c r="F2581" s="1">
        <v>69.5</v>
      </c>
      <c r="H2581" s="1">
        <v>69.8</v>
      </c>
    </row>
    <row r="2582" s="1" customFormat="1" spans="1:8">
      <c r="A2582" s="1" t="s">
        <v>15</v>
      </c>
      <c r="B2582" s="1" t="s">
        <v>19</v>
      </c>
      <c r="C2582" s="1" t="str">
        <f t="shared" si="49"/>
        <v>020085</v>
      </c>
      <c r="D2582" s="1" t="str">
        <f>"112209630"</f>
        <v>112209630</v>
      </c>
      <c r="E2582" s="1">
        <v>72</v>
      </c>
      <c r="F2582" s="1">
        <v>59</v>
      </c>
      <c r="H2582" s="1">
        <v>66.8</v>
      </c>
    </row>
    <row r="2583" s="1" customFormat="1" spans="1:8">
      <c r="A2583" s="1" t="s">
        <v>15</v>
      </c>
      <c r="B2583" s="1" t="s">
        <v>19</v>
      </c>
      <c r="C2583" s="1" t="str">
        <f t="shared" si="49"/>
        <v>020085</v>
      </c>
      <c r="D2583" s="1" t="str">
        <f>"112309701"</f>
        <v>112309701</v>
      </c>
      <c r="E2583" s="1">
        <v>0</v>
      </c>
      <c r="F2583" s="1">
        <v>0</v>
      </c>
      <c r="H2583" s="1">
        <v>0</v>
      </c>
    </row>
    <row r="2584" s="1" customFormat="1" spans="1:8">
      <c r="A2584" s="1" t="s">
        <v>15</v>
      </c>
      <c r="B2584" s="1" t="s">
        <v>19</v>
      </c>
      <c r="C2584" s="1" t="str">
        <f t="shared" si="49"/>
        <v>020085</v>
      </c>
      <c r="D2584" s="1" t="str">
        <f>"112309702"</f>
        <v>112309702</v>
      </c>
      <c r="E2584" s="1">
        <v>0</v>
      </c>
      <c r="F2584" s="1">
        <v>0</v>
      </c>
      <c r="H2584" s="1">
        <v>0</v>
      </c>
    </row>
    <row r="2585" s="1" customFormat="1" spans="1:8">
      <c r="A2585" s="1" t="s">
        <v>15</v>
      </c>
      <c r="B2585" s="1" t="s">
        <v>19</v>
      </c>
      <c r="C2585" s="1" t="str">
        <f t="shared" si="49"/>
        <v>020085</v>
      </c>
      <c r="D2585" s="1" t="str">
        <f>"112309703"</f>
        <v>112309703</v>
      </c>
      <c r="E2585" s="1">
        <v>62.5</v>
      </c>
      <c r="F2585" s="1">
        <v>62.5</v>
      </c>
      <c r="H2585" s="1">
        <v>62.5</v>
      </c>
    </row>
    <row r="2586" s="1" customFormat="1" spans="1:8">
      <c r="A2586" s="1" t="s">
        <v>15</v>
      </c>
      <c r="B2586" s="1" t="s">
        <v>19</v>
      </c>
      <c r="C2586" s="1" t="str">
        <f t="shared" si="49"/>
        <v>020085</v>
      </c>
      <c r="D2586" s="1" t="str">
        <f>"112309704"</f>
        <v>112309704</v>
      </c>
      <c r="E2586" s="1">
        <v>65.5</v>
      </c>
      <c r="F2586" s="1">
        <v>67.5</v>
      </c>
      <c r="H2586" s="1">
        <v>66.3</v>
      </c>
    </row>
    <row r="2587" s="1" customFormat="1" spans="1:8">
      <c r="A2587" s="1" t="s">
        <v>15</v>
      </c>
      <c r="B2587" s="1" t="s">
        <v>19</v>
      </c>
      <c r="C2587" s="1" t="str">
        <f t="shared" si="49"/>
        <v>020085</v>
      </c>
      <c r="D2587" s="1" t="str">
        <f>"112309705"</f>
        <v>112309705</v>
      </c>
      <c r="E2587" s="1">
        <v>0</v>
      </c>
      <c r="F2587" s="1">
        <v>0</v>
      </c>
      <c r="H2587" s="1">
        <v>0</v>
      </c>
    </row>
    <row r="2588" s="1" customFormat="1" spans="1:8">
      <c r="A2588" s="1" t="s">
        <v>15</v>
      </c>
      <c r="B2588" s="1" t="s">
        <v>19</v>
      </c>
      <c r="C2588" s="1" t="str">
        <f t="shared" si="49"/>
        <v>020085</v>
      </c>
      <c r="D2588" s="1" t="str">
        <f>"112309706"</f>
        <v>112309706</v>
      </c>
      <c r="E2588" s="1">
        <v>75</v>
      </c>
      <c r="F2588" s="1">
        <v>65</v>
      </c>
      <c r="H2588" s="1">
        <v>71</v>
      </c>
    </row>
    <row r="2589" s="1" customFormat="1" spans="1:8">
      <c r="A2589" s="1" t="s">
        <v>15</v>
      </c>
      <c r="B2589" s="1" t="s">
        <v>19</v>
      </c>
      <c r="C2589" s="1" t="str">
        <f t="shared" si="49"/>
        <v>020085</v>
      </c>
      <c r="D2589" s="1" t="str">
        <f>"112309707"</f>
        <v>112309707</v>
      </c>
      <c r="E2589" s="1">
        <v>59.5</v>
      </c>
      <c r="F2589" s="1">
        <v>56.5</v>
      </c>
      <c r="H2589" s="1">
        <v>58.3</v>
      </c>
    </row>
    <row r="2590" s="1" customFormat="1" spans="1:8">
      <c r="A2590" s="1" t="s">
        <v>15</v>
      </c>
      <c r="B2590" s="1" t="s">
        <v>19</v>
      </c>
      <c r="C2590" s="1" t="str">
        <f t="shared" si="49"/>
        <v>020085</v>
      </c>
      <c r="D2590" s="1" t="str">
        <f>"112309708"</f>
        <v>112309708</v>
      </c>
      <c r="E2590" s="1">
        <v>58</v>
      </c>
      <c r="F2590" s="1">
        <v>75</v>
      </c>
      <c r="H2590" s="1">
        <v>64.8</v>
      </c>
    </row>
    <row r="2591" s="1" customFormat="1" spans="1:8">
      <c r="A2591" s="1" t="s">
        <v>15</v>
      </c>
      <c r="B2591" s="1" t="s">
        <v>19</v>
      </c>
      <c r="C2591" s="1" t="str">
        <f t="shared" si="49"/>
        <v>020085</v>
      </c>
      <c r="D2591" s="1" t="str">
        <f>"112309709"</f>
        <v>112309709</v>
      </c>
      <c r="E2591" s="1">
        <v>69</v>
      </c>
      <c r="F2591" s="1">
        <v>67</v>
      </c>
      <c r="H2591" s="1">
        <v>68.2</v>
      </c>
    </row>
    <row r="2592" s="1" customFormat="1" spans="1:8">
      <c r="A2592" s="1" t="s">
        <v>15</v>
      </c>
      <c r="B2592" s="1" t="s">
        <v>19</v>
      </c>
      <c r="C2592" s="1" t="str">
        <f t="shared" si="49"/>
        <v>020085</v>
      </c>
      <c r="D2592" s="1" t="str">
        <f>"112309710"</f>
        <v>112309710</v>
      </c>
      <c r="E2592" s="1">
        <v>80</v>
      </c>
      <c r="F2592" s="1">
        <v>76.5</v>
      </c>
      <c r="H2592" s="1">
        <v>78.6</v>
      </c>
    </row>
    <row r="2593" s="1" customFormat="1" spans="1:8">
      <c r="A2593" s="1" t="s">
        <v>15</v>
      </c>
      <c r="B2593" s="1" t="s">
        <v>19</v>
      </c>
      <c r="C2593" s="1" t="str">
        <f t="shared" si="49"/>
        <v>020085</v>
      </c>
      <c r="D2593" s="1" t="str">
        <f>"112309711"</f>
        <v>112309711</v>
      </c>
      <c r="E2593" s="1">
        <v>81</v>
      </c>
      <c r="F2593" s="1">
        <v>94.5</v>
      </c>
      <c r="H2593" s="1">
        <v>86.4</v>
      </c>
    </row>
    <row r="2594" s="1" customFormat="1" spans="1:8">
      <c r="A2594" s="1" t="s">
        <v>15</v>
      </c>
      <c r="B2594" s="1" t="s">
        <v>19</v>
      </c>
      <c r="C2594" s="1" t="str">
        <f t="shared" ref="C2594:C2596" si="50">"020085"</f>
        <v>020085</v>
      </c>
      <c r="D2594" s="1" t="str">
        <f>"112309712"</f>
        <v>112309712</v>
      </c>
      <c r="E2594" s="1">
        <v>78</v>
      </c>
      <c r="F2594" s="1">
        <v>85.5</v>
      </c>
      <c r="H2594" s="1">
        <v>81</v>
      </c>
    </row>
    <row r="2595" s="1" customFormat="1" spans="1:8">
      <c r="A2595" s="1" t="s">
        <v>15</v>
      </c>
      <c r="B2595" s="1" t="s">
        <v>19</v>
      </c>
      <c r="C2595" s="1" t="str">
        <f t="shared" si="50"/>
        <v>020085</v>
      </c>
      <c r="D2595" s="1" t="str">
        <f>"112309713"</f>
        <v>112309713</v>
      </c>
      <c r="E2595" s="1">
        <v>66</v>
      </c>
      <c r="F2595" s="1">
        <v>58.5</v>
      </c>
      <c r="H2595" s="1">
        <v>63</v>
      </c>
    </row>
    <row r="2596" s="1" customFormat="1" spans="1:8">
      <c r="A2596" s="1" t="s">
        <v>15</v>
      </c>
      <c r="B2596" s="1" t="s">
        <v>19</v>
      </c>
      <c r="C2596" s="1" t="str">
        <f t="shared" si="50"/>
        <v>020085</v>
      </c>
      <c r="D2596" s="1" t="str">
        <f>"112309714"</f>
        <v>112309714</v>
      </c>
      <c r="E2596" s="1">
        <v>77.5</v>
      </c>
      <c r="F2596" s="1">
        <v>70</v>
      </c>
      <c r="H2596" s="1">
        <v>74.5</v>
      </c>
    </row>
    <row r="2597" s="1" customFormat="1" spans="1:8">
      <c r="A2597" s="1" t="s">
        <v>16</v>
      </c>
      <c r="B2597" s="1" t="s">
        <v>19</v>
      </c>
      <c r="C2597" s="1" t="str">
        <f t="shared" ref="C2597:C2660" si="51">"020088"</f>
        <v>020088</v>
      </c>
      <c r="D2597" s="1" t="str">
        <f>"112309715"</f>
        <v>112309715</v>
      </c>
      <c r="E2597" s="1">
        <v>68.5</v>
      </c>
      <c r="F2597" s="1">
        <v>75</v>
      </c>
      <c r="H2597" s="1">
        <v>71.1</v>
      </c>
    </row>
    <row r="2598" s="1" customFormat="1" spans="1:8">
      <c r="A2598" s="1" t="s">
        <v>16</v>
      </c>
      <c r="B2598" s="1" t="s">
        <v>19</v>
      </c>
      <c r="C2598" s="1" t="str">
        <f t="shared" si="51"/>
        <v>020088</v>
      </c>
      <c r="D2598" s="1" t="str">
        <f>"112309716"</f>
        <v>112309716</v>
      </c>
      <c r="E2598" s="1">
        <v>49</v>
      </c>
      <c r="F2598" s="1">
        <v>50.5</v>
      </c>
      <c r="H2598" s="1">
        <v>49.6</v>
      </c>
    </row>
    <row r="2599" s="1" customFormat="1" spans="1:8">
      <c r="A2599" s="1" t="s">
        <v>16</v>
      </c>
      <c r="B2599" s="1" t="s">
        <v>19</v>
      </c>
      <c r="C2599" s="1" t="str">
        <f t="shared" si="51"/>
        <v>020088</v>
      </c>
      <c r="D2599" s="1" t="str">
        <f>"112309717"</f>
        <v>112309717</v>
      </c>
      <c r="E2599" s="1">
        <v>77</v>
      </c>
      <c r="F2599" s="1">
        <v>51</v>
      </c>
      <c r="H2599" s="1">
        <v>66.6</v>
      </c>
    </row>
    <row r="2600" s="1" customFormat="1" spans="1:8">
      <c r="A2600" s="1" t="s">
        <v>16</v>
      </c>
      <c r="B2600" s="1" t="s">
        <v>19</v>
      </c>
      <c r="C2600" s="1" t="str">
        <f t="shared" si="51"/>
        <v>020088</v>
      </c>
      <c r="D2600" s="1" t="str">
        <f>"112309718"</f>
        <v>112309718</v>
      </c>
      <c r="E2600" s="1">
        <v>0</v>
      </c>
      <c r="F2600" s="1">
        <v>0</v>
      </c>
      <c r="H2600" s="1">
        <v>0</v>
      </c>
    </row>
    <row r="2601" s="1" customFormat="1" spans="1:8">
      <c r="A2601" s="1" t="s">
        <v>16</v>
      </c>
      <c r="B2601" s="1" t="s">
        <v>19</v>
      </c>
      <c r="C2601" s="1" t="str">
        <f t="shared" si="51"/>
        <v>020088</v>
      </c>
      <c r="D2601" s="1" t="str">
        <f>"112309719"</f>
        <v>112309719</v>
      </c>
      <c r="E2601" s="1">
        <v>76</v>
      </c>
      <c r="F2601" s="1">
        <v>0</v>
      </c>
      <c r="H2601" s="1">
        <v>45.6</v>
      </c>
    </row>
    <row r="2602" s="1" customFormat="1" spans="1:8">
      <c r="A2602" s="1" t="s">
        <v>16</v>
      </c>
      <c r="B2602" s="1" t="s">
        <v>19</v>
      </c>
      <c r="C2602" s="1" t="str">
        <f t="shared" si="51"/>
        <v>020088</v>
      </c>
      <c r="D2602" s="1" t="str">
        <f>"112309720"</f>
        <v>112309720</v>
      </c>
      <c r="E2602" s="1">
        <v>64</v>
      </c>
      <c r="F2602" s="1">
        <v>67</v>
      </c>
      <c r="H2602" s="1">
        <v>65.2</v>
      </c>
    </row>
    <row r="2603" s="1" customFormat="1" spans="1:8">
      <c r="A2603" s="1" t="s">
        <v>16</v>
      </c>
      <c r="B2603" s="1" t="s">
        <v>19</v>
      </c>
      <c r="C2603" s="1" t="str">
        <f t="shared" si="51"/>
        <v>020088</v>
      </c>
      <c r="D2603" s="1" t="str">
        <f>"112309721"</f>
        <v>112309721</v>
      </c>
      <c r="E2603" s="1">
        <v>52</v>
      </c>
      <c r="F2603" s="1">
        <v>54</v>
      </c>
      <c r="H2603" s="1">
        <v>52.8</v>
      </c>
    </row>
    <row r="2604" s="1" customFormat="1" spans="1:8">
      <c r="A2604" s="1" t="s">
        <v>16</v>
      </c>
      <c r="B2604" s="1" t="s">
        <v>19</v>
      </c>
      <c r="C2604" s="1" t="str">
        <f t="shared" si="51"/>
        <v>020088</v>
      </c>
      <c r="D2604" s="1" t="str">
        <f>"112309722"</f>
        <v>112309722</v>
      </c>
      <c r="E2604" s="1">
        <v>79.5</v>
      </c>
      <c r="F2604" s="1">
        <v>98</v>
      </c>
      <c r="H2604" s="1">
        <v>86.9</v>
      </c>
    </row>
    <row r="2605" s="1" customFormat="1" spans="1:8">
      <c r="A2605" s="1" t="s">
        <v>16</v>
      </c>
      <c r="B2605" s="1" t="s">
        <v>19</v>
      </c>
      <c r="C2605" s="1" t="str">
        <f t="shared" si="51"/>
        <v>020088</v>
      </c>
      <c r="D2605" s="1" t="str">
        <f>"112309723"</f>
        <v>112309723</v>
      </c>
      <c r="E2605" s="1">
        <v>68.5</v>
      </c>
      <c r="F2605" s="1">
        <v>90</v>
      </c>
      <c r="H2605" s="1">
        <v>77.1</v>
      </c>
    </row>
    <row r="2606" s="1" customFormat="1" spans="1:8">
      <c r="A2606" s="1" t="s">
        <v>16</v>
      </c>
      <c r="B2606" s="1" t="s">
        <v>19</v>
      </c>
      <c r="C2606" s="1" t="str">
        <f t="shared" si="51"/>
        <v>020088</v>
      </c>
      <c r="D2606" s="1" t="str">
        <f>"112309724"</f>
        <v>112309724</v>
      </c>
      <c r="E2606" s="1">
        <v>68.5</v>
      </c>
      <c r="F2606" s="1">
        <v>77.5</v>
      </c>
      <c r="H2606" s="1">
        <v>72.1</v>
      </c>
    </row>
    <row r="2607" s="1" customFormat="1" spans="1:8">
      <c r="A2607" s="1" t="s">
        <v>16</v>
      </c>
      <c r="B2607" s="1" t="s">
        <v>19</v>
      </c>
      <c r="C2607" s="1" t="str">
        <f t="shared" si="51"/>
        <v>020088</v>
      </c>
      <c r="D2607" s="1" t="str">
        <f>"112309725"</f>
        <v>112309725</v>
      </c>
      <c r="E2607" s="1">
        <v>67</v>
      </c>
      <c r="F2607" s="1">
        <v>62</v>
      </c>
      <c r="H2607" s="1">
        <v>65</v>
      </c>
    </row>
    <row r="2608" s="1" customFormat="1" spans="1:8">
      <c r="A2608" s="1" t="s">
        <v>16</v>
      </c>
      <c r="B2608" s="1" t="s">
        <v>19</v>
      </c>
      <c r="C2608" s="1" t="str">
        <f t="shared" si="51"/>
        <v>020088</v>
      </c>
      <c r="D2608" s="1" t="str">
        <f>"112309726"</f>
        <v>112309726</v>
      </c>
      <c r="E2608" s="1">
        <v>66</v>
      </c>
      <c r="F2608" s="1">
        <v>53</v>
      </c>
      <c r="H2608" s="1">
        <v>60.8</v>
      </c>
    </row>
    <row r="2609" s="1" customFormat="1" spans="1:8">
      <c r="A2609" s="1" t="s">
        <v>16</v>
      </c>
      <c r="B2609" s="1" t="s">
        <v>19</v>
      </c>
      <c r="C2609" s="1" t="str">
        <f t="shared" si="51"/>
        <v>020088</v>
      </c>
      <c r="D2609" s="1" t="str">
        <f>"112309727"</f>
        <v>112309727</v>
      </c>
      <c r="E2609" s="1">
        <v>72.5</v>
      </c>
      <c r="F2609" s="1">
        <v>77.5</v>
      </c>
      <c r="H2609" s="1">
        <v>74.5</v>
      </c>
    </row>
    <row r="2610" s="1" customFormat="1" spans="1:8">
      <c r="A2610" s="1" t="s">
        <v>16</v>
      </c>
      <c r="B2610" s="1" t="s">
        <v>19</v>
      </c>
      <c r="C2610" s="1" t="str">
        <f t="shared" si="51"/>
        <v>020088</v>
      </c>
      <c r="D2610" s="1" t="str">
        <f>"112309728"</f>
        <v>112309728</v>
      </c>
      <c r="E2610" s="1">
        <v>60.5</v>
      </c>
      <c r="F2610" s="1">
        <v>58.5</v>
      </c>
      <c r="H2610" s="1">
        <v>59.7</v>
      </c>
    </row>
    <row r="2611" s="1" customFormat="1" spans="1:8">
      <c r="A2611" s="1" t="s">
        <v>16</v>
      </c>
      <c r="B2611" s="1" t="s">
        <v>19</v>
      </c>
      <c r="C2611" s="1" t="str">
        <f t="shared" si="51"/>
        <v>020088</v>
      </c>
      <c r="D2611" s="1" t="str">
        <f>"112309729"</f>
        <v>112309729</v>
      </c>
      <c r="E2611" s="1">
        <v>74.5</v>
      </c>
      <c r="F2611" s="1">
        <v>85.5</v>
      </c>
      <c r="H2611" s="1">
        <v>78.9</v>
      </c>
    </row>
    <row r="2612" s="1" customFormat="1" spans="1:8">
      <c r="A2612" s="1" t="s">
        <v>16</v>
      </c>
      <c r="B2612" s="1" t="s">
        <v>19</v>
      </c>
      <c r="C2612" s="1" t="str">
        <f t="shared" si="51"/>
        <v>020088</v>
      </c>
      <c r="D2612" s="1" t="str">
        <f>"112309730"</f>
        <v>112309730</v>
      </c>
      <c r="E2612" s="1">
        <v>87</v>
      </c>
      <c r="F2612" s="1">
        <v>78.5</v>
      </c>
      <c r="H2612" s="1">
        <v>83.6</v>
      </c>
    </row>
    <row r="2613" s="1" customFormat="1" spans="1:8">
      <c r="A2613" s="1" t="s">
        <v>16</v>
      </c>
      <c r="B2613" s="1" t="s">
        <v>19</v>
      </c>
      <c r="C2613" s="1" t="str">
        <f t="shared" si="51"/>
        <v>020088</v>
      </c>
      <c r="D2613" s="1" t="str">
        <f>"112309801"</f>
        <v>112309801</v>
      </c>
      <c r="E2613" s="1">
        <v>61</v>
      </c>
      <c r="F2613" s="1">
        <v>61</v>
      </c>
      <c r="H2613" s="1">
        <v>61</v>
      </c>
    </row>
    <row r="2614" s="1" customFormat="1" spans="1:8">
      <c r="A2614" s="1" t="s">
        <v>16</v>
      </c>
      <c r="B2614" s="1" t="s">
        <v>19</v>
      </c>
      <c r="C2614" s="1" t="str">
        <f t="shared" si="51"/>
        <v>020088</v>
      </c>
      <c r="D2614" s="1" t="str">
        <f>"112309802"</f>
        <v>112309802</v>
      </c>
      <c r="E2614" s="1">
        <v>64.5</v>
      </c>
      <c r="F2614" s="1">
        <v>60.5</v>
      </c>
      <c r="H2614" s="1">
        <v>62.9</v>
      </c>
    </row>
    <row r="2615" s="1" customFormat="1" spans="1:8">
      <c r="A2615" s="1" t="s">
        <v>16</v>
      </c>
      <c r="B2615" s="1" t="s">
        <v>19</v>
      </c>
      <c r="C2615" s="1" t="str">
        <f t="shared" si="51"/>
        <v>020088</v>
      </c>
      <c r="D2615" s="1" t="str">
        <f>"112309803"</f>
        <v>112309803</v>
      </c>
      <c r="E2615" s="1">
        <v>0</v>
      </c>
      <c r="F2615" s="1">
        <v>0</v>
      </c>
      <c r="H2615" s="1">
        <v>0</v>
      </c>
    </row>
    <row r="2616" s="1" customFormat="1" spans="1:8">
      <c r="A2616" s="1" t="s">
        <v>16</v>
      </c>
      <c r="B2616" s="1" t="s">
        <v>19</v>
      </c>
      <c r="C2616" s="1" t="str">
        <f t="shared" si="51"/>
        <v>020088</v>
      </c>
      <c r="D2616" s="1" t="str">
        <f>"112309804"</f>
        <v>112309804</v>
      </c>
      <c r="E2616" s="1">
        <v>73.5</v>
      </c>
      <c r="F2616" s="1">
        <v>67</v>
      </c>
      <c r="H2616" s="1">
        <v>70.9</v>
      </c>
    </row>
    <row r="2617" s="1" customFormat="1" spans="1:8">
      <c r="A2617" s="1" t="s">
        <v>16</v>
      </c>
      <c r="B2617" s="1" t="s">
        <v>19</v>
      </c>
      <c r="C2617" s="1" t="str">
        <f t="shared" si="51"/>
        <v>020088</v>
      </c>
      <c r="D2617" s="1" t="str">
        <f>"112309805"</f>
        <v>112309805</v>
      </c>
      <c r="E2617" s="1">
        <v>0</v>
      </c>
      <c r="F2617" s="1">
        <v>0</v>
      </c>
      <c r="H2617" s="1">
        <v>0</v>
      </c>
    </row>
    <row r="2618" s="1" customFormat="1" spans="1:8">
      <c r="A2618" s="1" t="s">
        <v>16</v>
      </c>
      <c r="B2618" s="1" t="s">
        <v>19</v>
      </c>
      <c r="C2618" s="1" t="str">
        <f t="shared" si="51"/>
        <v>020088</v>
      </c>
      <c r="D2618" s="1" t="str">
        <f>"112309806"</f>
        <v>112309806</v>
      </c>
      <c r="E2618" s="1">
        <v>60</v>
      </c>
      <c r="F2618" s="1">
        <v>75</v>
      </c>
      <c r="H2618" s="1">
        <v>66</v>
      </c>
    </row>
    <row r="2619" s="1" customFormat="1" spans="1:8">
      <c r="A2619" s="1" t="s">
        <v>16</v>
      </c>
      <c r="B2619" s="1" t="s">
        <v>19</v>
      </c>
      <c r="C2619" s="1" t="str">
        <f t="shared" si="51"/>
        <v>020088</v>
      </c>
      <c r="D2619" s="1" t="str">
        <f>"112309807"</f>
        <v>112309807</v>
      </c>
      <c r="E2619" s="1">
        <v>15</v>
      </c>
      <c r="F2619" s="1">
        <v>63</v>
      </c>
      <c r="H2619" s="1">
        <v>34.2</v>
      </c>
    </row>
    <row r="2620" s="1" customFormat="1" spans="1:8">
      <c r="A2620" s="1" t="s">
        <v>16</v>
      </c>
      <c r="B2620" s="1" t="s">
        <v>19</v>
      </c>
      <c r="C2620" s="1" t="str">
        <f t="shared" si="51"/>
        <v>020088</v>
      </c>
      <c r="D2620" s="1" t="str">
        <f>"112309808"</f>
        <v>112309808</v>
      </c>
      <c r="E2620" s="1">
        <v>80.5</v>
      </c>
      <c r="F2620" s="1">
        <v>67</v>
      </c>
      <c r="H2620" s="1">
        <v>75.1</v>
      </c>
    </row>
    <row r="2621" s="1" customFormat="1" spans="1:8">
      <c r="A2621" s="1" t="s">
        <v>16</v>
      </c>
      <c r="B2621" s="1" t="s">
        <v>19</v>
      </c>
      <c r="C2621" s="1" t="str">
        <f t="shared" si="51"/>
        <v>020088</v>
      </c>
      <c r="D2621" s="1" t="str">
        <f>"112309809"</f>
        <v>112309809</v>
      </c>
      <c r="E2621" s="1">
        <v>92</v>
      </c>
      <c r="F2621" s="1">
        <v>91.5</v>
      </c>
      <c r="H2621" s="1">
        <v>91.8</v>
      </c>
    </row>
    <row r="2622" s="1" customFormat="1" spans="1:8">
      <c r="A2622" s="1" t="s">
        <v>16</v>
      </c>
      <c r="B2622" s="1" t="s">
        <v>19</v>
      </c>
      <c r="C2622" s="1" t="str">
        <f t="shared" si="51"/>
        <v>020088</v>
      </c>
      <c r="D2622" s="1" t="str">
        <f>"112309810"</f>
        <v>112309810</v>
      </c>
      <c r="E2622" s="1">
        <v>82</v>
      </c>
      <c r="F2622" s="1">
        <v>91.5</v>
      </c>
      <c r="H2622" s="1">
        <v>85.8</v>
      </c>
    </row>
    <row r="2623" s="1" customFormat="1" spans="1:8">
      <c r="A2623" s="1" t="s">
        <v>16</v>
      </c>
      <c r="B2623" s="1" t="s">
        <v>19</v>
      </c>
      <c r="C2623" s="1" t="str">
        <f t="shared" si="51"/>
        <v>020088</v>
      </c>
      <c r="D2623" s="1" t="str">
        <f>"112309811"</f>
        <v>112309811</v>
      </c>
      <c r="E2623" s="1">
        <v>62.5</v>
      </c>
      <c r="F2623" s="1">
        <v>72.5</v>
      </c>
      <c r="H2623" s="1">
        <v>66.5</v>
      </c>
    </row>
    <row r="2624" s="1" customFormat="1" spans="1:8">
      <c r="A2624" s="1" t="s">
        <v>16</v>
      </c>
      <c r="B2624" s="1" t="s">
        <v>19</v>
      </c>
      <c r="C2624" s="1" t="str">
        <f t="shared" si="51"/>
        <v>020088</v>
      </c>
      <c r="D2624" s="1" t="str">
        <f>"112309812"</f>
        <v>112309812</v>
      </c>
      <c r="E2624" s="1">
        <v>0</v>
      </c>
      <c r="F2624" s="1">
        <v>0</v>
      </c>
      <c r="H2624" s="1">
        <v>0</v>
      </c>
    </row>
    <row r="2625" s="1" customFormat="1" spans="1:8">
      <c r="A2625" s="1" t="s">
        <v>16</v>
      </c>
      <c r="B2625" s="1" t="s">
        <v>19</v>
      </c>
      <c r="C2625" s="1" t="str">
        <f t="shared" si="51"/>
        <v>020088</v>
      </c>
      <c r="D2625" s="1" t="str">
        <f>"112309813"</f>
        <v>112309813</v>
      </c>
      <c r="E2625" s="1">
        <v>70.5</v>
      </c>
      <c r="F2625" s="1">
        <v>58.5</v>
      </c>
      <c r="H2625" s="1">
        <v>65.7</v>
      </c>
    </row>
    <row r="2626" s="1" customFormat="1" spans="1:8">
      <c r="A2626" s="1" t="s">
        <v>16</v>
      </c>
      <c r="B2626" s="1" t="s">
        <v>19</v>
      </c>
      <c r="C2626" s="1" t="str">
        <f t="shared" si="51"/>
        <v>020088</v>
      </c>
      <c r="D2626" s="1" t="str">
        <f>"112309814"</f>
        <v>112309814</v>
      </c>
      <c r="E2626" s="1">
        <v>67</v>
      </c>
      <c r="F2626" s="1">
        <v>86</v>
      </c>
      <c r="H2626" s="1">
        <v>74.6</v>
      </c>
    </row>
    <row r="2627" s="1" customFormat="1" spans="1:8">
      <c r="A2627" s="1" t="s">
        <v>16</v>
      </c>
      <c r="B2627" s="1" t="s">
        <v>19</v>
      </c>
      <c r="C2627" s="1" t="str">
        <f t="shared" si="51"/>
        <v>020088</v>
      </c>
      <c r="D2627" s="1" t="str">
        <f>"112309815"</f>
        <v>112309815</v>
      </c>
      <c r="E2627" s="1">
        <v>0</v>
      </c>
      <c r="F2627" s="1">
        <v>0</v>
      </c>
      <c r="H2627" s="1">
        <v>0</v>
      </c>
    </row>
    <row r="2628" s="1" customFormat="1" spans="1:8">
      <c r="A2628" s="1" t="s">
        <v>16</v>
      </c>
      <c r="B2628" s="1" t="s">
        <v>19</v>
      </c>
      <c r="C2628" s="1" t="str">
        <f t="shared" si="51"/>
        <v>020088</v>
      </c>
      <c r="D2628" s="1" t="str">
        <f>"112309816"</f>
        <v>112309816</v>
      </c>
      <c r="E2628" s="1">
        <v>0</v>
      </c>
      <c r="F2628" s="1">
        <v>0</v>
      </c>
      <c r="H2628" s="1">
        <v>0</v>
      </c>
    </row>
    <row r="2629" s="1" customFormat="1" spans="1:8">
      <c r="A2629" s="1" t="s">
        <v>16</v>
      </c>
      <c r="B2629" s="1" t="s">
        <v>19</v>
      </c>
      <c r="C2629" s="1" t="str">
        <f t="shared" si="51"/>
        <v>020088</v>
      </c>
      <c r="D2629" s="1" t="str">
        <f>"112309817"</f>
        <v>112309817</v>
      </c>
      <c r="E2629" s="1">
        <v>62.5</v>
      </c>
      <c r="F2629" s="1">
        <v>68.5</v>
      </c>
      <c r="H2629" s="1">
        <v>64.9</v>
      </c>
    </row>
    <row r="2630" s="1" customFormat="1" spans="1:8">
      <c r="A2630" s="1" t="s">
        <v>16</v>
      </c>
      <c r="B2630" s="1" t="s">
        <v>19</v>
      </c>
      <c r="C2630" s="1" t="str">
        <f t="shared" si="51"/>
        <v>020088</v>
      </c>
      <c r="D2630" s="1" t="str">
        <f>"112309818"</f>
        <v>112309818</v>
      </c>
      <c r="E2630" s="1">
        <v>0</v>
      </c>
      <c r="F2630" s="1">
        <v>0</v>
      </c>
      <c r="H2630" s="1">
        <v>0</v>
      </c>
    </row>
    <row r="2631" s="1" customFormat="1" spans="1:8">
      <c r="A2631" s="1" t="s">
        <v>16</v>
      </c>
      <c r="B2631" s="1" t="s">
        <v>19</v>
      </c>
      <c r="C2631" s="1" t="str">
        <f t="shared" si="51"/>
        <v>020088</v>
      </c>
      <c r="D2631" s="1" t="str">
        <f>"112309819"</f>
        <v>112309819</v>
      </c>
      <c r="E2631" s="1">
        <v>75.5</v>
      </c>
      <c r="F2631" s="1">
        <v>56.5</v>
      </c>
      <c r="H2631" s="1">
        <v>67.9</v>
      </c>
    </row>
    <row r="2632" s="1" customFormat="1" spans="1:8">
      <c r="A2632" s="1" t="s">
        <v>16</v>
      </c>
      <c r="B2632" s="1" t="s">
        <v>19</v>
      </c>
      <c r="C2632" s="1" t="str">
        <f t="shared" si="51"/>
        <v>020088</v>
      </c>
      <c r="D2632" s="1" t="str">
        <f>"112309820"</f>
        <v>112309820</v>
      </c>
      <c r="E2632" s="1">
        <v>67.5</v>
      </c>
      <c r="F2632" s="1">
        <v>69</v>
      </c>
      <c r="H2632" s="1">
        <v>68.1</v>
      </c>
    </row>
    <row r="2633" s="1" customFormat="1" spans="1:8">
      <c r="A2633" s="1" t="s">
        <v>16</v>
      </c>
      <c r="B2633" s="1" t="s">
        <v>19</v>
      </c>
      <c r="C2633" s="1" t="str">
        <f t="shared" si="51"/>
        <v>020088</v>
      </c>
      <c r="D2633" s="1" t="str">
        <f>"112309821"</f>
        <v>112309821</v>
      </c>
      <c r="E2633" s="1">
        <v>68</v>
      </c>
      <c r="F2633" s="1">
        <v>91</v>
      </c>
      <c r="H2633" s="1">
        <v>77.2</v>
      </c>
    </row>
    <row r="2634" s="1" customFormat="1" spans="1:8">
      <c r="A2634" s="1" t="s">
        <v>16</v>
      </c>
      <c r="B2634" s="1" t="s">
        <v>19</v>
      </c>
      <c r="C2634" s="1" t="str">
        <f t="shared" si="51"/>
        <v>020088</v>
      </c>
      <c r="D2634" s="1" t="str">
        <f>"112309822"</f>
        <v>112309822</v>
      </c>
      <c r="E2634" s="1">
        <v>80.5</v>
      </c>
      <c r="F2634" s="1">
        <v>74</v>
      </c>
      <c r="H2634" s="1">
        <v>77.9</v>
      </c>
    </row>
    <row r="2635" s="1" customFormat="1" spans="1:8">
      <c r="A2635" s="1" t="s">
        <v>16</v>
      </c>
      <c r="B2635" s="1" t="s">
        <v>19</v>
      </c>
      <c r="C2635" s="1" t="str">
        <f t="shared" si="51"/>
        <v>020088</v>
      </c>
      <c r="D2635" s="1" t="str">
        <f>"112309823"</f>
        <v>112309823</v>
      </c>
      <c r="E2635" s="1">
        <v>60</v>
      </c>
      <c r="F2635" s="1">
        <v>74</v>
      </c>
      <c r="H2635" s="1">
        <v>65.6</v>
      </c>
    </row>
    <row r="2636" s="1" customFormat="1" spans="1:8">
      <c r="A2636" s="1" t="s">
        <v>16</v>
      </c>
      <c r="B2636" s="1" t="s">
        <v>19</v>
      </c>
      <c r="C2636" s="1" t="str">
        <f t="shared" si="51"/>
        <v>020088</v>
      </c>
      <c r="D2636" s="1" t="str">
        <f>"112309824"</f>
        <v>112309824</v>
      </c>
      <c r="E2636" s="1">
        <v>68</v>
      </c>
      <c r="F2636" s="1">
        <v>64.5</v>
      </c>
      <c r="H2636" s="1">
        <v>66.6</v>
      </c>
    </row>
    <row r="2637" s="1" customFormat="1" spans="1:8">
      <c r="A2637" s="1" t="s">
        <v>16</v>
      </c>
      <c r="B2637" s="1" t="s">
        <v>19</v>
      </c>
      <c r="C2637" s="1" t="str">
        <f t="shared" si="51"/>
        <v>020088</v>
      </c>
      <c r="D2637" s="1" t="str">
        <f>"112309825"</f>
        <v>112309825</v>
      </c>
      <c r="E2637" s="1">
        <v>83</v>
      </c>
      <c r="F2637" s="1">
        <v>91</v>
      </c>
      <c r="H2637" s="1">
        <v>86.2</v>
      </c>
    </row>
    <row r="2638" s="1" customFormat="1" spans="1:8">
      <c r="A2638" s="1" t="s">
        <v>16</v>
      </c>
      <c r="B2638" s="1" t="s">
        <v>19</v>
      </c>
      <c r="C2638" s="1" t="str">
        <f t="shared" si="51"/>
        <v>020088</v>
      </c>
      <c r="D2638" s="1" t="str">
        <f>"112309826"</f>
        <v>112309826</v>
      </c>
      <c r="E2638" s="1">
        <v>82</v>
      </c>
      <c r="F2638" s="1">
        <v>81</v>
      </c>
      <c r="H2638" s="1">
        <v>81.6</v>
      </c>
    </row>
    <row r="2639" s="1" customFormat="1" spans="1:8">
      <c r="A2639" s="1" t="s">
        <v>16</v>
      </c>
      <c r="B2639" s="1" t="s">
        <v>19</v>
      </c>
      <c r="C2639" s="1" t="str">
        <f t="shared" si="51"/>
        <v>020088</v>
      </c>
      <c r="D2639" s="1" t="str">
        <f>"112309827"</f>
        <v>112309827</v>
      </c>
      <c r="E2639" s="1">
        <v>64.5</v>
      </c>
      <c r="F2639" s="1">
        <v>64</v>
      </c>
      <c r="H2639" s="1">
        <v>64.3</v>
      </c>
    </row>
    <row r="2640" s="1" customFormat="1" spans="1:8">
      <c r="A2640" s="1" t="s">
        <v>16</v>
      </c>
      <c r="B2640" s="1" t="s">
        <v>19</v>
      </c>
      <c r="C2640" s="1" t="str">
        <f t="shared" si="51"/>
        <v>020088</v>
      </c>
      <c r="D2640" s="1" t="str">
        <f>"112309828"</f>
        <v>112309828</v>
      </c>
      <c r="E2640" s="1">
        <v>71</v>
      </c>
      <c r="F2640" s="1">
        <v>55.5</v>
      </c>
      <c r="H2640" s="1">
        <v>64.8</v>
      </c>
    </row>
    <row r="2641" s="1" customFormat="1" spans="1:8">
      <c r="A2641" s="1" t="s">
        <v>16</v>
      </c>
      <c r="B2641" s="1" t="s">
        <v>19</v>
      </c>
      <c r="C2641" s="1" t="str">
        <f t="shared" si="51"/>
        <v>020088</v>
      </c>
      <c r="D2641" s="1" t="str">
        <f>"112309829"</f>
        <v>112309829</v>
      </c>
      <c r="E2641" s="1">
        <v>0</v>
      </c>
      <c r="F2641" s="1">
        <v>0</v>
      </c>
      <c r="H2641" s="1">
        <v>0</v>
      </c>
    </row>
    <row r="2642" s="1" customFormat="1" spans="1:8">
      <c r="A2642" s="1" t="s">
        <v>16</v>
      </c>
      <c r="B2642" s="1" t="s">
        <v>19</v>
      </c>
      <c r="C2642" s="1" t="str">
        <f t="shared" si="51"/>
        <v>020088</v>
      </c>
      <c r="D2642" s="1" t="str">
        <f>"112309830"</f>
        <v>112309830</v>
      </c>
      <c r="E2642" s="1">
        <v>73</v>
      </c>
      <c r="F2642" s="1">
        <v>79.5</v>
      </c>
      <c r="H2642" s="1">
        <v>75.6</v>
      </c>
    </row>
    <row r="2643" s="1" customFormat="1" spans="1:8">
      <c r="A2643" s="1" t="s">
        <v>16</v>
      </c>
      <c r="B2643" s="1" t="s">
        <v>19</v>
      </c>
      <c r="C2643" s="1" t="str">
        <f t="shared" si="51"/>
        <v>020088</v>
      </c>
      <c r="D2643" s="1" t="str">
        <f>"112309901"</f>
        <v>112309901</v>
      </c>
      <c r="E2643" s="1">
        <v>0</v>
      </c>
      <c r="F2643" s="1">
        <v>0</v>
      </c>
      <c r="H2643" s="1">
        <v>0</v>
      </c>
    </row>
    <row r="2644" s="1" customFormat="1" spans="1:8">
      <c r="A2644" s="1" t="s">
        <v>16</v>
      </c>
      <c r="B2644" s="1" t="s">
        <v>19</v>
      </c>
      <c r="C2644" s="1" t="str">
        <f t="shared" si="51"/>
        <v>020088</v>
      </c>
      <c r="D2644" s="1" t="str">
        <f>"112309902"</f>
        <v>112309902</v>
      </c>
      <c r="E2644" s="1">
        <v>0</v>
      </c>
      <c r="F2644" s="1">
        <v>0</v>
      </c>
      <c r="H2644" s="1">
        <v>0</v>
      </c>
    </row>
    <row r="2645" s="1" customFormat="1" spans="1:8">
      <c r="A2645" s="1" t="s">
        <v>16</v>
      </c>
      <c r="B2645" s="1" t="s">
        <v>19</v>
      </c>
      <c r="C2645" s="1" t="str">
        <f t="shared" si="51"/>
        <v>020088</v>
      </c>
      <c r="D2645" s="1" t="str">
        <f>"112309903"</f>
        <v>112309903</v>
      </c>
      <c r="E2645" s="1">
        <v>50.5</v>
      </c>
      <c r="F2645" s="1">
        <v>44</v>
      </c>
      <c r="H2645" s="1">
        <v>47.9</v>
      </c>
    </row>
    <row r="2646" s="1" customFormat="1" spans="1:8">
      <c r="A2646" s="1" t="s">
        <v>16</v>
      </c>
      <c r="B2646" s="1" t="s">
        <v>19</v>
      </c>
      <c r="C2646" s="1" t="str">
        <f t="shared" si="51"/>
        <v>020088</v>
      </c>
      <c r="D2646" s="1" t="str">
        <f>"112309904"</f>
        <v>112309904</v>
      </c>
      <c r="E2646" s="1">
        <v>59.5</v>
      </c>
      <c r="F2646" s="1">
        <v>76.5</v>
      </c>
      <c r="H2646" s="1">
        <v>66.3</v>
      </c>
    </row>
    <row r="2647" s="1" customFormat="1" spans="1:8">
      <c r="A2647" s="1" t="s">
        <v>16</v>
      </c>
      <c r="B2647" s="1" t="s">
        <v>19</v>
      </c>
      <c r="C2647" s="1" t="str">
        <f t="shared" si="51"/>
        <v>020088</v>
      </c>
      <c r="D2647" s="1" t="str">
        <f>"112309905"</f>
        <v>112309905</v>
      </c>
      <c r="E2647" s="1">
        <v>84</v>
      </c>
      <c r="F2647" s="1">
        <v>92</v>
      </c>
      <c r="H2647" s="1">
        <v>87.2</v>
      </c>
    </row>
    <row r="2648" s="1" customFormat="1" spans="1:8">
      <c r="A2648" s="1" t="s">
        <v>16</v>
      </c>
      <c r="B2648" s="1" t="s">
        <v>19</v>
      </c>
      <c r="C2648" s="1" t="str">
        <f t="shared" si="51"/>
        <v>020088</v>
      </c>
      <c r="D2648" s="1" t="str">
        <f>"112309906"</f>
        <v>112309906</v>
      </c>
      <c r="E2648" s="1">
        <v>70.5</v>
      </c>
      <c r="F2648" s="1">
        <v>66.5</v>
      </c>
      <c r="H2648" s="1">
        <v>68.9</v>
      </c>
    </row>
    <row r="2649" s="1" customFormat="1" spans="1:8">
      <c r="A2649" s="1" t="s">
        <v>16</v>
      </c>
      <c r="B2649" s="1" t="s">
        <v>19</v>
      </c>
      <c r="C2649" s="1" t="str">
        <f t="shared" si="51"/>
        <v>020088</v>
      </c>
      <c r="D2649" s="1" t="str">
        <f>"112309907"</f>
        <v>112309907</v>
      </c>
      <c r="E2649" s="1">
        <v>73.5</v>
      </c>
      <c r="F2649" s="1">
        <v>60</v>
      </c>
      <c r="H2649" s="1">
        <v>68.1</v>
      </c>
    </row>
    <row r="2650" s="1" customFormat="1" spans="1:8">
      <c r="A2650" s="1" t="s">
        <v>16</v>
      </c>
      <c r="B2650" s="1" t="s">
        <v>19</v>
      </c>
      <c r="C2650" s="1" t="str">
        <f t="shared" si="51"/>
        <v>020088</v>
      </c>
      <c r="D2650" s="1" t="str">
        <f>"112309908"</f>
        <v>112309908</v>
      </c>
      <c r="E2650" s="1">
        <v>0</v>
      </c>
      <c r="F2650" s="1">
        <v>0</v>
      </c>
      <c r="H2650" s="1">
        <v>0</v>
      </c>
    </row>
    <row r="2651" s="1" customFormat="1" spans="1:8">
      <c r="A2651" s="1" t="s">
        <v>16</v>
      </c>
      <c r="B2651" s="1" t="s">
        <v>19</v>
      </c>
      <c r="C2651" s="1" t="str">
        <f t="shared" si="51"/>
        <v>020088</v>
      </c>
      <c r="D2651" s="1" t="str">
        <f>"112309909"</f>
        <v>112309909</v>
      </c>
      <c r="E2651" s="1">
        <v>77.5</v>
      </c>
      <c r="F2651" s="1">
        <v>53.5</v>
      </c>
      <c r="H2651" s="1">
        <v>67.9</v>
      </c>
    </row>
    <row r="2652" s="1" customFormat="1" spans="1:8">
      <c r="A2652" s="1" t="s">
        <v>16</v>
      </c>
      <c r="B2652" s="1" t="s">
        <v>19</v>
      </c>
      <c r="C2652" s="1" t="str">
        <f t="shared" si="51"/>
        <v>020088</v>
      </c>
      <c r="D2652" s="1" t="str">
        <f>"112309910"</f>
        <v>112309910</v>
      </c>
      <c r="E2652" s="1">
        <v>56.5</v>
      </c>
      <c r="F2652" s="1">
        <v>53.5</v>
      </c>
      <c r="H2652" s="1">
        <v>55.3</v>
      </c>
    </row>
    <row r="2653" s="1" customFormat="1" spans="1:8">
      <c r="A2653" s="1" t="s">
        <v>16</v>
      </c>
      <c r="B2653" s="1" t="s">
        <v>19</v>
      </c>
      <c r="C2653" s="1" t="str">
        <f t="shared" si="51"/>
        <v>020088</v>
      </c>
      <c r="D2653" s="1" t="str">
        <f>"112309911"</f>
        <v>112309911</v>
      </c>
      <c r="E2653" s="1">
        <v>61.5</v>
      </c>
      <c r="F2653" s="1">
        <v>54</v>
      </c>
      <c r="H2653" s="1">
        <v>58.5</v>
      </c>
    </row>
    <row r="2654" s="1" customFormat="1" spans="1:8">
      <c r="A2654" s="1" t="s">
        <v>16</v>
      </c>
      <c r="B2654" s="1" t="s">
        <v>19</v>
      </c>
      <c r="C2654" s="1" t="str">
        <f t="shared" si="51"/>
        <v>020088</v>
      </c>
      <c r="D2654" s="1" t="str">
        <f>"112309912"</f>
        <v>112309912</v>
      </c>
      <c r="E2654" s="1">
        <v>69</v>
      </c>
      <c r="F2654" s="1">
        <v>69.5</v>
      </c>
      <c r="H2654" s="1">
        <v>69.2</v>
      </c>
    </row>
    <row r="2655" s="1" customFormat="1" spans="1:8">
      <c r="A2655" s="1" t="s">
        <v>16</v>
      </c>
      <c r="B2655" s="1" t="s">
        <v>19</v>
      </c>
      <c r="C2655" s="1" t="str">
        <f t="shared" si="51"/>
        <v>020088</v>
      </c>
      <c r="D2655" s="1" t="str">
        <f>"112309913"</f>
        <v>112309913</v>
      </c>
      <c r="E2655" s="1">
        <v>70</v>
      </c>
      <c r="F2655" s="1">
        <v>52</v>
      </c>
      <c r="H2655" s="1">
        <v>62.8</v>
      </c>
    </row>
    <row r="2656" s="1" customFormat="1" spans="1:8">
      <c r="A2656" s="1" t="s">
        <v>16</v>
      </c>
      <c r="B2656" s="1" t="s">
        <v>19</v>
      </c>
      <c r="C2656" s="1" t="str">
        <f t="shared" si="51"/>
        <v>020088</v>
      </c>
      <c r="D2656" s="1" t="str">
        <f>"112309914"</f>
        <v>112309914</v>
      </c>
      <c r="E2656" s="1">
        <v>0</v>
      </c>
      <c r="F2656" s="1">
        <v>0</v>
      </c>
      <c r="H2656" s="1">
        <v>0</v>
      </c>
    </row>
    <row r="2657" s="1" customFormat="1" spans="1:8">
      <c r="A2657" s="1" t="s">
        <v>16</v>
      </c>
      <c r="B2657" s="1" t="s">
        <v>19</v>
      </c>
      <c r="C2657" s="1" t="str">
        <f t="shared" si="51"/>
        <v>020088</v>
      </c>
      <c r="D2657" s="1" t="str">
        <f>"112309915"</f>
        <v>112309915</v>
      </c>
      <c r="E2657" s="1">
        <v>84</v>
      </c>
      <c r="F2657" s="1">
        <v>66.5</v>
      </c>
      <c r="H2657" s="1">
        <v>77</v>
      </c>
    </row>
    <row r="2658" s="1" customFormat="1" spans="1:8">
      <c r="A2658" s="1" t="s">
        <v>16</v>
      </c>
      <c r="B2658" s="1" t="s">
        <v>19</v>
      </c>
      <c r="C2658" s="1" t="str">
        <f t="shared" si="51"/>
        <v>020088</v>
      </c>
      <c r="D2658" s="1" t="str">
        <f>"112309916"</f>
        <v>112309916</v>
      </c>
      <c r="E2658" s="1">
        <v>66.5</v>
      </c>
      <c r="F2658" s="1">
        <v>56.5</v>
      </c>
      <c r="H2658" s="1">
        <v>62.5</v>
      </c>
    </row>
    <row r="2659" s="1" customFormat="1" spans="1:8">
      <c r="A2659" s="1" t="s">
        <v>16</v>
      </c>
      <c r="B2659" s="1" t="s">
        <v>19</v>
      </c>
      <c r="C2659" s="1" t="str">
        <f t="shared" si="51"/>
        <v>020088</v>
      </c>
      <c r="D2659" s="1" t="str">
        <f>"112309917"</f>
        <v>112309917</v>
      </c>
      <c r="E2659" s="1">
        <v>77</v>
      </c>
      <c r="F2659" s="1">
        <v>75.5</v>
      </c>
      <c r="H2659" s="1">
        <v>76.4</v>
      </c>
    </row>
    <row r="2660" s="1" customFormat="1" spans="1:8">
      <c r="A2660" s="1" t="s">
        <v>16</v>
      </c>
      <c r="B2660" s="1" t="s">
        <v>19</v>
      </c>
      <c r="C2660" s="1" t="str">
        <f t="shared" si="51"/>
        <v>020088</v>
      </c>
      <c r="D2660" s="1" t="str">
        <f>"112309918"</f>
        <v>112309918</v>
      </c>
      <c r="E2660" s="1">
        <v>0</v>
      </c>
      <c r="F2660" s="1">
        <v>0</v>
      </c>
      <c r="H2660" s="1">
        <v>0</v>
      </c>
    </row>
    <row r="2661" s="1" customFormat="1" spans="1:8">
      <c r="A2661" s="1" t="s">
        <v>16</v>
      </c>
      <c r="B2661" s="1" t="s">
        <v>19</v>
      </c>
      <c r="C2661" s="1" t="str">
        <f t="shared" ref="C2661:C2702" si="52">"020088"</f>
        <v>020088</v>
      </c>
      <c r="D2661" s="1" t="str">
        <f>"112309919"</f>
        <v>112309919</v>
      </c>
      <c r="E2661" s="1">
        <v>70</v>
      </c>
      <c r="F2661" s="1">
        <v>66.5</v>
      </c>
      <c r="H2661" s="1">
        <v>68.6</v>
      </c>
    </row>
    <row r="2662" s="1" customFormat="1" spans="1:8">
      <c r="A2662" s="1" t="s">
        <v>16</v>
      </c>
      <c r="B2662" s="1" t="s">
        <v>19</v>
      </c>
      <c r="C2662" s="1" t="str">
        <f t="shared" si="52"/>
        <v>020088</v>
      </c>
      <c r="D2662" s="1" t="str">
        <f>"112309920"</f>
        <v>112309920</v>
      </c>
      <c r="E2662" s="1">
        <v>66.5</v>
      </c>
      <c r="F2662" s="1">
        <v>68.5</v>
      </c>
      <c r="H2662" s="1">
        <v>67.3</v>
      </c>
    </row>
    <row r="2663" s="1" customFormat="1" spans="1:8">
      <c r="A2663" s="1" t="s">
        <v>16</v>
      </c>
      <c r="B2663" s="1" t="s">
        <v>19</v>
      </c>
      <c r="C2663" s="1" t="str">
        <f t="shared" si="52"/>
        <v>020088</v>
      </c>
      <c r="D2663" s="1" t="str">
        <f>"112309921"</f>
        <v>112309921</v>
      </c>
      <c r="E2663" s="1">
        <v>46</v>
      </c>
      <c r="F2663" s="1">
        <v>56.5</v>
      </c>
      <c r="H2663" s="1">
        <v>50.2</v>
      </c>
    </row>
    <row r="2664" s="1" customFormat="1" spans="1:8">
      <c r="A2664" s="1" t="s">
        <v>16</v>
      </c>
      <c r="B2664" s="1" t="s">
        <v>19</v>
      </c>
      <c r="C2664" s="1" t="str">
        <f t="shared" si="52"/>
        <v>020088</v>
      </c>
      <c r="D2664" s="1" t="str">
        <f>"112309922"</f>
        <v>112309922</v>
      </c>
      <c r="E2664" s="1">
        <v>60</v>
      </c>
      <c r="F2664" s="1">
        <v>58</v>
      </c>
      <c r="H2664" s="1">
        <v>59.2</v>
      </c>
    </row>
    <row r="2665" s="1" customFormat="1" spans="1:8">
      <c r="A2665" s="1" t="s">
        <v>16</v>
      </c>
      <c r="B2665" s="1" t="s">
        <v>19</v>
      </c>
      <c r="C2665" s="1" t="str">
        <f t="shared" si="52"/>
        <v>020088</v>
      </c>
      <c r="D2665" s="1" t="str">
        <f>"112309923"</f>
        <v>112309923</v>
      </c>
      <c r="E2665" s="1">
        <v>56</v>
      </c>
      <c r="F2665" s="1">
        <v>61.5</v>
      </c>
      <c r="H2665" s="1">
        <v>58.2</v>
      </c>
    </row>
    <row r="2666" s="1" customFormat="1" spans="1:8">
      <c r="A2666" s="1" t="s">
        <v>16</v>
      </c>
      <c r="B2666" s="1" t="s">
        <v>19</v>
      </c>
      <c r="C2666" s="1" t="str">
        <f t="shared" si="52"/>
        <v>020088</v>
      </c>
      <c r="D2666" s="1" t="str">
        <f>"112309924"</f>
        <v>112309924</v>
      </c>
      <c r="E2666" s="1">
        <v>75.5</v>
      </c>
      <c r="F2666" s="1">
        <v>76</v>
      </c>
      <c r="H2666" s="1">
        <v>75.7</v>
      </c>
    </row>
    <row r="2667" s="1" customFormat="1" spans="1:8">
      <c r="A2667" s="1" t="s">
        <v>16</v>
      </c>
      <c r="B2667" s="1" t="s">
        <v>19</v>
      </c>
      <c r="C2667" s="1" t="str">
        <f t="shared" si="52"/>
        <v>020088</v>
      </c>
      <c r="D2667" s="1" t="str">
        <f>"112309925"</f>
        <v>112309925</v>
      </c>
      <c r="E2667" s="1">
        <v>78.5</v>
      </c>
      <c r="F2667" s="1">
        <v>61</v>
      </c>
      <c r="H2667" s="1">
        <v>71.5</v>
      </c>
    </row>
    <row r="2668" s="1" customFormat="1" spans="1:8">
      <c r="A2668" s="1" t="s">
        <v>16</v>
      </c>
      <c r="B2668" s="1" t="s">
        <v>19</v>
      </c>
      <c r="C2668" s="1" t="str">
        <f t="shared" si="52"/>
        <v>020088</v>
      </c>
      <c r="D2668" s="1" t="str">
        <f>"112309926"</f>
        <v>112309926</v>
      </c>
      <c r="E2668" s="1">
        <v>0</v>
      </c>
      <c r="F2668" s="1">
        <v>0</v>
      </c>
      <c r="H2668" s="1">
        <v>0</v>
      </c>
    </row>
    <row r="2669" s="1" customFormat="1" spans="1:8">
      <c r="A2669" s="1" t="s">
        <v>16</v>
      </c>
      <c r="B2669" s="1" t="s">
        <v>19</v>
      </c>
      <c r="C2669" s="1" t="str">
        <f t="shared" si="52"/>
        <v>020088</v>
      </c>
      <c r="D2669" s="1" t="str">
        <f>"112309927"</f>
        <v>112309927</v>
      </c>
      <c r="E2669" s="1">
        <v>65</v>
      </c>
      <c r="F2669" s="1">
        <v>53</v>
      </c>
      <c r="H2669" s="1">
        <v>60.2</v>
      </c>
    </row>
    <row r="2670" s="1" customFormat="1" spans="1:8">
      <c r="A2670" s="1" t="s">
        <v>16</v>
      </c>
      <c r="B2670" s="1" t="s">
        <v>19</v>
      </c>
      <c r="C2670" s="1" t="str">
        <f t="shared" si="52"/>
        <v>020088</v>
      </c>
      <c r="D2670" s="1" t="str">
        <f>"112309928"</f>
        <v>112309928</v>
      </c>
      <c r="E2670" s="1">
        <v>63</v>
      </c>
      <c r="F2670" s="1">
        <v>62.5</v>
      </c>
      <c r="H2670" s="1">
        <v>62.8</v>
      </c>
    </row>
    <row r="2671" s="1" customFormat="1" spans="1:8">
      <c r="A2671" s="1" t="s">
        <v>16</v>
      </c>
      <c r="B2671" s="1" t="s">
        <v>19</v>
      </c>
      <c r="C2671" s="1" t="str">
        <f t="shared" si="52"/>
        <v>020088</v>
      </c>
      <c r="D2671" s="1" t="str">
        <f>"112309929"</f>
        <v>112309929</v>
      </c>
      <c r="E2671" s="1">
        <v>77</v>
      </c>
      <c r="F2671" s="1">
        <v>74</v>
      </c>
      <c r="H2671" s="1">
        <v>75.8</v>
      </c>
    </row>
    <row r="2672" s="1" customFormat="1" spans="1:8">
      <c r="A2672" s="1" t="s">
        <v>16</v>
      </c>
      <c r="B2672" s="1" t="s">
        <v>19</v>
      </c>
      <c r="C2672" s="1" t="str">
        <f t="shared" si="52"/>
        <v>020088</v>
      </c>
      <c r="D2672" s="1" t="str">
        <f>"112309930"</f>
        <v>112309930</v>
      </c>
      <c r="E2672" s="1">
        <v>56.5</v>
      </c>
      <c r="F2672" s="1">
        <v>55</v>
      </c>
      <c r="H2672" s="1">
        <v>55.9</v>
      </c>
    </row>
    <row r="2673" s="1" customFormat="1" spans="1:8">
      <c r="A2673" s="1" t="s">
        <v>16</v>
      </c>
      <c r="B2673" s="1" t="s">
        <v>19</v>
      </c>
      <c r="C2673" s="1" t="str">
        <f t="shared" si="52"/>
        <v>020088</v>
      </c>
      <c r="D2673" s="1" t="str">
        <f>"112310001"</f>
        <v>112310001</v>
      </c>
      <c r="E2673" s="1">
        <v>61</v>
      </c>
      <c r="F2673" s="1">
        <v>80</v>
      </c>
      <c r="H2673" s="1">
        <v>68.6</v>
      </c>
    </row>
    <row r="2674" s="1" customFormat="1" spans="1:8">
      <c r="A2674" s="1" t="s">
        <v>16</v>
      </c>
      <c r="B2674" s="1" t="s">
        <v>19</v>
      </c>
      <c r="C2674" s="1" t="str">
        <f t="shared" si="52"/>
        <v>020088</v>
      </c>
      <c r="D2674" s="1" t="str">
        <f>"112310002"</f>
        <v>112310002</v>
      </c>
      <c r="E2674" s="1">
        <v>73</v>
      </c>
      <c r="F2674" s="1">
        <v>78</v>
      </c>
      <c r="H2674" s="1">
        <v>75</v>
      </c>
    </row>
    <row r="2675" s="1" customFormat="1" spans="1:8">
      <c r="A2675" s="1" t="s">
        <v>16</v>
      </c>
      <c r="B2675" s="1" t="s">
        <v>19</v>
      </c>
      <c r="C2675" s="1" t="str">
        <f t="shared" si="52"/>
        <v>020088</v>
      </c>
      <c r="D2675" s="1" t="str">
        <f>"112310003"</f>
        <v>112310003</v>
      </c>
      <c r="E2675" s="1">
        <v>56.5</v>
      </c>
      <c r="F2675" s="1">
        <v>65</v>
      </c>
      <c r="H2675" s="1">
        <v>59.9</v>
      </c>
    </row>
    <row r="2676" s="1" customFormat="1" spans="1:8">
      <c r="A2676" s="1" t="s">
        <v>16</v>
      </c>
      <c r="B2676" s="1" t="s">
        <v>19</v>
      </c>
      <c r="C2676" s="1" t="str">
        <f t="shared" si="52"/>
        <v>020088</v>
      </c>
      <c r="D2676" s="1" t="str">
        <f>"112310004"</f>
        <v>112310004</v>
      </c>
      <c r="E2676" s="1">
        <v>72.5</v>
      </c>
      <c r="F2676" s="1">
        <v>0</v>
      </c>
      <c r="H2676" s="1">
        <v>43.5</v>
      </c>
    </row>
    <row r="2677" s="1" customFormat="1" spans="1:8">
      <c r="A2677" s="1" t="s">
        <v>16</v>
      </c>
      <c r="B2677" s="1" t="s">
        <v>19</v>
      </c>
      <c r="C2677" s="1" t="str">
        <f t="shared" si="52"/>
        <v>020088</v>
      </c>
      <c r="D2677" s="1" t="str">
        <f>"112310005"</f>
        <v>112310005</v>
      </c>
      <c r="E2677" s="1">
        <v>61</v>
      </c>
      <c r="F2677" s="1">
        <v>61</v>
      </c>
      <c r="H2677" s="1">
        <v>61</v>
      </c>
    </row>
    <row r="2678" s="1" customFormat="1" spans="1:8">
      <c r="A2678" s="1" t="s">
        <v>16</v>
      </c>
      <c r="B2678" s="1" t="s">
        <v>19</v>
      </c>
      <c r="C2678" s="1" t="str">
        <f t="shared" si="52"/>
        <v>020088</v>
      </c>
      <c r="D2678" s="1" t="str">
        <f>"112310006"</f>
        <v>112310006</v>
      </c>
      <c r="E2678" s="1">
        <v>72.5</v>
      </c>
      <c r="F2678" s="1">
        <v>43.5</v>
      </c>
      <c r="H2678" s="1">
        <v>60.9</v>
      </c>
    </row>
    <row r="2679" s="1" customFormat="1" spans="1:8">
      <c r="A2679" s="1" t="s">
        <v>16</v>
      </c>
      <c r="B2679" s="1" t="s">
        <v>19</v>
      </c>
      <c r="C2679" s="1" t="str">
        <f t="shared" si="52"/>
        <v>020088</v>
      </c>
      <c r="D2679" s="1" t="str">
        <f>"112310007"</f>
        <v>112310007</v>
      </c>
      <c r="E2679" s="1">
        <v>0</v>
      </c>
      <c r="F2679" s="1">
        <v>0</v>
      </c>
      <c r="H2679" s="1">
        <v>0</v>
      </c>
    </row>
    <row r="2680" s="1" customFormat="1" spans="1:8">
      <c r="A2680" s="1" t="s">
        <v>16</v>
      </c>
      <c r="B2680" s="1" t="s">
        <v>19</v>
      </c>
      <c r="C2680" s="1" t="str">
        <f t="shared" si="52"/>
        <v>020088</v>
      </c>
      <c r="D2680" s="1" t="str">
        <f>"112310008"</f>
        <v>112310008</v>
      </c>
      <c r="E2680" s="1">
        <v>78</v>
      </c>
      <c r="F2680" s="1">
        <v>81.5</v>
      </c>
      <c r="H2680" s="1">
        <v>79.4</v>
      </c>
    </row>
    <row r="2681" s="1" customFormat="1" spans="1:8">
      <c r="A2681" s="1" t="s">
        <v>16</v>
      </c>
      <c r="B2681" s="1" t="s">
        <v>19</v>
      </c>
      <c r="C2681" s="1" t="str">
        <f t="shared" si="52"/>
        <v>020088</v>
      </c>
      <c r="D2681" s="1" t="str">
        <f>"112310009"</f>
        <v>112310009</v>
      </c>
      <c r="E2681" s="1">
        <v>0</v>
      </c>
      <c r="F2681" s="1">
        <v>0</v>
      </c>
      <c r="H2681" s="1">
        <v>0</v>
      </c>
    </row>
    <row r="2682" s="1" customFormat="1" spans="1:8">
      <c r="A2682" s="1" t="s">
        <v>16</v>
      </c>
      <c r="B2682" s="1" t="s">
        <v>19</v>
      </c>
      <c r="C2682" s="1" t="str">
        <f t="shared" si="52"/>
        <v>020088</v>
      </c>
      <c r="D2682" s="1" t="str">
        <f>"112310010"</f>
        <v>112310010</v>
      </c>
      <c r="E2682" s="1">
        <v>74.5</v>
      </c>
      <c r="F2682" s="1">
        <v>72</v>
      </c>
      <c r="H2682" s="1">
        <v>73.5</v>
      </c>
    </row>
    <row r="2683" s="1" customFormat="1" spans="1:8">
      <c r="A2683" s="1" t="s">
        <v>16</v>
      </c>
      <c r="B2683" s="1" t="s">
        <v>19</v>
      </c>
      <c r="C2683" s="1" t="str">
        <f t="shared" si="52"/>
        <v>020088</v>
      </c>
      <c r="D2683" s="1" t="str">
        <f>"112310011"</f>
        <v>112310011</v>
      </c>
      <c r="E2683" s="1">
        <v>65.5</v>
      </c>
      <c r="F2683" s="1">
        <v>62.5</v>
      </c>
      <c r="H2683" s="1">
        <v>64.3</v>
      </c>
    </row>
    <row r="2684" s="1" customFormat="1" spans="1:8">
      <c r="A2684" s="1" t="s">
        <v>16</v>
      </c>
      <c r="B2684" s="1" t="s">
        <v>19</v>
      </c>
      <c r="C2684" s="1" t="str">
        <f t="shared" si="52"/>
        <v>020088</v>
      </c>
      <c r="D2684" s="1" t="str">
        <f>"112310012"</f>
        <v>112310012</v>
      </c>
      <c r="E2684" s="1">
        <v>63.5</v>
      </c>
      <c r="F2684" s="1">
        <v>53</v>
      </c>
      <c r="H2684" s="1">
        <v>59.3</v>
      </c>
    </row>
    <row r="2685" s="1" customFormat="1" spans="1:8">
      <c r="A2685" s="1" t="s">
        <v>16</v>
      </c>
      <c r="B2685" s="1" t="s">
        <v>19</v>
      </c>
      <c r="C2685" s="1" t="str">
        <f t="shared" si="52"/>
        <v>020088</v>
      </c>
      <c r="D2685" s="1" t="str">
        <f>"112310013"</f>
        <v>112310013</v>
      </c>
      <c r="E2685" s="1">
        <v>58.5</v>
      </c>
      <c r="F2685" s="1">
        <v>51.5</v>
      </c>
      <c r="H2685" s="1">
        <v>55.7</v>
      </c>
    </row>
    <row r="2686" s="1" customFormat="1" spans="1:8">
      <c r="A2686" s="1" t="s">
        <v>16</v>
      </c>
      <c r="B2686" s="1" t="s">
        <v>19</v>
      </c>
      <c r="C2686" s="1" t="str">
        <f t="shared" si="52"/>
        <v>020088</v>
      </c>
      <c r="D2686" s="1" t="str">
        <f>"112310014"</f>
        <v>112310014</v>
      </c>
      <c r="E2686" s="1">
        <v>80.5</v>
      </c>
      <c r="F2686" s="1">
        <v>67.5</v>
      </c>
      <c r="H2686" s="1">
        <v>75.3</v>
      </c>
    </row>
    <row r="2687" s="1" customFormat="1" spans="1:8">
      <c r="A2687" s="1" t="s">
        <v>16</v>
      </c>
      <c r="B2687" s="1" t="s">
        <v>19</v>
      </c>
      <c r="C2687" s="1" t="str">
        <f t="shared" si="52"/>
        <v>020088</v>
      </c>
      <c r="D2687" s="1" t="str">
        <f>"112310015"</f>
        <v>112310015</v>
      </c>
      <c r="E2687" s="1">
        <v>68.5</v>
      </c>
      <c r="F2687" s="1">
        <v>70</v>
      </c>
      <c r="H2687" s="1">
        <v>69.1</v>
      </c>
    </row>
    <row r="2688" s="1" customFormat="1" spans="1:8">
      <c r="A2688" s="1" t="s">
        <v>16</v>
      </c>
      <c r="B2688" s="1" t="s">
        <v>19</v>
      </c>
      <c r="C2688" s="1" t="str">
        <f t="shared" si="52"/>
        <v>020088</v>
      </c>
      <c r="D2688" s="1" t="str">
        <f>"112310016"</f>
        <v>112310016</v>
      </c>
      <c r="E2688" s="1">
        <v>62</v>
      </c>
      <c r="F2688" s="1">
        <v>0</v>
      </c>
      <c r="H2688" s="1">
        <v>37.2</v>
      </c>
    </row>
    <row r="2689" s="1" customFormat="1" spans="1:8">
      <c r="A2689" s="1" t="s">
        <v>16</v>
      </c>
      <c r="B2689" s="1" t="s">
        <v>19</v>
      </c>
      <c r="C2689" s="1" t="str">
        <f t="shared" si="52"/>
        <v>020088</v>
      </c>
      <c r="D2689" s="1" t="str">
        <f>"112310017"</f>
        <v>112310017</v>
      </c>
      <c r="E2689" s="1">
        <v>67.5</v>
      </c>
      <c r="F2689" s="1">
        <v>58.5</v>
      </c>
      <c r="H2689" s="1">
        <v>63.9</v>
      </c>
    </row>
    <row r="2690" s="1" customFormat="1" spans="1:8">
      <c r="A2690" s="1" t="s">
        <v>16</v>
      </c>
      <c r="B2690" s="1" t="s">
        <v>19</v>
      </c>
      <c r="C2690" s="1" t="str">
        <f t="shared" si="52"/>
        <v>020088</v>
      </c>
      <c r="D2690" s="1" t="str">
        <f>"112310018"</f>
        <v>112310018</v>
      </c>
      <c r="E2690" s="1">
        <v>0</v>
      </c>
      <c r="F2690" s="1">
        <v>0</v>
      </c>
      <c r="H2690" s="1">
        <v>0</v>
      </c>
    </row>
    <row r="2691" s="1" customFormat="1" spans="1:8">
      <c r="A2691" s="1" t="s">
        <v>16</v>
      </c>
      <c r="B2691" s="1" t="s">
        <v>19</v>
      </c>
      <c r="C2691" s="1" t="str">
        <f t="shared" si="52"/>
        <v>020088</v>
      </c>
      <c r="D2691" s="1" t="str">
        <f>"112310019"</f>
        <v>112310019</v>
      </c>
      <c r="E2691" s="1">
        <v>77.5</v>
      </c>
      <c r="F2691" s="1">
        <v>82</v>
      </c>
      <c r="H2691" s="1">
        <v>79.3</v>
      </c>
    </row>
    <row r="2692" s="1" customFormat="1" spans="1:8">
      <c r="A2692" s="1" t="s">
        <v>16</v>
      </c>
      <c r="B2692" s="1" t="s">
        <v>19</v>
      </c>
      <c r="C2692" s="1" t="str">
        <f t="shared" si="52"/>
        <v>020088</v>
      </c>
      <c r="D2692" s="1" t="str">
        <f>"112310020"</f>
        <v>112310020</v>
      </c>
      <c r="E2692" s="1">
        <v>53.5</v>
      </c>
      <c r="F2692" s="1">
        <v>55.5</v>
      </c>
      <c r="H2692" s="1">
        <v>54.3</v>
      </c>
    </row>
    <row r="2693" s="1" customFormat="1" spans="1:8">
      <c r="A2693" s="1" t="s">
        <v>16</v>
      </c>
      <c r="B2693" s="1" t="s">
        <v>19</v>
      </c>
      <c r="C2693" s="1" t="str">
        <f t="shared" si="52"/>
        <v>020088</v>
      </c>
      <c r="D2693" s="1" t="str">
        <f>"112310021"</f>
        <v>112310021</v>
      </c>
      <c r="E2693" s="1">
        <v>0</v>
      </c>
      <c r="F2693" s="1">
        <v>91.5</v>
      </c>
      <c r="H2693" s="1">
        <v>36.6</v>
      </c>
    </row>
    <row r="2694" s="1" customFormat="1" spans="1:8">
      <c r="A2694" s="1" t="s">
        <v>16</v>
      </c>
      <c r="B2694" s="1" t="s">
        <v>19</v>
      </c>
      <c r="C2694" s="1" t="str">
        <f t="shared" si="52"/>
        <v>020088</v>
      </c>
      <c r="D2694" s="1" t="str">
        <f>"112310022"</f>
        <v>112310022</v>
      </c>
      <c r="E2694" s="1">
        <v>82</v>
      </c>
      <c r="F2694" s="1">
        <v>74</v>
      </c>
      <c r="H2694" s="1">
        <v>78.8</v>
      </c>
    </row>
    <row r="2695" s="1" customFormat="1" spans="1:8">
      <c r="A2695" s="1" t="s">
        <v>16</v>
      </c>
      <c r="B2695" s="1" t="s">
        <v>19</v>
      </c>
      <c r="C2695" s="1" t="str">
        <f t="shared" si="52"/>
        <v>020088</v>
      </c>
      <c r="D2695" s="1" t="str">
        <f>"112310023"</f>
        <v>112310023</v>
      </c>
      <c r="E2695" s="1">
        <v>78.5</v>
      </c>
      <c r="F2695" s="1">
        <v>74</v>
      </c>
      <c r="H2695" s="1">
        <v>76.7</v>
      </c>
    </row>
    <row r="2696" s="1" customFormat="1" spans="1:8">
      <c r="A2696" s="1" t="s">
        <v>16</v>
      </c>
      <c r="B2696" s="1" t="s">
        <v>19</v>
      </c>
      <c r="C2696" s="1" t="str">
        <f t="shared" si="52"/>
        <v>020088</v>
      </c>
      <c r="D2696" s="1" t="str">
        <f>"112310024"</f>
        <v>112310024</v>
      </c>
      <c r="E2696" s="1">
        <v>80.5</v>
      </c>
      <c r="F2696" s="1">
        <v>88</v>
      </c>
      <c r="H2696" s="1">
        <v>83.5</v>
      </c>
    </row>
    <row r="2697" s="1" customFormat="1" spans="1:8">
      <c r="A2697" s="1" t="s">
        <v>16</v>
      </c>
      <c r="B2697" s="1" t="s">
        <v>19</v>
      </c>
      <c r="C2697" s="1" t="str">
        <f t="shared" si="52"/>
        <v>020088</v>
      </c>
      <c r="D2697" s="1" t="str">
        <f>"112310025"</f>
        <v>112310025</v>
      </c>
      <c r="E2697" s="1">
        <v>72.5</v>
      </c>
      <c r="F2697" s="1">
        <v>62.5</v>
      </c>
      <c r="H2697" s="1">
        <v>68.5</v>
      </c>
    </row>
    <row r="2698" s="1" customFormat="1" spans="1:8">
      <c r="A2698" s="1" t="s">
        <v>16</v>
      </c>
      <c r="B2698" s="1" t="s">
        <v>19</v>
      </c>
      <c r="C2698" s="1" t="str">
        <f t="shared" si="52"/>
        <v>020088</v>
      </c>
      <c r="D2698" s="1" t="str">
        <f>"112310026"</f>
        <v>112310026</v>
      </c>
      <c r="E2698" s="1">
        <v>65.5</v>
      </c>
      <c r="F2698" s="1">
        <v>64.5</v>
      </c>
      <c r="H2698" s="1">
        <v>65.1</v>
      </c>
    </row>
    <row r="2699" s="1" customFormat="1" spans="1:8">
      <c r="A2699" s="1" t="s">
        <v>16</v>
      </c>
      <c r="B2699" s="1" t="s">
        <v>19</v>
      </c>
      <c r="C2699" s="1" t="str">
        <f t="shared" si="52"/>
        <v>020088</v>
      </c>
      <c r="D2699" s="1" t="str">
        <f>"112310027"</f>
        <v>112310027</v>
      </c>
      <c r="E2699" s="1">
        <v>64.5</v>
      </c>
      <c r="F2699" s="1">
        <v>54.5</v>
      </c>
      <c r="H2699" s="1">
        <v>60.5</v>
      </c>
    </row>
    <row r="2700" s="1" customFormat="1" spans="1:8">
      <c r="A2700" s="1" t="s">
        <v>16</v>
      </c>
      <c r="B2700" s="1" t="s">
        <v>19</v>
      </c>
      <c r="C2700" s="1" t="str">
        <f t="shared" si="52"/>
        <v>020088</v>
      </c>
      <c r="D2700" s="1" t="str">
        <f>"112310028"</f>
        <v>112310028</v>
      </c>
      <c r="E2700" s="1">
        <v>90</v>
      </c>
      <c r="F2700" s="1">
        <v>98.5</v>
      </c>
      <c r="H2700" s="1">
        <v>93.4</v>
      </c>
    </row>
    <row r="2701" s="1" customFormat="1" spans="1:8">
      <c r="A2701" s="1" t="s">
        <v>16</v>
      </c>
      <c r="B2701" s="1" t="s">
        <v>19</v>
      </c>
      <c r="C2701" s="1" t="str">
        <f t="shared" si="52"/>
        <v>020088</v>
      </c>
      <c r="D2701" s="1" t="str">
        <f>"112310029"</f>
        <v>112310029</v>
      </c>
      <c r="E2701" s="1">
        <v>51.5</v>
      </c>
      <c r="F2701" s="1">
        <v>54.5</v>
      </c>
      <c r="H2701" s="1">
        <v>52.7</v>
      </c>
    </row>
    <row r="2702" s="1" customFormat="1" spans="1:8">
      <c r="A2702" s="1" t="s">
        <v>16</v>
      </c>
      <c r="B2702" s="1" t="s">
        <v>19</v>
      </c>
      <c r="C2702" s="1" t="str">
        <f t="shared" si="52"/>
        <v>020088</v>
      </c>
      <c r="D2702" s="1" t="str">
        <f>"112310030"</f>
        <v>112310030</v>
      </c>
      <c r="E2702" s="1">
        <v>66</v>
      </c>
      <c r="F2702" s="1">
        <v>0</v>
      </c>
      <c r="H2702" s="1">
        <v>39.6</v>
      </c>
    </row>
    <row r="2703" s="1" customFormat="1" spans="1:8">
      <c r="A2703" s="1" t="s">
        <v>17</v>
      </c>
      <c r="B2703" s="1" t="s">
        <v>19</v>
      </c>
      <c r="C2703" s="1" t="str">
        <f t="shared" ref="C2703:C2766" si="53">"020090"</f>
        <v>020090</v>
      </c>
      <c r="D2703" s="1" t="str">
        <f>"112310101"</f>
        <v>112310101</v>
      </c>
      <c r="E2703" s="1">
        <v>0</v>
      </c>
      <c r="F2703" s="1">
        <v>0</v>
      </c>
      <c r="H2703" s="1">
        <v>0</v>
      </c>
    </row>
    <row r="2704" s="1" customFormat="1" spans="1:8">
      <c r="A2704" s="1" t="s">
        <v>17</v>
      </c>
      <c r="B2704" s="1" t="s">
        <v>19</v>
      </c>
      <c r="C2704" s="1" t="str">
        <f t="shared" si="53"/>
        <v>020090</v>
      </c>
      <c r="D2704" s="1" t="str">
        <f>"112310102"</f>
        <v>112310102</v>
      </c>
      <c r="E2704" s="1">
        <v>72.5</v>
      </c>
      <c r="F2704" s="1">
        <v>65</v>
      </c>
      <c r="H2704" s="1">
        <v>69.5</v>
      </c>
    </row>
    <row r="2705" s="1" customFormat="1" spans="1:8">
      <c r="A2705" s="1" t="s">
        <v>17</v>
      </c>
      <c r="B2705" s="1" t="s">
        <v>19</v>
      </c>
      <c r="C2705" s="1" t="str">
        <f t="shared" si="53"/>
        <v>020090</v>
      </c>
      <c r="D2705" s="1" t="str">
        <f>"112310103"</f>
        <v>112310103</v>
      </c>
      <c r="E2705" s="1">
        <v>77</v>
      </c>
      <c r="F2705" s="1">
        <v>74.5</v>
      </c>
      <c r="H2705" s="1">
        <v>76</v>
      </c>
    </row>
    <row r="2706" s="1" customFormat="1" spans="1:8">
      <c r="A2706" s="1" t="s">
        <v>17</v>
      </c>
      <c r="B2706" s="1" t="s">
        <v>19</v>
      </c>
      <c r="C2706" s="1" t="str">
        <f t="shared" si="53"/>
        <v>020090</v>
      </c>
      <c r="D2706" s="1" t="str">
        <f>"112310104"</f>
        <v>112310104</v>
      </c>
      <c r="E2706" s="1">
        <v>74.5</v>
      </c>
      <c r="F2706" s="1">
        <v>76.5</v>
      </c>
      <c r="H2706" s="1">
        <v>75.3</v>
      </c>
    </row>
    <row r="2707" s="1" customFormat="1" spans="1:8">
      <c r="A2707" s="1" t="s">
        <v>17</v>
      </c>
      <c r="B2707" s="1" t="s">
        <v>19</v>
      </c>
      <c r="C2707" s="1" t="str">
        <f t="shared" si="53"/>
        <v>020090</v>
      </c>
      <c r="D2707" s="1" t="str">
        <f>"112310105"</f>
        <v>112310105</v>
      </c>
      <c r="E2707" s="1">
        <v>81.5</v>
      </c>
      <c r="F2707" s="1">
        <v>88</v>
      </c>
      <c r="H2707" s="1">
        <v>84.1</v>
      </c>
    </row>
    <row r="2708" s="1" customFormat="1" spans="1:8">
      <c r="A2708" s="1" t="s">
        <v>17</v>
      </c>
      <c r="B2708" s="1" t="s">
        <v>19</v>
      </c>
      <c r="C2708" s="1" t="str">
        <f t="shared" si="53"/>
        <v>020090</v>
      </c>
      <c r="D2708" s="1" t="str">
        <f>"112310106"</f>
        <v>112310106</v>
      </c>
      <c r="E2708" s="1">
        <v>79.5</v>
      </c>
      <c r="F2708" s="1">
        <v>90</v>
      </c>
      <c r="H2708" s="1">
        <v>83.7</v>
      </c>
    </row>
    <row r="2709" s="1" customFormat="1" spans="1:8">
      <c r="A2709" s="1" t="s">
        <v>17</v>
      </c>
      <c r="B2709" s="1" t="s">
        <v>19</v>
      </c>
      <c r="C2709" s="1" t="str">
        <f t="shared" si="53"/>
        <v>020090</v>
      </c>
      <c r="D2709" s="1" t="str">
        <f>"112310107"</f>
        <v>112310107</v>
      </c>
      <c r="E2709" s="1">
        <v>74.5</v>
      </c>
      <c r="F2709" s="1">
        <v>64</v>
      </c>
      <c r="H2709" s="1">
        <v>70.3</v>
      </c>
    </row>
    <row r="2710" s="1" customFormat="1" spans="1:8">
      <c r="A2710" s="1" t="s">
        <v>17</v>
      </c>
      <c r="B2710" s="1" t="s">
        <v>19</v>
      </c>
      <c r="C2710" s="1" t="str">
        <f t="shared" si="53"/>
        <v>020090</v>
      </c>
      <c r="D2710" s="1" t="str">
        <f>"112310108"</f>
        <v>112310108</v>
      </c>
      <c r="E2710" s="1">
        <v>76</v>
      </c>
      <c r="F2710" s="1">
        <v>75.5</v>
      </c>
      <c r="H2710" s="1">
        <v>75.8</v>
      </c>
    </row>
    <row r="2711" s="1" customFormat="1" spans="1:8">
      <c r="A2711" s="1" t="s">
        <v>17</v>
      </c>
      <c r="B2711" s="1" t="s">
        <v>19</v>
      </c>
      <c r="C2711" s="1" t="str">
        <f t="shared" si="53"/>
        <v>020090</v>
      </c>
      <c r="D2711" s="1" t="str">
        <f>"112310109"</f>
        <v>112310109</v>
      </c>
      <c r="E2711" s="1">
        <v>69.5</v>
      </c>
      <c r="F2711" s="1">
        <v>65</v>
      </c>
      <c r="H2711" s="1">
        <v>67.7</v>
      </c>
    </row>
    <row r="2712" s="1" customFormat="1" spans="1:8">
      <c r="A2712" s="1" t="s">
        <v>17</v>
      </c>
      <c r="B2712" s="1" t="s">
        <v>19</v>
      </c>
      <c r="C2712" s="1" t="str">
        <f t="shared" si="53"/>
        <v>020090</v>
      </c>
      <c r="D2712" s="1" t="str">
        <f>"112310110"</f>
        <v>112310110</v>
      </c>
      <c r="E2712" s="1">
        <v>74</v>
      </c>
      <c r="F2712" s="1">
        <v>52.5</v>
      </c>
      <c r="H2712" s="1">
        <v>65.4</v>
      </c>
    </row>
    <row r="2713" s="1" customFormat="1" spans="1:8">
      <c r="A2713" s="1" t="s">
        <v>17</v>
      </c>
      <c r="B2713" s="1" t="s">
        <v>19</v>
      </c>
      <c r="C2713" s="1" t="str">
        <f t="shared" si="53"/>
        <v>020090</v>
      </c>
      <c r="D2713" s="1" t="str">
        <f>"112310111"</f>
        <v>112310111</v>
      </c>
      <c r="E2713" s="1">
        <v>0</v>
      </c>
      <c r="F2713" s="1">
        <v>0</v>
      </c>
      <c r="H2713" s="1">
        <v>0</v>
      </c>
    </row>
    <row r="2714" s="1" customFormat="1" spans="1:8">
      <c r="A2714" s="1" t="s">
        <v>17</v>
      </c>
      <c r="B2714" s="1" t="s">
        <v>19</v>
      </c>
      <c r="C2714" s="1" t="str">
        <f t="shared" si="53"/>
        <v>020090</v>
      </c>
      <c r="D2714" s="1" t="str">
        <f>"112310112"</f>
        <v>112310112</v>
      </c>
      <c r="E2714" s="1">
        <v>0</v>
      </c>
      <c r="F2714" s="1">
        <v>0</v>
      </c>
      <c r="H2714" s="1">
        <v>0</v>
      </c>
    </row>
    <row r="2715" s="1" customFormat="1" spans="1:8">
      <c r="A2715" s="1" t="s">
        <v>17</v>
      </c>
      <c r="B2715" s="1" t="s">
        <v>19</v>
      </c>
      <c r="C2715" s="1" t="str">
        <f t="shared" si="53"/>
        <v>020090</v>
      </c>
      <c r="D2715" s="1" t="str">
        <f>"112310113"</f>
        <v>112310113</v>
      </c>
      <c r="E2715" s="1">
        <v>59.5</v>
      </c>
      <c r="F2715" s="1">
        <v>0</v>
      </c>
      <c r="H2715" s="1">
        <v>35.7</v>
      </c>
    </row>
    <row r="2716" s="1" customFormat="1" spans="1:8">
      <c r="A2716" s="1" t="s">
        <v>17</v>
      </c>
      <c r="B2716" s="1" t="s">
        <v>19</v>
      </c>
      <c r="C2716" s="1" t="str">
        <f t="shared" si="53"/>
        <v>020090</v>
      </c>
      <c r="D2716" s="1" t="str">
        <f>"112310114"</f>
        <v>112310114</v>
      </c>
      <c r="E2716" s="1">
        <v>82</v>
      </c>
      <c r="F2716" s="1">
        <v>89.5</v>
      </c>
      <c r="H2716" s="1">
        <v>85</v>
      </c>
    </row>
    <row r="2717" s="1" customFormat="1" spans="1:8">
      <c r="A2717" s="1" t="s">
        <v>17</v>
      </c>
      <c r="B2717" s="1" t="s">
        <v>19</v>
      </c>
      <c r="C2717" s="1" t="str">
        <f t="shared" si="53"/>
        <v>020090</v>
      </c>
      <c r="D2717" s="1" t="str">
        <f>"112310115"</f>
        <v>112310115</v>
      </c>
      <c r="E2717" s="1">
        <v>72</v>
      </c>
      <c r="F2717" s="1">
        <v>54.5</v>
      </c>
      <c r="H2717" s="1">
        <v>65</v>
      </c>
    </row>
    <row r="2718" s="1" customFormat="1" spans="1:8">
      <c r="A2718" s="1" t="s">
        <v>17</v>
      </c>
      <c r="B2718" s="1" t="s">
        <v>19</v>
      </c>
      <c r="C2718" s="1" t="str">
        <f t="shared" si="53"/>
        <v>020090</v>
      </c>
      <c r="D2718" s="1" t="str">
        <f>"112310116"</f>
        <v>112310116</v>
      </c>
      <c r="E2718" s="1">
        <v>63</v>
      </c>
      <c r="F2718" s="1">
        <v>63.5</v>
      </c>
      <c r="H2718" s="1">
        <v>63.2</v>
      </c>
    </row>
    <row r="2719" s="1" customFormat="1" spans="1:8">
      <c r="A2719" s="1" t="s">
        <v>17</v>
      </c>
      <c r="B2719" s="1" t="s">
        <v>19</v>
      </c>
      <c r="C2719" s="1" t="str">
        <f t="shared" si="53"/>
        <v>020090</v>
      </c>
      <c r="D2719" s="1" t="str">
        <f>"112310117"</f>
        <v>112310117</v>
      </c>
      <c r="E2719" s="1">
        <v>68.5</v>
      </c>
      <c r="F2719" s="1">
        <v>82</v>
      </c>
      <c r="H2719" s="1">
        <v>73.9</v>
      </c>
    </row>
    <row r="2720" s="1" customFormat="1" spans="1:8">
      <c r="A2720" s="1" t="s">
        <v>17</v>
      </c>
      <c r="B2720" s="1" t="s">
        <v>19</v>
      </c>
      <c r="C2720" s="1" t="str">
        <f t="shared" si="53"/>
        <v>020090</v>
      </c>
      <c r="D2720" s="1" t="str">
        <f>"112310118"</f>
        <v>112310118</v>
      </c>
      <c r="E2720" s="1">
        <v>84</v>
      </c>
      <c r="F2720" s="1">
        <v>89.5</v>
      </c>
      <c r="H2720" s="1">
        <v>86.2</v>
      </c>
    </row>
    <row r="2721" s="1" customFormat="1" spans="1:8">
      <c r="A2721" s="1" t="s">
        <v>17</v>
      </c>
      <c r="B2721" s="1" t="s">
        <v>19</v>
      </c>
      <c r="C2721" s="1" t="str">
        <f t="shared" si="53"/>
        <v>020090</v>
      </c>
      <c r="D2721" s="1" t="str">
        <f>"112310119"</f>
        <v>112310119</v>
      </c>
      <c r="E2721" s="1">
        <v>75</v>
      </c>
      <c r="F2721" s="1">
        <v>69</v>
      </c>
      <c r="H2721" s="1">
        <v>72.6</v>
      </c>
    </row>
    <row r="2722" s="1" customFormat="1" spans="1:8">
      <c r="A2722" s="1" t="s">
        <v>17</v>
      </c>
      <c r="B2722" s="1" t="s">
        <v>19</v>
      </c>
      <c r="C2722" s="1" t="str">
        <f t="shared" si="53"/>
        <v>020090</v>
      </c>
      <c r="D2722" s="1" t="str">
        <f>"112310120"</f>
        <v>112310120</v>
      </c>
      <c r="E2722" s="1">
        <v>64</v>
      </c>
      <c r="F2722" s="1">
        <v>62</v>
      </c>
      <c r="H2722" s="1">
        <v>63.2</v>
      </c>
    </row>
    <row r="2723" s="1" customFormat="1" spans="1:8">
      <c r="A2723" s="1" t="s">
        <v>17</v>
      </c>
      <c r="B2723" s="1" t="s">
        <v>19</v>
      </c>
      <c r="C2723" s="1" t="str">
        <f t="shared" si="53"/>
        <v>020090</v>
      </c>
      <c r="D2723" s="1" t="str">
        <f>"112310121"</f>
        <v>112310121</v>
      </c>
      <c r="E2723" s="1">
        <v>74.5</v>
      </c>
      <c r="F2723" s="1">
        <v>86</v>
      </c>
      <c r="H2723" s="1">
        <v>79.1</v>
      </c>
    </row>
    <row r="2724" s="1" customFormat="1" spans="1:8">
      <c r="A2724" s="1" t="s">
        <v>17</v>
      </c>
      <c r="B2724" s="1" t="s">
        <v>19</v>
      </c>
      <c r="C2724" s="1" t="str">
        <f t="shared" si="53"/>
        <v>020090</v>
      </c>
      <c r="D2724" s="1" t="str">
        <f>"112310122"</f>
        <v>112310122</v>
      </c>
      <c r="E2724" s="1">
        <v>67</v>
      </c>
      <c r="F2724" s="1">
        <v>74</v>
      </c>
      <c r="H2724" s="1">
        <v>69.8</v>
      </c>
    </row>
    <row r="2725" s="1" customFormat="1" spans="1:8">
      <c r="A2725" s="1" t="s">
        <v>17</v>
      </c>
      <c r="B2725" s="1" t="s">
        <v>19</v>
      </c>
      <c r="C2725" s="1" t="str">
        <f t="shared" si="53"/>
        <v>020090</v>
      </c>
      <c r="D2725" s="1" t="str">
        <f>"112310123"</f>
        <v>112310123</v>
      </c>
      <c r="E2725" s="1">
        <v>70</v>
      </c>
      <c r="F2725" s="1">
        <v>55</v>
      </c>
      <c r="H2725" s="1">
        <v>64</v>
      </c>
    </row>
    <row r="2726" s="1" customFormat="1" spans="1:8">
      <c r="A2726" s="1" t="s">
        <v>17</v>
      </c>
      <c r="B2726" s="1" t="s">
        <v>19</v>
      </c>
      <c r="C2726" s="1" t="str">
        <f t="shared" si="53"/>
        <v>020090</v>
      </c>
      <c r="D2726" s="1" t="str">
        <f>"112310124"</f>
        <v>112310124</v>
      </c>
      <c r="E2726" s="1">
        <v>76</v>
      </c>
      <c r="F2726" s="1">
        <v>83.5</v>
      </c>
      <c r="H2726" s="1">
        <v>79</v>
      </c>
    </row>
    <row r="2727" s="1" customFormat="1" spans="1:8">
      <c r="A2727" s="1" t="s">
        <v>17</v>
      </c>
      <c r="B2727" s="1" t="s">
        <v>19</v>
      </c>
      <c r="C2727" s="1" t="str">
        <f t="shared" si="53"/>
        <v>020090</v>
      </c>
      <c r="D2727" s="1" t="str">
        <f>"112310125"</f>
        <v>112310125</v>
      </c>
      <c r="E2727" s="1">
        <v>57</v>
      </c>
      <c r="F2727" s="1">
        <v>58.5</v>
      </c>
      <c r="H2727" s="1">
        <v>57.6</v>
      </c>
    </row>
    <row r="2728" s="1" customFormat="1" spans="1:8">
      <c r="A2728" s="1" t="s">
        <v>17</v>
      </c>
      <c r="B2728" s="1" t="s">
        <v>19</v>
      </c>
      <c r="C2728" s="1" t="str">
        <f t="shared" si="53"/>
        <v>020090</v>
      </c>
      <c r="D2728" s="1" t="str">
        <f>"112310126"</f>
        <v>112310126</v>
      </c>
      <c r="E2728" s="1">
        <v>79</v>
      </c>
      <c r="F2728" s="1">
        <v>89</v>
      </c>
      <c r="H2728" s="1">
        <v>83</v>
      </c>
    </row>
    <row r="2729" s="1" customFormat="1" spans="1:8">
      <c r="A2729" s="1" t="s">
        <v>17</v>
      </c>
      <c r="B2729" s="1" t="s">
        <v>19</v>
      </c>
      <c r="C2729" s="1" t="str">
        <f t="shared" si="53"/>
        <v>020090</v>
      </c>
      <c r="D2729" s="1" t="str">
        <f>"112310127"</f>
        <v>112310127</v>
      </c>
      <c r="E2729" s="1">
        <v>0</v>
      </c>
      <c r="F2729" s="1">
        <v>0</v>
      </c>
      <c r="H2729" s="1">
        <v>0</v>
      </c>
    </row>
    <row r="2730" s="1" customFormat="1" spans="1:8">
      <c r="A2730" s="1" t="s">
        <v>17</v>
      </c>
      <c r="B2730" s="1" t="s">
        <v>19</v>
      </c>
      <c r="C2730" s="1" t="str">
        <f t="shared" si="53"/>
        <v>020090</v>
      </c>
      <c r="D2730" s="1" t="str">
        <f>"112310128"</f>
        <v>112310128</v>
      </c>
      <c r="E2730" s="1">
        <v>0</v>
      </c>
      <c r="F2730" s="1">
        <v>0</v>
      </c>
      <c r="H2730" s="1">
        <v>0</v>
      </c>
    </row>
    <row r="2731" s="1" customFormat="1" spans="1:8">
      <c r="A2731" s="1" t="s">
        <v>17</v>
      </c>
      <c r="B2731" s="1" t="s">
        <v>19</v>
      </c>
      <c r="C2731" s="1" t="str">
        <f t="shared" si="53"/>
        <v>020090</v>
      </c>
      <c r="D2731" s="1" t="str">
        <f>"112310129"</f>
        <v>112310129</v>
      </c>
      <c r="E2731" s="1">
        <v>69</v>
      </c>
      <c r="F2731" s="1">
        <v>79</v>
      </c>
      <c r="H2731" s="1">
        <v>73</v>
      </c>
    </row>
    <row r="2732" s="1" customFormat="1" spans="1:8">
      <c r="A2732" s="1" t="s">
        <v>17</v>
      </c>
      <c r="B2732" s="1" t="s">
        <v>19</v>
      </c>
      <c r="C2732" s="1" t="str">
        <f t="shared" si="53"/>
        <v>020090</v>
      </c>
      <c r="D2732" s="1" t="str">
        <f>"112310130"</f>
        <v>112310130</v>
      </c>
      <c r="E2732" s="1">
        <v>87.5</v>
      </c>
      <c r="F2732" s="1">
        <v>89</v>
      </c>
      <c r="H2732" s="1">
        <v>88.1</v>
      </c>
    </row>
    <row r="2733" s="1" customFormat="1" spans="1:8">
      <c r="A2733" s="1" t="s">
        <v>17</v>
      </c>
      <c r="B2733" s="1" t="s">
        <v>19</v>
      </c>
      <c r="C2733" s="1" t="str">
        <f t="shared" si="53"/>
        <v>020090</v>
      </c>
      <c r="D2733" s="1" t="str">
        <f>"112310201"</f>
        <v>112310201</v>
      </c>
      <c r="E2733" s="1">
        <v>68.5</v>
      </c>
      <c r="F2733" s="1">
        <v>59</v>
      </c>
      <c r="H2733" s="1">
        <v>64.7</v>
      </c>
    </row>
    <row r="2734" s="1" customFormat="1" spans="1:8">
      <c r="A2734" s="1" t="s">
        <v>17</v>
      </c>
      <c r="B2734" s="1" t="s">
        <v>19</v>
      </c>
      <c r="C2734" s="1" t="str">
        <f t="shared" si="53"/>
        <v>020090</v>
      </c>
      <c r="D2734" s="1" t="str">
        <f>"112310202"</f>
        <v>112310202</v>
      </c>
      <c r="E2734" s="1">
        <v>69.5</v>
      </c>
      <c r="F2734" s="1">
        <v>68</v>
      </c>
      <c r="H2734" s="1">
        <v>68.9</v>
      </c>
    </row>
    <row r="2735" s="1" customFormat="1" spans="1:8">
      <c r="A2735" s="1" t="s">
        <v>17</v>
      </c>
      <c r="B2735" s="1" t="s">
        <v>19</v>
      </c>
      <c r="C2735" s="1" t="str">
        <f t="shared" si="53"/>
        <v>020090</v>
      </c>
      <c r="D2735" s="1" t="str">
        <f>"112310203"</f>
        <v>112310203</v>
      </c>
      <c r="E2735" s="1">
        <v>71.5</v>
      </c>
      <c r="F2735" s="1">
        <v>68</v>
      </c>
      <c r="H2735" s="1">
        <v>70.1</v>
      </c>
    </row>
    <row r="2736" s="1" customFormat="1" spans="1:8">
      <c r="A2736" s="1" t="s">
        <v>17</v>
      </c>
      <c r="B2736" s="1" t="s">
        <v>19</v>
      </c>
      <c r="C2736" s="1" t="str">
        <f t="shared" si="53"/>
        <v>020090</v>
      </c>
      <c r="D2736" s="1" t="str">
        <f>"112310204"</f>
        <v>112310204</v>
      </c>
      <c r="E2736" s="1">
        <v>64</v>
      </c>
      <c r="F2736" s="1">
        <v>71</v>
      </c>
      <c r="H2736" s="1">
        <v>66.8</v>
      </c>
    </row>
    <row r="2737" s="1" customFormat="1" spans="1:8">
      <c r="A2737" s="1" t="s">
        <v>17</v>
      </c>
      <c r="B2737" s="1" t="s">
        <v>19</v>
      </c>
      <c r="C2737" s="1" t="str">
        <f t="shared" si="53"/>
        <v>020090</v>
      </c>
      <c r="D2737" s="1" t="str">
        <f>"112310205"</f>
        <v>112310205</v>
      </c>
      <c r="E2737" s="1">
        <v>70</v>
      </c>
      <c r="F2737" s="1">
        <v>70</v>
      </c>
      <c r="H2737" s="1">
        <v>70</v>
      </c>
    </row>
    <row r="2738" s="1" customFormat="1" spans="1:8">
      <c r="A2738" s="1" t="s">
        <v>17</v>
      </c>
      <c r="B2738" s="1" t="s">
        <v>19</v>
      </c>
      <c r="C2738" s="1" t="str">
        <f t="shared" si="53"/>
        <v>020090</v>
      </c>
      <c r="D2738" s="1" t="str">
        <f>"112310206"</f>
        <v>112310206</v>
      </c>
      <c r="E2738" s="1">
        <v>69</v>
      </c>
      <c r="F2738" s="1">
        <v>69</v>
      </c>
      <c r="H2738" s="1">
        <v>69</v>
      </c>
    </row>
    <row r="2739" s="1" customFormat="1" spans="1:8">
      <c r="A2739" s="1" t="s">
        <v>17</v>
      </c>
      <c r="B2739" s="1" t="s">
        <v>19</v>
      </c>
      <c r="C2739" s="1" t="str">
        <f t="shared" si="53"/>
        <v>020090</v>
      </c>
      <c r="D2739" s="1" t="str">
        <f>"112310207"</f>
        <v>112310207</v>
      </c>
      <c r="E2739" s="1">
        <v>0</v>
      </c>
      <c r="F2739" s="1">
        <v>0</v>
      </c>
      <c r="H2739" s="1">
        <v>0</v>
      </c>
    </row>
    <row r="2740" s="1" customFormat="1" spans="1:8">
      <c r="A2740" s="1" t="s">
        <v>17</v>
      </c>
      <c r="B2740" s="1" t="s">
        <v>19</v>
      </c>
      <c r="C2740" s="1" t="str">
        <f t="shared" si="53"/>
        <v>020090</v>
      </c>
      <c r="D2740" s="1" t="str">
        <f>"112310208"</f>
        <v>112310208</v>
      </c>
      <c r="E2740" s="1">
        <v>58</v>
      </c>
      <c r="F2740" s="1">
        <v>66</v>
      </c>
      <c r="H2740" s="1">
        <v>61.2</v>
      </c>
    </row>
    <row r="2741" s="1" customFormat="1" spans="1:8">
      <c r="A2741" s="1" t="s">
        <v>17</v>
      </c>
      <c r="B2741" s="1" t="s">
        <v>19</v>
      </c>
      <c r="C2741" s="1" t="str">
        <f t="shared" si="53"/>
        <v>020090</v>
      </c>
      <c r="D2741" s="1" t="str">
        <f>"112310209"</f>
        <v>112310209</v>
      </c>
      <c r="E2741" s="1">
        <v>56</v>
      </c>
      <c r="F2741" s="1">
        <v>75</v>
      </c>
      <c r="H2741" s="1">
        <v>63.6</v>
      </c>
    </row>
    <row r="2742" s="1" customFormat="1" spans="1:8">
      <c r="A2742" s="1" t="s">
        <v>17</v>
      </c>
      <c r="B2742" s="1" t="s">
        <v>19</v>
      </c>
      <c r="C2742" s="1" t="str">
        <f t="shared" si="53"/>
        <v>020090</v>
      </c>
      <c r="D2742" s="1" t="str">
        <f>"112310210"</f>
        <v>112310210</v>
      </c>
      <c r="E2742" s="1">
        <v>63</v>
      </c>
      <c r="F2742" s="1">
        <v>62</v>
      </c>
      <c r="H2742" s="1">
        <v>62.6</v>
      </c>
    </row>
    <row r="2743" s="1" customFormat="1" spans="1:8">
      <c r="A2743" s="1" t="s">
        <v>17</v>
      </c>
      <c r="B2743" s="1" t="s">
        <v>19</v>
      </c>
      <c r="C2743" s="1" t="str">
        <f t="shared" si="53"/>
        <v>020090</v>
      </c>
      <c r="D2743" s="1" t="str">
        <f>"112310211"</f>
        <v>112310211</v>
      </c>
      <c r="E2743" s="1">
        <v>0</v>
      </c>
      <c r="F2743" s="1">
        <v>0</v>
      </c>
      <c r="H2743" s="1">
        <v>0</v>
      </c>
    </row>
    <row r="2744" s="1" customFormat="1" spans="1:8">
      <c r="A2744" s="1" t="s">
        <v>17</v>
      </c>
      <c r="B2744" s="1" t="s">
        <v>19</v>
      </c>
      <c r="C2744" s="1" t="str">
        <f t="shared" si="53"/>
        <v>020090</v>
      </c>
      <c r="D2744" s="1" t="str">
        <f>"112310212"</f>
        <v>112310212</v>
      </c>
      <c r="E2744" s="1">
        <v>73.5</v>
      </c>
      <c r="F2744" s="1">
        <v>75</v>
      </c>
      <c r="H2744" s="1">
        <v>74.1</v>
      </c>
    </row>
    <row r="2745" s="1" customFormat="1" spans="1:8">
      <c r="A2745" s="1" t="s">
        <v>17</v>
      </c>
      <c r="B2745" s="1" t="s">
        <v>19</v>
      </c>
      <c r="C2745" s="1" t="str">
        <f t="shared" si="53"/>
        <v>020090</v>
      </c>
      <c r="D2745" s="1" t="str">
        <f>"112310213"</f>
        <v>112310213</v>
      </c>
      <c r="E2745" s="1">
        <v>81.5</v>
      </c>
      <c r="F2745" s="1">
        <v>71.5</v>
      </c>
      <c r="H2745" s="1">
        <v>77.5</v>
      </c>
    </row>
    <row r="2746" s="1" customFormat="1" spans="1:8">
      <c r="A2746" s="1" t="s">
        <v>17</v>
      </c>
      <c r="B2746" s="1" t="s">
        <v>19</v>
      </c>
      <c r="C2746" s="1" t="str">
        <f t="shared" si="53"/>
        <v>020090</v>
      </c>
      <c r="D2746" s="1" t="str">
        <f>"112310214"</f>
        <v>112310214</v>
      </c>
      <c r="E2746" s="1">
        <v>72</v>
      </c>
      <c r="F2746" s="1">
        <v>86</v>
      </c>
      <c r="H2746" s="1">
        <v>77.6</v>
      </c>
    </row>
    <row r="2747" s="1" customFormat="1" spans="1:8">
      <c r="A2747" s="1" t="s">
        <v>17</v>
      </c>
      <c r="B2747" s="1" t="s">
        <v>19</v>
      </c>
      <c r="C2747" s="1" t="str">
        <f t="shared" si="53"/>
        <v>020090</v>
      </c>
      <c r="D2747" s="1" t="str">
        <f>"112310215"</f>
        <v>112310215</v>
      </c>
      <c r="E2747" s="1">
        <v>0</v>
      </c>
      <c r="F2747" s="1">
        <v>0</v>
      </c>
      <c r="H2747" s="1">
        <v>0</v>
      </c>
    </row>
    <row r="2748" s="1" customFormat="1" spans="1:8">
      <c r="A2748" s="1" t="s">
        <v>17</v>
      </c>
      <c r="B2748" s="1" t="s">
        <v>19</v>
      </c>
      <c r="C2748" s="1" t="str">
        <f t="shared" si="53"/>
        <v>020090</v>
      </c>
      <c r="D2748" s="1" t="str">
        <f>"112310216"</f>
        <v>112310216</v>
      </c>
      <c r="E2748" s="1">
        <v>70</v>
      </c>
      <c r="F2748" s="1">
        <v>69.5</v>
      </c>
      <c r="H2748" s="1">
        <v>69.8</v>
      </c>
    </row>
    <row r="2749" s="1" customFormat="1" spans="1:8">
      <c r="A2749" s="1" t="s">
        <v>17</v>
      </c>
      <c r="B2749" s="1" t="s">
        <v>19</v>
      </c>
      <c r="C2749" s="1" t="str">
        <f t="shared" si="53"/>
        <v>020090</v>
      </c>
      <c r="D2749" s="1" t="str">
        <f>"112310217"</f>
        <v>112310217</v>
      </c>
      <c r="E2749" s="1">
        <v>0</v>
      </c>
      <c r="F2749" s="1">
        <v>0</v>
      </c>
      <c r="H2749" s="1">
        <v>0</v>
      </c>
    </row>
    <row r="2750" s="1" customFormat="1" spans="1:8">
      <c r="A2750" s="1" t="s">
        <v>17</v>
      </c>
      <c r="B2750" s="1" t="s">
        <v>19</v>
      </c>
      <c r="C2750" s="1" t="str">
        <f t="shared" si="53"/>
        <v>020090</v>
      </c>
      <c r="D2750" s="1" t="str">
        <f>"112310218"</f>
        <v>112310218</v>
      </c>
      <c r="E2750" s="1">
        <v>60</v>
      </c>
      <c r="F2750" s="1">
        <v>49</v>
      </c>
      <c r="H2750" s="1">
        <v>55.6</v>
      </c>
    </row>
    <row r="2751" s="1" customFormat="1" spans="1:8">
      <c r="A2751" s="1" t="s">
        <v>17</v>
      </c>
      <c r="B2751" s="1" t="s">
        <v>19</v>
      </c>
      <c r="C2751" s="1" t="str">
        <f t="shared" si="53"/>
        <v>020090</v>
      </c>
      <c r="D2751" s="1" t="str">
        <f>"112310219"</f>
        <v>112310219</v>
      </c>
      <c r="E2751" s="1">
        <v>0</v>
      </c>
      <c r="F2751" s="1">
        <v>0</v>
      </c>
      <c r="H2751" s="1">
        <v>0</v>
      </c>
    </row>
    <row r="2752" s="1" customFormat="1" spans="1:8">
      <c r="A2752" s="1" t="s">
        <v>17</v>
      </c>
      <c r="B2752" s="1" t="s">
        <v>19</v>
      </c>
      <c r="C2752" s="1" t="str">
        <f t="shared" si="53"/>
        <v>020090</v>
      </c>
      <c r="D2752" s="1" t="str">
        <f>"112310220"</f>
        <v>112310220</v>
      </c>
      <c r="E2752" s="1">
        <v>81.5</v>
      </c>
      <c r="F2752" s="1">
        <v>74.5</v>
      </c>
      <c r="H2752" s="1">
        <v>78.7</v>
      </c>
    </row>
    <row r="2753" s="1" customFormat="1" spans="1:8">
      <c r="A2753" s="1" t="s">
        <v>17</v>
      </c>
      <c r="B2753" s="1" t="s">
        <v>19</v>
      </c>
      <c r="C2753" s="1" t="str">
        <f t="shared" si="53"/>
        <v>020090</v>
      </c>
      <c r="D2753" s="1" t="str">
        <f>"112310221"</f>
        <v>112310221</v>
      </c>
      <c r="E2753" s="1">
        <v>60.5</v>
      </c>
      <c r="F2753" s="1">
        <v>71.5</v>
      </c>
      <c r="H2753" s="1">
        <v>64.9</v>
      </c>
    </row>
    <row r="2754" s="1" customFormat="1" spans="1:8">
      <c r="A2754" s="1" t="s">
        <v>17</v>
      </c>
      <c r="B2754" s="1" t="s">
        <v>19</v>
      </c>
      <c r="C2754" s="1" t="str">
        <f t="shared" si="53"/>
        <v>020090</v>
      </c>
      <c r="D2754" s="1" t="str">
        <f>"112310222"</f>
        <v>112310222</v>
      </c>
      <c r="E2754" s="1">
        <v>73.5</v>
      </c>
      <c r="F2754" s="1">
        <v>58</v>
      </c>
      <c r="H2754" s="1">
        <v>67.3</v>
      </c>
    </row>
    <row r="2755" s="1" customFormat="1" spans="1:8">
      <c r="A2755" s="1" t="s">
        <v>17</v>
      </c>
      <c r="B2755" s="1" t="s">
        <v>19</v>
      </c>
      <c r="C2755" s="1" t="str">
        <f t="shared" si="53"/>
        <v>020090</v>
      </c>
      <c r="D2755" s="1" t="str">
        <f>"112310223"</f>
        <v>112310223</v>
      </c>
      <c r="E2755" s="1">
        <v>63.5</v>
      </c>
      <c r="F2755" s="1">
        <v>50</v>
      </c>
      <c r="H2755" s="1">
        <v>58.1</v>
      </c>
    </row>
    <row r="2756" s="1" customFormat="1" spans="1:8">
      <c r="A2756" s="1" t="s">
        <v>17</v>
      </c>
      <c r="B2756" s="1" t="s">
        <v>19</v>
      </c>
      <c r="C2756" s="1" t="str">
        <f t="shared" si="53"/>
        <v>020090</v>
      </c>
      <c r="D2756" s="1" t="str">
        <f>"112310224"</f>
        <v>112310224</v>
      </c>
      <c r="E2756" s="1">
        <v>85</v>
      </c>
      <c r="F2756" s="1">
        <v>72.5</v>
      </c>
      <c r="H2756" s="1">
        <v>80</v>
      </c>
    </row>
    <row r="2757" s="1" customFormat="1" spans="1:8">
      <c r="A2757" s="1" t="s">
        <v>17</v>
      </c>
      <c r="B2757" s="1" t="s">
        <v>19</v>
      </c>
      <c r="C2757" s="1" t="str">
        <f t="shared" si="53"/>
        <v>020090</v>
      </c>
      <c r="D2757" s="1" t="str">
        <f>"112310225"</f>
        <v>112310225</v>
      </c>
      <c r="E2757" s="1">
        <v>77</v>
      </c>
      <c r="F2757" s="1">
        <v>68.5</v>
      </c>
      <c r="H2757" s="1">
        <v>73.6</v>
      </c>
    </row>
    <row r="2758" s="1" customFormat="1" spans="1:8">
      <c r="A2758" s="1" t="s">
        <v>17</v>
      </c>
      <c r="B2758" s="1" t="s">
        <v>19</v>
      </c>
      <c r="C2758" s="1" t="str">
        <f t="shared" si="53"/>
        <v>020090</v>
      </c>
      <c r="D2758" s="1" t="str">
        <f>"112310226"</f>
        <v>112310226</v>
      </c>
      <c r="E2758" s="1">
        <v>0</v>
      </c>
      <c r="F2758" s="1">
        <v>0</v>
      </c>
      <c r="H2758" s="1">
        <v>0</v>
      </c>
    </row>
    <row r="2759" s="1" customFormat="1" spans="1:8">
      <c r="A2759" s="1" t="s">
        <v>17</v>
      </c>
      <c r="B2759" s="1" t="s">
        <v>19</v>
      </c>
      <c r="C2759" s="1" t="str">
        <f t="shared" si="53"/>
        <v>020090</v>
      </c>
      <c r="D2759" s="1" t="str">
        <f>"112310227"</f>
        <v>112310227</v>
      </c>
      <c r="E2759" s="1">
        <v>72</v>
      </c>
      <c r="F2759" s="1">
        <v>81</v>
      </c>
      <c r="H2759" s="1">
        <v>75.6</v>
      </c>
    </row>
    <row r="2760" s="1" customFormat="1" spans="1:8">
      <c r="A2760" s="1" t="s">
        <v>17</v>
      </c>
      <c r="B2760" s="1" t="s">
        <v>19</v>
      </c>
      <c r="C2760" s="1" t="str">
        <f t="shared" si="53"/>
        <v>020090</v>
      </c>
      <c r="D2760" s="1" t="str">
        <f>"112310228"</f>
        <v>112310228</v>
      </c>
      <c r="E2760" s="1">
        <v>0</v>
      </c>
      <c r="F2760" s="1">
        <v>0</v>
      </c>
      <c r="H2760" s="1">
        <v>0</v>
      </c>
    </row>
    <row r="2761" s="1" customFormat="1" spans="1:8">
      <c r="A2761" s="1" t="s">
        <v>17</v>
      </c>
      <c r="B2761" s="1" t="s">
        <v>19</v>
      </c>
      <c r="C2761" s="1" t="str">
        <f t="shared" si="53"/>
        <v>020090</v>
      </c>
      <c r="D2761" s="1" t="str">
        <f>"112310229"</f>
        <v>112310229</v>
      </c>
      <c r="E2761" s="1">
        <v>69</v>
      </c>
      <c r="F2761" s="1">
        <v>50</v>
      </c>
      <c r="H2761" s="1">
        <v>61.4</v>
      </c>
    </row>
    <row r="2762" s="1" customFormat="1" spans="1:8">
      <c r="A2762" s="1" t="s">
        <v>17</v>
      </c>
      <c r="B2762" s="1" t="s">
        <v>19</v>
      </c>
      <c r="C2762" s="1" t="str">
        <f t="shared" si="53"/>
        <v>020090</v>
      </c>
      <c r="D2762" s="1" t="str">
        <f>"112310230"</f>
        <v>112310230</v>
      </c>
      <c r="E2762" s="1">
        <v>70</v>
      </c>
      <c r="F2762" s="1">
        <v>59.5</v>
      </c>
      <c r="H2762" s="1">
        <v>65.8</v>
      </c>
    </row>
    <row r="2763" s="1" customFormat="1" spans="1:8">
      <c r="A2763" s="1" t="s">
        <v>17</v>
      </c>
      <c r="B2763" s="1" t="s">
        <v>19</v>
      </c>
      <c r="C2763" s="1" t="str">
        <f t="shared" si="53"/>
        <v>020090</v>
      </c>
      <c r="D2763" s="1" t="str">
        <f>"112310301"</f>
        <v>112310301</v>
      </c>
      <c r="E2763" s="1">
        <v>61</v>
      </c>
      <c r="F2763" s="1">
        <v>61.5</v>
      </c>
      <c r="H2763" s="1">
        <v>61.2</v>
      </c>
    </row>
    <row r="2764" s="1" customFormat="1" spans="1:8">
      <c r="A2764" s="1" t="s">
        <v>17</v>
      </c>
      <c r="B2764" s="1" t="s">
        <v>19</v>
      </c>
      <c r="C2764" s="1" t="str">
        <f t="shared" si="53"/>
        <v>020090</v>
      </c>
      <c r="D2764" s="1" t="str">
        <f>"112310302"</f>
        <v>112310302</v>
      </c>
      <c r="E2764" s="1">
        <v>57.5</v>
      </c>
      <c r="F2764" s="1">
        <v>48.5</v>
      </c>
      <c r="H2764" s="1">
        <v>53.9</v>
      </c>
    </row>
    <row r="2765" s="1" customFormat="1" spans="1:8">
      <c r="A2765" s="1" t="s">
        <v>17</v>
      </c>
      <c r="B2765" s="1" t="s">
        <v>19</v>
      </c>
      <c r="C2765" s="1" t="str">
        <f t="shared" si="53"/>
        <v>020090</v>
      </c>
      <c r="D2765" s="1" t="str">
        <f>"112310303"</f>
        <v>112310303</v>
      </c>
      <c r="E2765" s="1">
        <v>57.5</v>
      </c>
      <c r="F2765" s="1">
        <v>60.5</v>
      </c>
      <c r="H2765" s="1">
        <v>58.7</v>
      </c>
    </row>
    <row r="2766" s="1" customFormat="1" spans="1:8">
      <c r="A2766" s="1" t="s">
        <v>17</v>
      </c>
      <c r="B2766" s="1" t="s">
        <v>19</v>
      </c>
      <c r="C2766" s="1" t="str">
        <f t="shared" si="53"/>
        <v>020090</v>
      </c>
      <c r="D2766" s="1" t="str">
        <f>"112310304"</f>
        <v>112310304</v>
      </c>
      <c r="E2766" s="1">
        <v>68.5</v>
      </c>
      <c r="F2766" s="1">
        <v>66</v>
      </c>
      <c r="H2766" s="1">
        <v>67.5</v>
      </c>
    </row>
    <row r="2767" s="1" customFormat="1" spans="1:8">
      <c r="A2767" s="1" t="s">
        <v>17</v>
      </c>
      <c r="B2767" s="1" t="s">
        <v>19</v>
      </c>
      <c r="C2767" s="1" t="str">
        <f t="shared" ref="C2767:C2830" si="54">"020090"</f>
        <v>020090</v>
      </c>
      <c r="D2767" s="1" t="str">
        <f>"112310305"</f>
        <v>112310305</v>
      </c>
      <c r="E2767" s="1">
        <v>87.5</v>
      </c>
      <c r="F2767" s="1">
        <v>89</v>
      </c>
      <c r="H2767" s="1">
        <v>88.1</v>
      </c>
    </row>
    <row r="2768" s="1" customFormat="1" spans="1:8">
      <c r="A2768" s="1" t="s">
        <v>17</v>
      </c>
      <c r="B2768" s="1" t="s">
        <v>19</v>
      </c>
      <c r="C2768" s="1" t="str">
        <f t="shared" si="54"/>
        <v>020090</v>
      </c>
      <c r="D2768" s="1" t="str">
        <f>"112310306"</f>
        <v>112310306</v>
      </c>
      <c r="E2768" s="1">
        <v>75.5</v>
      </c>
      <c r="F2768" s="1">
        <v>72.5</v>
      </c>
      <c r="H2768" s="1">
        <v>74.3</v>
      </c>
    </row>
    <row r="2769" s="1" customFormat="1" spans="1:8">
      <c r="A2769" s="1" t="s">
        <v>17</v>
      </c>
      <c r="B2769" s="1" t="s">
        <v>19</v>
      </c>
      <c r="C2769" s="1" t="str">
        <f t="shared" si="54"/>
        <v>020090</v>
      </c>
      <c r="D2769" s="1" t="str">
        <f>"112310307"</f>
        <v>112310307</v>
      </c>
      <c r="E2769" s="1">
        <v>87.5</v>
      </c>
      <c r="F2769" s="1">
        <v>83</v>
      </c>
      <c r="H2769" s="1">
        <v>85.7</v>
      </c>
    </row>
    <row r="2770" s="1" customFormat="1" spans="1:8">
      <c r="A2770" s="1" t="s">
        <v>17</v>
      </c>
      <c r="B2770" s="1" t="s">
        <v>19</v>
      </c>
      <c r="C2770" s="1" t="str">
        <f t="shared" si="54"/>
        <v>020090</v>
      </c>
      <c r="D2770" s="1" t="str">
        <f>"112310308"</f>
        <v>112310308</v>
      </c>
      <c r="E2770" s="1">
        <v>69</v>
      </c>
      <c r="F2770" s="1">
        <v>68.5</v>
      </c>
      <c r="H2770" s="1">
        <v>68.8</v>
      </c>
    </row>
    <row r="2771" s="1" customFormat="1" spans="1:8">
      <c r="A2771" s="1" t="s">
        <v>17</v>
      </c>
      <c r="B2771" s="1" t="s">
        <v>19</v>
      </c>
      <c r="C2771" s="1" t="str">
        <f t="shared" si="54"/>
        <v>020090</v>
      </c>
      <c r="D2771" s="1" t="str">
        <f>"112310309"</f>
        <v>112310309</v>
      </c>
      <c r="E2771" s="1">
        <v>79.5</v>
      </c>
      <c r="F2771" s="1">
        <v>64</v>
      </c>
      <c r="H2771" s="1">
        <v>73.3</v>
      </c>
    </row>
    <row r="2772" s="1" customFormat="1" spans="1:8">
      <c r="A2772" s="1" t="s">
        <v>17</v>
      </c>
      <c r="B2772" s="1" t="s">
        <v>19</v>
      </c>
      <c r="C2772" s="1" t="str">
        <f t="shared" si="54"/>
        <v>020090</v>
      </c>
      <c r="D2772" s="1" t="str">
        <f>"112310310"</f>
        <v>112310310</v>
      </c>
      <c r="E2772" s="1">
        <v>0</v>
      </c>
      <c r="F2772" s="1">
        <v>0</v>
      </c>
      <c r="H2772" s="1">
        <v>0</v>
      </c>
    </row>
    <row r="2773" s="1" customFormat="1" spans="1:8">
      <c r="A2773" s="1" t="s">
        <v>17</v>
      </c>
      <c r="B2773" s="1" t="s">
        <v>19</v>
      </c>
      <c r="C2773" s="1" t="str">
        <f t="shared" si="54"/>
        <v>020090</v>
      </c>
      <c r="D2773" s="1" t="str">
        <f>"112310311"</f>
        <v>112310311</v>
      </c>
      <c r="E2773" s="1">
        <v>0</v>
      </c>
      <c r="F2773" s="1">
        <v>0</v>
      </c>
      <c r="H2773" s="1">
        <v>0</v>
      </c>
    </row>
    <row r="2774" s="1" customFormat="1" spans="1:8">
      <c r="A2774" s="1" t="s">
        <v>17</v>
      </c>
      <c r="B2774" s="1" t="s">
        <v>19</v>
      </c>
      <c r="C2774" s="1" t="str">
        <f t="shared" si="54"/>
        <v>020090</v>
      </c>
      <c r="D2774" s="1" t="str">
        <f>"112310312"</f>
        <v>112310312</v>
      </c>
      <c r="E2774" s="1">
        <v>80</v>
      </c>
      <c r="F2774" s="1">
        <v>67.5</v>
      </c>
      <c r="H2774" s="1">
        <v>75</v>
      </c>
    </row>
    <row r="2775" s="1" customFormat="1" spans="1:8">
      <c r="A2775" s="1" t="s">
        <v>17</v>
      </c>
      <c r="B2775" s="1" t="s">
        <v>19</v>
      </c>
      <c r="C2775" s="1" t="str">
        <f t="shared" si="54"/>
        <v>020090</v>
      </c>
      <c r="D2775" s="1" t="str">
        <f>"112310313"</f>
        <v>112310313</v>
      </c>
      <c r="E2775" s="1">
        <v>60.5</v>
      </c>
      <c r="F2775" s="1">
        <v>62.5</v>
      </c>
      <c r="H2775" s="1">
        <v>61.3</v>
      </c>
    </row>
    <row r="2776" s="1" customFormat="1" spans="1:8">
      <c r="A2776" s="1" t="s">
        <v>17</v>
      </c>
      <c r="B2776" s="1" t="s">
        <v>19</v>
      </c>
      <c r="C2776" s="1" t="str">
        <f t="shared" si="54"/>
        <v>020090</v>
      </c>
      <c r="D2776" s="1" t="str">
        <f>"112310314"</f>
        <v>112310314</v>
      </c>
      <c r="E2776" s="1">
        <v>0</v>
      </c>
      <c r="F2776" s="1">
        <v>0</v>
      </c>
      <c r="H2776" s="1">
        <v>0</v>
      </c>
    </row>
    <row r="2777" s="1" customFormat="1" spans="1:8">
      <c r="A2777" s="1" t="s">
        <v>17</v>
      </c>
      <c r="B2777" s="1" t="s">
        <v>19</v>
      </c>
      <c r="C2777" s="1" t="str">
        <f t="shared" si="54"/>
        <v>020090</v>
      </c>
      <c r="D2777" s="1" t="str">
        <f>"112310315"</f>
        <v>112310315</v>
      </c>
      <c r="E2777" s="1">
        <v>0</v>
      </c>
      <c r="F2777" s="1">
        <v>0</v>
      </c>
      <c r="H2777" s="1">
        <v>0</v>
      </c>
    </row>
    <row r="2778" s="1" customFormat="1" spans="1:8">
      <c r="A2778" s="1" t="s">
        <v>17</v>
      </c>
      <c r="B2778" s="1" t="s">
        <v>19</v>
      </c>
      <c r="C2778" s="1" t="str">
        <f t="shared" si="54"/>
        <v>020090</v>
      </c>
      <c r="D2778" s="1" t="str">
        <f>"112310316"</f>
        <v>112310316</v>
      </c>
      <c r="E2778" s="1">
        <v>78.5</v>
      </c>
      <c r="F2778" s="1">
        <v>67</v>
      </c>
      <c r="H2778" s="1">
        <v>73.9</v>
      </c>
    </row>
    <row r="2779" s="1" customFormat="1" spans="1:8">
      <c r="A2779" s="1" t="s">
        <v>17</v>
      </c>
      <c r="B2779" s="1" t="s">
        <v>19</v>
      </c>
      <c r="C2779" s="1" t="str">
        <f t="shared" si="54"/>
        <v>020090</v>
      </c>
      <c r="D2779" s="1" t="str">
        <f>"112310317"</f>
        <v>112310317</v>
      </c>
      <c r="E2779" s="1">
        <v>0</v>
      </c>
      <c r="F2779" s="1">
        <v>0</v>
      </c>
      <c r="H2779" s="1">
        <v>0</v>
      </c>
    </row>
    <row r="2780" s="1" customFormat="1" spans="1:8">
      <c r="A2780" s="1" t="s">
        <v>17</v>
      </c>
      <c r="B2780" s="1" t="s">
        <v>19</v>
      </c>
      <c r="C2780" s="1" t="str">
        <f t="shared" si="54"/>
        <v>020090</v>
      </c>
      <c r="D2780" s="1" t="str">
        <f>"112310318"</f>
        <v>112310318</v>
      </c>
      <c r="E2780" s="1">
        <v>0</v>
      </c>
      <c r="F2780" s="1">
        <v>0</v>
      </c>
      <c r="H2780" s="1">
        <v>0</v>
      </c>
    </row>
    <row r="2781" s="1" customFormat="1" spans="1:8">
      <c r="A2781" s="1" t="s">
        <v>17</v>
      </c>
      <c r="B2781" s="1" t="s">
        <v>19</v>
      </c>
      <c r="C2781" s="1" t="str">
        <f t="shared" si="54"/>
        <v>020090</v>
      </c>
      <c r="D2781" s="1" t="str">
        <f>"112310319"</f>
        <v>112310319</v>
      </c>
      <c r="E2781" s="1">
        <v>72.5</v>
      </c>
      <c r="F2781" s="1">
        <v>55.5</v>
      </c>
      <c r="H2781" s="1">
        <v>65.7</v>
      </c>
    </row>
    <row r="2782" s="1" customFormat="1" spans="1:8">
      <c r="A2782" s="1" t="s">
        <v>17</v>
      </c>
      <c r="B2782" s="1" t="s">
        <v>19</v>
      </c>
      <c r="C2782" s="1" t="str">
        <f t="shared" si="54"/>
        <v>020090</v>
      </c>
      <c r="D2782" s="1" t="str">
        <f>"112310320"</f>
        <v>112310320</v>
      </c>
      <c r="E2782" s="1">
        <v>0</v>
      </c>
      <c r="F2782" s="1">
        <v>0</v>
      </c>
      <c r="H2782" s="1">
        <v>0</v>
      </c>
    </row>
    <row r="2783" s="1" customFormat="1" spans="1:8">
      <c r="A2783" s="1" t="s">
        <v>17</v>
      </c>
      <c r="B2783" s="1" t="s">
        <v>19</v>
      </c>
      <c r="C2783" s="1" t="str">
        <f t="shared" si="54"/>
        <v>020090</v>
      </c>
      <c r="D2783" s="1" t="str">
        <f>"112310321"</f>
        <v>112310321</v>
      </c>
      <c r="E2783" s="1">
        <v>0</v>
      </c>
      <c r="F2783" s="1">
        <v>0</v>
      </c>
      <c r="H2783" s="1">
        <v>0</v>
      </c>
    </row>
    <row r="2784" s="1" customFormat="1" spans="1:8">
      <c r="A2784" s="1" t="s">
        <v>17</v>
      </c>
      <c r="B2784" s="1" t="s">
        <v>19</v>
      </c>
      <c r="C2784" s="1" t="str">
        <f t="shared" si="54"/>
        <v>020090</v>
      </c>
      <c r="D2784" s="1" t="str">
        <f>"112310322"</f>
        <v>112310322</v>
      </c>
      <c r="E2784" s="1">
        <v>80</v>
      </c>
      <c r="F2784" s="1">
        <v>87</v>
      </c>
      <c r="H2784" s="1">
        <v>82.8</v>
      </c>
    </row>
    <row r="2785" s="1" customFormat="1" spans="1:8">
      <c r="A2785" s="1" t="s">
        <v>17</v>
      </c>
      <c r="B2785" s="1" t="s">
        <v>19</v>
      </c>
      <c r="C2785" s="1" t="str">
        <f t="shared" si="54"/>
        <v>020090</v>
      </c>
      <c r="D2785" s="1" t="str">
        <f>"112310323"</f>
        <v>112310323</v>
      </c>
      <c r="E2785" s="1">
        <v>68.5</v>
      </c>
      <c r="F2785" s="1">
        <v>81.5</v>
      </c>
      <c r="H2785" s="1">
        <v>73.7</v>
      </c>
    </row>
    <row r="2786" s="1" customFormat="1" spans="1:8">
      <c r="A2786" s="1" t="s">
        <v>17</v>
      </c>
      <c r="B2786" s="1" t="s">
        <v>19</v>
      </c>
      <c r="C2786" s="1" t="str">
        <f t="shared" si="54"/>
        <v>020090</v>
      </c>
      <c r="D2786" s="1" t="str">
        <f>"112310324"</f>
        <v>112310324</v>
      </c>
      <c r="E2786" s="1">
        <v>0</v>
      </c>
      <c r="F2786" s="1">
        <v>0</v>
      </c>
      <c r="H2786" s="1">
        <v>0</v>
      </c>
    </row>
    <row r="2787" s="1" customFormat="1" spans="1:8">
      <c r="A2787" s="1" t="s">
        <v>17</v>
      </c>
      <c r="B2787" s="1" t="s">
        <v>19</v>
      </c>
      <c r="C2787" s="1" t="str">
        <f t="shared" si="54"/>
        <v>020090</v>
      </c>
      <c r="D2787" s="1" t="str">
        <f>"112310325"</f>
        <v>112310325</v>
      </c>
      <c r="E2787" s="1">
        <v>67</v>
      </c>
      <c r="F2787" s="1">
        <v>75.5</v>
      </c>
      <c r="H2787" s="1">
        <v>70.4</v>
      </c>
    </row>
    <row r="2788" s="1" customFormat="1" spans="1:8">
      <c r="A2788" s="1" t="s">
        <v>17</v>
      </c>
      <c r="B2788" s="1" t="s">
        <v>19</v>
      </c>
      <c r="C2788" s="1" t="str">
        <f t="shared" si="54"/>
        <v>020090</v>
      </c>
      <c r="D2788" s="1" t="str">
        <f>"112310326"</f>
        <v>112310326</v>
      </c>
      <c r="E2788" s="1">
        <v>0</v>
      </c>
      <c r="F2788" s="1">
        <v>0</v>
      </c>
      <c r="H2788" s="1">
        <v>0</v>
      </c>
    </row>
    <row r="2789" s="1" customFormat="1" spans="1:8">
      <c r="A2789" s="1" t="s">
        <v>17</v>
      </c>
      <c r="B2789" s="1" t="s">
        <v>19</v>
      </c>
      <c r="C2789" s="1" t="str">
        <f t="shared" si="54"/>
        <v>020090</v>
      </c>
      <c r="D2789" s="1" t="str">
        <f>"112310327"</f>
        <v>112310327</v>
      </c>
      <c r="E2789" s="1">
        <v>80.5</v>
      </c>
      <c r="F2789" s="1">
        <v>93.5</v>
      </c>
      <c r="H2789" s="1">
        <v>85.7</v>
      </c>
    </row>
    <row r="2790" s="1" customFormat="1" spans="1:8">
      <c r="A2790" s="1" t="s">
        <v>17</v>
      </c>
      <c r="B2790" s="1" t="s">
        <v>19</v>
      </c>
      <c r="C2790" s="1" t="str">
        <f t="shared" si="54"/>
        <v>020090</v>
      </c>
      <c r="D2790" s="1" t="str">
        <f>"112310328"</f>
        <v>112310328</v>
      </c>
      <c r="E2790" s="1">
        <v>83.5</v>
      </c>
      <c r="F2790" s="1">
        <v>88.5</v>
      </c>
      <c r="H2790" s="1">
        <v>85.5</v>
      </c>
    </row>
    <row r="2791" s="1" customFormat="1" spans="1:8">
      <c r="A2791" s="1" t="s">
        <v>17</v>
      </c>
      <c r="B2791" s="1" t="s">
        <v>19</v>
      </c>
      <c r="C2791" s="1" t="str">
        <f t="shared" si="54"/>
        <v>020090</v>
      </c>
      <c r="D2791" s="1" t="str">
        <f>"112310329"</f>
        <v>112310329</v>
      </c>
      <c r="E2791" s="1">
        <v>0</v>
      </c>
      <c r="F2791" s="1">
        <v>0</v>
      </c>
      <c r="H2791" s="1">
        <v>0</v>
      </c>
    </row>
    <row r="2792" s="1" customFormat="1" spans="1:8">
      <c r="A2792" s="1" t="s">
        <v>17</v>
      </c>
      <c r="B2792" s="1" t="s">
        <v>19</v>
      </c>
      <c r="C2792" s="1" t="str">
        <f t="shared" si="54"/>
        <v>020090</v>
      </c>
      <c r="D2792" s="1" t="str">
        <f>"112310330"</f>
        <v>112310330</v>
      </c>
      <c r="E2792" s="1">
        <v>0</v>
      </c>
      <c r="F2792" s="1">
        <v>0</v>
      </c>
      <c r="H2792" s="1">
        <v>0</v>
      </c>
    </row>
    <row r="2793" s="1" customFormat="1" spans="1:8">
      <c r="A2793" s="1" t="s">
        <v>17</v>
      </c>
      <c r="B2793" s="1" t="s">
        <v>19</v>
      </c>
      <c r="C2793" s="1" t="str">
        <f t="shared" si="54"/>
        <v>020090</v>
      </c>
      <c r="D2793" s="1" t="str">
        <f>"112310401"</f>
        <v>112310401</v>
      </c>
      <c r="E2793" s="1">
        <v>61.5</v>
      </c>
      <c r="F2793" s="1">
        <v>66.5</v>
      </c>
      <c r="H2793" s="1">
        <v>63.5</v>
      </c>
    </row>
    <row r="2794" s="1" customFormat="1" spans="1:8">
      <c r="A2794" s="1" t="s">
        <v>17</v>
      </c>
      <c r="B2794" s="1" t="s">
        <v>19</v>
      </c>
      <c r="C2794" s="1" t="str">
        <f t="shared" si="54"/>
        <v>020090</v>
      </c>
      <c r="D2794" s="1" t="str">
        <f>"112310402"</f>
        <v>112310402</v>
      </c>
      <c r="E2794" s="1">
        <v>77.5</v>
      </c>
      <c r="F2794" s="1">
        <v>97.5</v>
      </c>
      <c r="H2794" s="1">
        <v>85.5</v>
      </c>
    </row>
    <row r="2795" s="1" customFormat="1" spans="1:8">
      <c r="A2795" s="1" t="s">
        <v>17</v>
      </c>
      <c r="B2795" s="1" t="s">
        <v>19</v>
      </c>
      <c r="C2795" s="1" t="str">
        <f t="shared" si="54"/>
        <v>020090</v>
      </c>
      <c r="D2795" s="1" t="str">
        <f>"112310403"</f>
        <v>112310403</v>
      </c>
      <c r="E2795" s="1">
        <v>0</v>
      </c>
      <c r="F2795" s="1">
        <v>0</v>
      </c>
      <c r="H2795" s="1">
        <v>0</v>
      </c>
    </row>
    <row r="2796" s="1" customFormat="1" spans="1:8">
      <c r="A2796" s="1" t="s">
        <v>17</v>
      </c>
      <c r="B2796" s="1" t="s">
        <v>19</v>
      </c>
      <c r="C2796" s="1" t="str">
        <f t="shared" si="54"/>
        <v>020090</v>
      </c>
      <c r="D2796" s="1" t="str">
        <f>"112310404"</f>
        <v>112310404</v>
      </c>
      <c r="E2796" s="1">
        <v>0</v>
      </c>
      <c r="F2796" s="1">
        <v>0</v>
      </c>
      <c r="H2796" s="1">
        <v>0</v>
      </c>
    </row>
    <row r="2797" s="1" customFormat="1" spans="1:8">
      <c r="A2797" s="1" t="s">
        <v>17</v>
      </c>
      <c r="B2797" s="1" t="s">
        <v>19</v>
      </c>
      <c r="C2797" s="1" t="str">
        <f t="shared" si="54"/>
        <v>020090</v>
      </c>
      <c r="D2797" s="1" t="str">
        <f>"112310405"</f>
        <v>112310405</v>
      </c>
      <c r="E2797" s="1">
        <v>66</v>
      </c>
      <c r="F2797" s="1">
        <v>74</v>
      </c>
      <c r="H2797" s="1">
        <v>69.2</v>
      </c>
    </row>
    <row r="2798" s="1" customFormat="1" spans="1:8">
      <c r="A2798" s="1" t="s">
        <v>17</v>
      </c>
      <c r="B2798" s="1" t="s">
        <v>19</v>
      </c>
      <c r="C2798" s="1" t="str">
        <f t="shared" si="54"/>
        <v>020090</v>
      </c>
      <c r="D2798" s="1" t="str">
        <f>"112310406"</f>
        <v>112310406</v>
      </c>
      <c r="E2798" s="1">
        <v>81.5</v>
      </c>
      <c r="F2798" s="1">
        <v>73.5</v>
      </c>
      <c r="G2798" s="1">
        <v>2</v>
      </c>
      <c r="H2798" s="1">
        <v>80.3</v>
      </c>
    </row>
    <row r="2799" s="1" customFormat="1" spans="1:8">
      <c r="A2799" s="1" t="s">
        <v>17</v>
      </c>
      <c r="B2799" s="1" t="s">
        <v>19</v>
      </c>
      <c r="C2799" s="1" t="str">
        <f t="shared" si="54"/>
        <v>020090</v>
      </c>
      <c r="D2799" s="1" t="str">
        <f>"112310407"</f>
        <v>112310407</v>
      </c>
      <c r="E2799" s="1">
        <v>61.5</v>
      </c>
      <c r="F2799" s="1">
        <v>59</v>
      </c>
      <c r="H2799" s="1">
        <v>60.5</v>
      </c>
    </row>
    <row r="2800" s="1" customFormat="1" spans="1:8">
      <c r="A2800" s="1" t="s">
        <v>17</v>
      </c>
      <c r="B2800" s="1" t="s">
        <v>19</v>
      </c>
      <c r="C2800" s="1" t="str">
        <f t="shared" si="54"/>
        <v>020090</v>
      </c>
      <c r="D2800" s="1" t="str">
        <f>"112310408"</f>
        <v>112310408</v>
      </c>
      <c r="E2800" s="1">
        <v>82</v>
      </c>
      <c r="F2800" s="1">
        <v>90</v>
      </c>
      <c r="H2800" s="1">
        <v>85.2</v>
      </c>
    </row>
    <row r="2801" s="1" customFormat="1" spans="1:8">
      <c r="A2801" s="1" t="s">
        <v>17</v>
      </c>
      <c r="B2801" s="1" t="s">
        <v>19</v>
      </c>
      <c r="C2801" s="1" t="str">
        <f t="shared" si="54"/>
        <v>020090</v>
      </c>
      <c r="D2801" s="1" t="str">
        <f>"112310409"</f>
        <v>112310409</v>
      </c>
      <c r="E2801" s="1">
        <v>68.5</v>
      </c>
      <c r="F2801" s="1">
        <v>65.5</v>
      </c>
      <c r="H2801" s="1">
        <v>67.3</v>
      </c>
    </row>
    <row r="2802" s="1" customFormat="1" spans="1:8">
      <c r="A2802" s="1" t="s">
        <v>17</v>
      </c>
      <c r="B2802" s="1" t="s">
        <v>19</v>
      </c>
      <c r="C2802" s="1" t="str">
        <f t="shared" si="54"/>
        <v>020090</v>
      </c>
      <c r="D2802" s="1" t="str">
        <f>"112310410"</f>
        <v>112310410</v>
      </c>
      <c r="E2802" s="1">
        <v>73</v>
      </c>
      <c r="F2802" s="1">
        <v>59.5</v>
      </c>
      <c r="H2802" s="1">
        <v>67.6</v>
      </c>
    </row>
    <row r="2803" s="1" customFormat="1" spans="1:8">
      <c r="A2803" s="1" t="s">
        <v>17</v>
      </c>
      <c r="B2803" s="1" t="s">
        <v>19</v>
      </c>
      <c r="C2803" s="1" t="str">
        <f t="shared" si="54"/>
        <v>020090</v>
      </c>
      <c r="D2803" s="1" t="str">
        <f>"112310411"</f>
        <v>112310411</v>
      </c>
      <c r="E2803" s="1">
        <v>0</v>
      </c>
      <c r="F2803" s="1">
        <v>0</v>
      </c>
      <c r="H2803" s="1">
        <v>0</v>
      </c>
    </row>
    <row r="2804" s="1" customFormat="1" spans="1:8">
      <c r="A2804" s="1" t="s">
        <v>17</v>
      </c>
      <c r="B2804" s="1" t="s">
        <v>19</v>
      </c>
      <c r="C2804" s="1" t="str">
        <f t="shared" si="54"/>
        <v>020090</v>
      </c>
      <c r="D2804" s="1" t="str">
        <f>"112310412"</f>
        <v>112310412</v>
      </c>
      <c r="E2804" s="1">
        <v>0</v>
      </c>
      <c r="F2804" s="1">
        <v>0</v>
      </c>
      <c r="H2804" s="1">
        <v>0</v>
      </c>
    </row>
    <row r="2805" s="1" customFormat="1" spans="1:8">
      <c r="A2805" s="1" t="s">
        <v>17</v>
      </c>
      <c r="B2805" s="1" t="s">
        <v>19</v>
      </c>
      <c r="C2805" s="1" t="str">
        <f t="shared" si="54"/>
        <v>020090</v>
      </c>
      <c r="D2805" s="1" t="str">
        <f>"112310413"</f>
        <v>112310413</v>
      </c>
      <c r="E2805" s="1">
        <v>0</v>
      </c>
      <c r="F2805" s="1">
        <v>0</v>
      </c>
      <c r="H2805" s="1">
        <v>0</v>
      </c>
    </row>
    <row r="2806" s="1" customFormat="1" spans="1:8">
      <c r="A2806" s="1" t="s">
        <v>17</v>
      </c>
      <c r="B2806" s="1" t="s">
        <v>19</v>
      </c>
      <c r="C2806" s="1" t="str">
        <f t="shared" si="54"/>
        <v>020090</v>
      </c>
      <c r="D2806" s="1" t="str">
        <f>"112310414"</f>
        <v>112310414</v>
      </c>
      <c r="E2806" s="1">
        <v>70.5</v>
      </c>
      <c r="F2806" s="1">
        <v>61</v>
      </c>
      <c r="H2806" s="1">
        <v>66.7</v>
      </c>
    </row>
    <row r="2807" s="1" customFormat="1" spans="1:8">
      <c r="A2807" s="1" t="s">
        <v>17</v>
      </c>
      <c r="B2807" s="1" t="s">
        <v>19</v>
      </c>
      <c r="C2807" s="1" t="str">
        <f t="shared" si="54"/>
        <v>020090</v>
      </c>
      <c r="D2807" s="1" t="str">
        <f>"112310415"</f>
        <v>112310415</v>
      </c>
      <c r="E2807" s="1">
        <v>61</v>
      </c>
      <c r="F2807" s="1">
        <v>83</v>
      </c>
      <c r="H2807" s="1">
        <v>69.8</v>
      </c>
    </row>
    <row r="2808" s="1" customFormat="1" spans="1:8">
      <c r="A2808" s="1" t="s">
        <v>17</v>
      </c>
      <c r="B2808" s="1" t="s">
        <v>19</v>
      </c>
      <c r="C2808" s="1" t="str">
        <f t="shared" si="54"/>
        <v>020090</v>
      </c>
      <c r="D2808" s="1" t="str">
        <f>"112310416"</f>
        <v>112310416</v>
      </c>
      <c r="E2808" s="1">
        <v>0</v>
      </c>
      <c r="F2808" s="1">
        <v>0</v>
      </c>
      <c r="H2808" s="1">
        <v>0</v>
      </c>
    </row>
    <row r="2809" s="1" customFormat="1" spans="1:8">
      <c r="A2809" s="1" t="s">
        <v>17</v>
      </c>
      <c r="B2809" s="1" t="s">
        <v>19</v>
      </c>
      <c r="C2809" s="1" t="str">
        <f t="shared" si="54"/>
        <v>020090</v>
      </c>
      <c r="D2809" s="1" t="str">
        <f>"112310417"</f>
        <v>112310417</v>
      </c>
      <c r="E2809" s="1">
        <v>74</v>
      </c>
      <c r="F2809" s="1">
        <v>73</v>
      </c>
      <c r="H2809" s="1">
        <v>73.6</v>
      </c>
    </row>
    <row r="2810" s="1" customFormat="1" spans="1:8">
      <c r="A2810" s="1" t="s">
        <v>17</v>
      </c>
      <c r="B2810" s="1" t="s">
        <v>19</v>
      </c>
      <c r="C2810" s="1" t="str">
        <f t="shared" si="54"/>
        <v>020090</v>
      </c>
      <c r="D2810" s="1" t="str">
        <f>"112310418"</f>
        <v>112310418</v>
      </c>
      <c r="E2810" s="1">
        <v>76.5</v>
      </c>
      <c r="F2810" s="1">
        <v>66</v>
      </c>
      <c r="H2810" s="1">
        <v>72.3</v>
      </c>
    </row>
    <row r="2811" s="1" customFormat="1" spans="1:8">
      <c r="A2811" s="1" t="s">
        <v>17</v>
      </c>
      <c r="B2811" s="1" t="s">
        <v>19</v>
      </c>
      <c r="C2811" s="1" t="str">
        <f t="shared" si="54"/>
        <v>020090</v>
      </c>
      <c r="D2811" s="1" t="str">
        <f>"112310419"</f>
        <v>112310419</v>
      </c>
      <c r="E2811" s="1">
        <v>64</v>
      </c>
      <c r="F2811" s="1">
        <v>81</v>
      </c>
      <c r="H2811" s="1">
        <v>70.8</v>
      </c>
    </row>
    <row r="2812" s="1" customFormat="1" spans="1:8">
      <c r="A2812" s="1" t="s">
        <v>17</v>
      </c>
      <c r="B2812" s="1" t="s">
        <v>19</v>
      </c>
      <c r="C2812" s="1" t="str">
        <f t="shared" si="54"/>
        <v>020090</v>
      </c>
      <c r="D2812" s="1" t="str">
        <f>"112310420"</f>
        <v>112310420</v>
      </c>
      <c r="E2812" s="1">
        <v>77</v>
      </c>
      <c r="F2812" s="1">
        <v>67</v>
      </c>
      <c r="H2812" s="1">
        <v>73</v>
      </c>
    </row>
    <row r="2813" s="1" customFormat="1" spans="1:8">
      <c r="A2813" s="1" t="s">
        <v>17</v>
      </c>
      <c r="B2813" s="1" t="s">
        <v>19</v>
      </c>
      <c r="C2813" s="1" t="str">
        <f t="shared" si="54"/>
        <v>020090</v>
      </c>
      <c r="D2813" s="1" t="str">
        <f>"112310421"</f>
        <v>112310421</v>
      </c>
      <c r="E2813" s="1">
        <v>71</v>
      </c>
      <c r="F2813" s="1">
        <v>65.5</v>
      </c>
      <c r="H2813" s="1">
        <v>68.8</v>
      </c>
    </row>
    <row r="2814" s="1" customFormat="1" spans="1:8">
      <c r="A2814" s="1" t="s">
        <v>17</v>
      </c>
      <c r="B2814" s="1" t="s">
        <v>19</v>
      </c>
      <c r="C2814" s="1" t="str">
        <f t="shared" si="54"/>
        <v>020090</v>
      </c>
      <c r="D2814" s="1" t="str">
        <f>"112310422"</f>
        <v>112310422</v>
      </c>
      <c r="E2814" s="1">
        <v>0</v>
      </c>
      <c r="F2814" s="1">
        <v>0</v>
      </c>
      <c r="H2814" s="1">
        <v>0</v>
      </c>
    </row>
    <row r="2815" s="1" customFormat="1" spans="1:8">
      <c r="A2815" s="1" t="s">
        <v>17</v>
      </c>
      <c r="B2815" s="1" t="s">
        <v>19</v>
      </c>
      <c r="C2815" s="1" t="str">
        <f t="shared" si="54"/>
        <v>020090</v>
      </c>
      <c r="D2815" s="1" t="str">
        <f>"112310423"</f>
        <v>112310423</v>
      </c>
      <c r="E2815" s="1">
        <v>74</v>
      </c>
      <c r="F2815" s="1">
        <v>65</v>
      </c>
      <c r="H2815" s="1">
        <v>70.4</v>
      </c>
    </row>
    <row r="2816" s="1" customFormat="1" spans="1:8">
      <c r="A2816" s="1" t="s">
        <v>17</v>
      </c>
      <c r="B2816" s="1" t="s">
        <v>19</v>
      </c>
      <c r="C2816" s="1" t="str">
        <f t="shared" si="54"/>
        <v>020090</v>
      </c>
      <c r="D2816" s="1" t="str">
        <f>"112310424"</f>
        <v>112310424</v>
      </c>
      <c r="E2816" s="1">
        <v>86.5</v>
      </c>
      <c r="F2816" s="1">
        <v>80.5</v>
      </c>
      <c r="H2816" s="1">
        <v>84.1</v>
      </c>
    </row>
    <row r="2817" s="1" customFormat="1" spans="1:8">
      <c r="A2817" s="1" t="s">
        <v>17</v>
      </c>
      <c r="B2817" s="1" t="s">
        <v>19</v>
      </c>
      <c r="C2817" s="1" t="str">
        <f t="shared" si="54"/>
        <v>020090</v>
      </c>
      <c r="D2817" s="1" t="str">
        <f>"112310425"</f>
        <v>112310425</v>
      </c>
      <c r="E2817" s="1">
        <v>0</v>
      </c>
      <c r="F2817" s="1">
        <v>0</v>
      </c>
      <c r="H2817" s="1">
        <v>0</v>
      </c>
    </row>
    <row r="2818" s="1" customFormat="1" spans="1:8">
      <c r="A2818" s="1" t="s">
        <v>17</v>
      </c>
      <c r="B2818" s="1" t="s">
        <v>19</v>
      </c>
      <c r="C2818" s="1" t="str">
        <f t="shared" si="54"/>
        <v>020090</v>
      </c>
      <c r="D2818" s="1" t="str">
        <f>"112310426"</f>
        <v>112310426</v>
      </c>
      <c r="E2818" s="1">
        <v>68</v>
      </c>
      <c r="F2818" s="1">
        <v>56.5</v>
      </c>
      <c r="H2818" s="1">
        <v>63.4</v>
      </c>
    </row>
    <row r="2819" s="1" customFormat="1" spans="1:8">
      <c r="A2819" s="1" t="s">
        <v>17</v>
      </c>
      <c r="B2819" s="1" t="s">
        <v>19</v>
      </c>
      <c r="C2819" s="1" t="str">
        <f t="shared" si="54"/>
        <v>020090</v>
      </c>
      <c r="D2819" s="1" t="str">
        <f>"112310427"</f>
        <v>112310427</v>
      </c>
      <c r="E2819" s="1">
        <v>77</v>
      </c>
      <c r="F2819" s="1">
        <v>76</v>
      </c>
      <c r="H2819" s="1">
        <v>76.6</v>
      </c>
    </row>
    <row r="2820" s="1" customFormat="1" spans="1:8">
      <c r="A2820" s="1" t="s">
        <v>17</v>
      </c>
      <c r="B2820" s="1" t="s">
        <v>19</v>
      </c>
      <c r="C2820" s="1" t="str">
        <f t="shared" si="54"/>
        <v>020090</v>
      </c>
      <c r="D2820" s="1" t="str">
        <f>"112310428"</f>
        <v>112310428</v>
      </c>
      <c r="E2820" s="1">
        <v>0</v>
      </c>
      <c r="F2820" s="1">
        <v>0</v>
      </c>
      <c r="H2820" s="1">
        <v>0</v>
      </c>
    </row>
    <row r="2821" s="1" customFormat="1" spans="1:8">
      <c r="A2821" s="1" t="s">
        <v>17</v>
      </c>
      <c r="B2821" s="1" t="s">
        <v>19</v>
      </c>
      <c r="C2821" s="1" t="str">
        <f t="shared" si="54"/>
        <v>020090</v>
      </c>
      <c r="D2821" s="1" t="str">
        <f>"112310429"</f>
        <v>112310429</v>
      </c>
      <c r="E2821" s="1">
        <v>71</v>
      </c>
      <c r="F2821" s="1">
        <v>78</v>
      </c>
      <c r="H2821" s="1">
        <v>73.8</v>
      </c>
    </row>
    <row r="2822" s="1" customFormat="1" spans="1:8">
      <c r="A2822" s="1" t="s">
        <v>17</v>
      </c>
      <c r="B2822" s="1" t="s">
        <v>19</v>
      </c>
      <c r="C2822" s="1" t="str">
        <f t="shared" si="54"/>
        <v>020090</v>
      </c>
      <c r="D2822" s="1" t="str">
        <f>"112310430"</f>
        <v>112310430</v>
      </c>
      <c r="E2822" s="1">
        <v>67.5</v>
      </c>
      <c r="F2822" s="1">
        <v>71</v>
      </c>
      <c r="H2822" s="1">
        <v>68.9</v>
      </c>
    </row>
    <row r="2823" s="1" customFormat="1" spans="1:8">
      <c r="A2823" s="1" t="s">
        <v>17</v>
      </c>
      <c r="B2823" s="1" t="s">
        <v>19</v>
      </c>
      <c r="C2823" s="1" t="str">
        <f t="shared" si="54"/>
        <v>020090</v>
      </c>
      <c r="D2823" s="1" t="str">
        <f>"112310501"</f>
        <v>112310501</v>
      </c>
      <c r="E2823" s="1">
        <v>0</v>
      </c>
      <c r="F2823" s="1">
        <v>0</v>
      </c>
      <c r="H2823" s="1">
        <v>0</v>
      </c>
    </row>
    <row r="2824" s="1" customFormat="1" spans="1:8">
      <c r="A2824" s="1" t="s">
        <v>17</v>
      </c>
      <c r="B2824" s="1" t="s">
        <v>19</v>
      </c>
      <c r="C2824" s="1" t="str">
        <f t="shared" si="54"/>
        <v>020090</v>
      </c>
      <c r="D2824" s="1" t="str">
        <f>"112310502"</f>
        <v>112310502</v>
      </c>
      <c r="E2824" s="1">
        <v>72</v>
      </c>
      <c r="F2824" s="1">
        <v>74</v>
      </c>
      <c r="H2824" s="1">
        <v>72.8</v>
      </c>
    </row>
    <row r="2825" s="1" customFormat="1" spans="1:8">
      <c r="A2825" s="1" t="s">
        <v>17</v>
      </c>
      <c r="B2825" s="1" t="s">
        <v>19</v>
      </c>
      <c r="C2825" s="1" t="str">
        <f t="shared" si="54"/>
        <v>020090</v>
      </c>
      <c r="D2825" s="1" t="str">
        <f>"112310503"</f>
        <v>112310503</v>
      </c>
      <c r="E2825" s="1">
        <v>70.5</v>
      </c>
      <c r="F2825" s="1">
        <v>70</v>
      </c>
      <c r="H2825" s="1">
        <v>70.3</v>
      </c>
    </row>
    <row r="2826" s="1" customFormat="1" spans="1:8">
      <c r="A2826" s="1" t="s">
        <v>17</v>
      </c>
      <c r="B2826" s="1" t="s">
        <v>19</v>
      </c>
      <c r="C2826" s="1" t="str">
        <f t="shared" si="54"/>
        <v>020090</v>
      </c>
      <c r="D2826" s="1" t="str">
        <f>"112310504"</f>
        <v>112310504</v>
      </c>
      <c r="E2826" s="1">
        <v>73</v>
      </c>
      <c r="F2826" s="1">
        <v>67</v>
      </c>
      <c r="H2826" s="1">
        <v>70.6</v>
      </c>
    </row>
    <row r="2827" s="1" customFormat="1" spans="1:8">
      <c r="A2827" s="1" t="s">
        <v>17</v>
      </c>
      <c r="B2827" s="1" t="s">
        <v>19</v>
      </c>
      <c r="C2827" s="1" t="str">
        <f t="shared" si="54"/>
        <v>020090</v>
      </c>
      <c r="D2827" s="1" t="str">
        <f>"112310505"</f>
        <v>112310505</v>
      </c>
      <c r="E2827" s="1">
        <v>71.5</v>
      </c>
      <c r="F2827" s="1">
        <v>65</v>
      </c>
      <c r="H2827" s="1">
        <v>68.9</v>
      </c>
    </row>
    <row r="2828" s="1" customFormat="1" spans="1:8">
      <c r="A2828" s="1" t="s">
        <v>17</v>
      </c>
      <c r="B2828" s="1" t="s">
        <v>19</v>
      </c>
      <c r="C2828" s="1" t="str">
        <f t="shared" si="54"/>
        <v>020090</v>
      </c>
      <c r="D2828" s="1" t="str">
        <f>"112310506"</f>
        <v>112310506</v>
      </c>
      <c r="E2828" s="1">
        <v>63.5</v>
      </c>
      <c r="F2828" s="1">
        <v>52.5</v>
      </c>
      <c r="H2828" s="1">
        <v>59.1</v>
      </c>
    </row>
    <row r="2829" s="1" customFormat="1" spans="1:8">
      <c r="A2829" s="1" t="s">
        <v>17</v>
      </c>
      <c r="B2829" s="1" t="s">
        <v>19</v>
      </c>
      <c r="C2829" s="1" t="str">
        <f t="shared" si="54"/>
        <v>020090</v>
      </c>
      <c r="D2829" s="1" t="str">
        <f>"112310507"</f>
        <v>112310507</v>
      </c>
      <c r="E2829" s="1">
        <v>83.5</v>
      </c>
      <c r="F2829" s="1">
        <v>75.5</v>
      </c>
      <c r="H2829" s="1">
        <v>80.3</v>
      </c>
    </row>
    <row r="2830" s="1" customFormat="1" spans="1:8">
      <c r="A2830" s="1" t="s">
        <v>17</v>
      </c>
      <c r="B2830" s="1" t="s">
        <v>19</v>
      </c>
      <c r="C2830" s="1" t="str">
        <f t="shared" si="54"/>
        <v>020090</v>
      </c>
      <c r="D2830" s="1" t="str">
        <f>"112310508"</f>
        <v>112310508</v>
      </c>
      <c r="E2830" s="1">
        <v>72</v>
      </c>
      <c r="F2830" s="1">
        <v>62.5</v>
      </c>
      <c r="H2830" s="1">
        <v>68.2</v>
      </c>
    </row>
    <row r="2831" s="1" customFormat="1" spans="1:8">
      <c r="A2831" s="1" t="s">
        <v>17</v>
      </c>
      <c r="B2831" s="1" t="s">
        <v>19</v>
      </c>
      <c r="C2831" s="1" t="str">
        <f t="shared" ref="C2831:C2894" si="55">"020090"</f>
        <v>020090</v>
      </c>
      <c r="D2831" s="1" t="str">
        <f>"112310509"</f>
        <v>112310509</v>
      </c>
      <c r="E2831" s="1">
        <v>67.5</v>
      </c>
      <c r="F2831" s="1">
        <v>64</v>
      </c>
      <c r="H2831" s="1">
        <v>66.1</v>
      </c>
    </row>
    <row r="2832" s="1" customFormat="1" spans="1:8">
      <c r="A2832" s="1" t="s">
        <v>17</v>
      </c>
      <c r="B2832" s="1" t="s">
        <v>19</v>
      </c>
      <c r="C2832" s="1" t="str">
        <f t="shared" si="55"/>
        <v>020090</v>
      </c>
      <c r="D2832" s="1" t="str">
        <f>"112310510"</f>
        <v>112310510</v>
      </c>
      <c r="E2832" s="1">
        <v>69</v>
      </c>
      <c r="F2832" s="1">
        <v>89.5</v>
      </c>
      <c r="H2832" s="1">
        <v>77.2</v>
      </c>
    </row>
    <row r="2833" s="1" customFormat="1" spans="1:8">
      <c r="A2833" s="1" t="s">
        <v>17</v>
      </c>
      <c r="B2833" s="1" t="s">
        <v>19</v>
      </c>
      <c r="C2833" s="1" t="str">
        <f t="shared" si="55"/>
        <v>020090</v>
      </c>
      <c r="D2833" s="1" t="str">
        <f>"112310511"</f>
        <v>112310511</v>
      </c>
      <c r="E2833" s="1">
        <v>59.5</v>
      </c>
      <c r="F2833" s="1">
        <v>74.5</v>
      </c>
      <c r="H2833" s="1">
        <v>65.5</v>
      </c>
    </row>
    <row r="2834" s="1" customFormat="1" spans="1:8">
      <c r="A2834" s="1" t="s">
        <v>17</v>
      </c>
      <c r="B2834" s="1" t="s">
        <v>19</v>
      </c>
      <c r="C2834" s="1" t="str">
        <f t="shared" si="55"/>
        <v>020090</v>
      </c>
      <c r="D2834" s="1" t="str">
        <f>"112310512"</f>
        <v>112310512</v>
      </c>
      <c r="E2834" s="1">
        <v>79</v>
      </c>
      <c r="F2834" s="1">
        <v>75</v>
      </c>
      <c r="H2834" s="1">
        <v>77.4</v>
      </c>
    </row>
    <row r="2835" s="1" customFormat="1" spans="1:8">
      <c r="A2835" s="1" t="s">
        <v>17</v>
      </c>
      <c r="B2835" s="1" t="s">
        <v>19</v>
      </c>
      <c r="C2835" s="1" t="str">
        <f t="shared" si="55"/>
        <v>020090</v>
      </c>
      <c r="D2835" s="1" t="str">
        <f>"112310513"</f>
        <v>112310513</v>
      </c>
      <c r="E2835" s="1">
        <v>52.5</v>
      </c>
      <c r="F2835" s="1">
        <v>58</v>
      </c>
      <c r="H2835" s="1">
        <v>54.7</v>
      </c>
    </row>
    <row r="2836" s="1" customFormat="1" spans="1:8">
      <c r="A2836" s="1" t="s">
        <v>17</v>
      </c>
      <c r="B2836" s="1" t="s">
        <v>19</v>
      </c>
      <c r="C2836" s="1" t="str">
        <f t="shared" si="55"/>
        <v>020090</v>
      </c>
      <c r="D2836" s="1" t="str">
        <f>"112310514"</f>
        <v>112310514</v>
      </c>
      <c r="E2836" s="1">
        <v>66.5</v>
      </c>
      <c r="F2836" s="1">
        <v>84</v>
      </c>
      <c r="H2836" s="1">
        <v>73.5</v>
      </c>
    </row>
    <row r="2837" s="1" customFormat="1" spans="1:8">
      <c r="A2837" s="1" t="s">
        <v>17</v>
      </c>
      <c r="B2837" s="1" t="s">
        <v>19</v>
      </c>
      <c r="C2837" s="1" t="str">
        <f t="shared" si="55"/>
        <v>020090</v>
      </c>
      <c r="D2837" s="1" t="str">
        <f>"112310515"</f>
        <v>112310515</v>
      </c>
      <c r="E2837" s="1">
        <v>75.5</v>
      </c>
      <c r="F2837" s="1">
        <v>88</v>
      </c>
      <c r="H2837" s="1">
        <v>80.5</v>
      </c>
    </row>
    <row r="2838" s="1" customFormat="1" spans="1:8">
      <c r="A2838" s="1" t="s">
        <v>17</v>
      </c>
      <c r="B2838" s="1" t="s">
        <v>19</v>
      </c>
      <c r="C2838" s="1" t="str">
        <f t="shared" si="55"/>
        <v>020090</v>
      </c>
      <c r="D2838" s="1" t="str">
        <f>"112310516"</f>
        <v>112310516</v>
      </c>
      <c r="E2838" s="1">
        <v>80.5</v>
      </c>
      <c r="F2838" s="1">
        <v>68</v>
      </c>
      <c r="H2838" s="1">
        <v>75.5</v>
      </c>
    </row>
    <row r="2839" s="1" customFormat="1" spans="1:8">
      <c r="A2839" s="1" t="s">
        <v>17</v>
      </c>
      <c r="B2839" s="1" t="s">
        <v>19</v>
      </c>
      <c r="C2839" s="1" t="str">
        <f t="shared" si="55"/>
        <v>020090</v>
      </c>
      <c r="D2839" s="1" t="str">
        <f>"112310517"</f>
        <v>112310517</v>
      </c>
      <c r="E2839" s="1">
        <v>71</v>
      </c>
      <c r="F2839" s="1">
        <v>76</v>
      </c>
      <c r="H2839" s="1">
        <v>73</v>
      </c>
    </row>
    <row r="2840" s="1" customFormat="1" spans="1:8">
      <c r="A2840" s="1" t="s">
        <v>17</v>
      </c>
      <c r="B2840" s="1" t="s">
        <v>19</v>
      </c>
      <c r="C2840" s="1" t="str">
        <f t="shared" si="55"/>
        <v>020090</v>
      </c>
      <c r="D2840" s="1" t="str">
        <f>"112310518"</f>
        <v>112310518</v>
      </c>
      <c r="E2840" s="1">
        <v>0</v>
      </c>
      <c r="F2840" s="1">
        <v>0</v>
      </c>
      <c r="H2840" s="1">
        <v>0</v>
      </c>
    </row>
    <row r="2841" s="1" customFormat="1" spans="1:8">
      <c r="A2841" s="1" t="s">
        <v>17</v>
      </c>
      <c r="B2841" s="1" t="s">
        <v>19</v>
      </c>
      <c r="C2841" s="1" t="str">
        <f t="shared" si="55"/>
        <v>020090</v>
      </c>
      <c r="D2841" s="1" t="str">
        <f>"112310519"</f>
        <v>112310519</v>
      </c>
      <c r="E2841" s="1">
        <v>0</v>
      </c>
      <c r="F2841" s="1">
        <v>0</v>
      </c>
      <c r="H2841" s="1">
        <v>0</v>
      </c>
    </row>
    <row r="2842" s="1" customFormat="1" spans="1:8">
      <c r="A2842" s="1" t="s">
        <v>17</v>
      </c>
      <c r="B2842" s="1" t="s">
        <v>19</v>
      </c>
      <c r="C2842" s="1" t="str">
        <f t="shared" si="55"/>
        <v>020090</v>
      </c>
      <c r="D2842" s="1" t="str">
        <f>"112310520"</f>
        <v>112310520</v>
      </c>
      <c r="E2842" s="1">
        <v>70</v>
      </c>
      <c r="F2842" s="1">
        <v>92</v>
      </c>
      <c r="H2842" s="1">
        <v>78.8</v>
      </c>
    </row>
    <row r="2843" s="1" customFormat="1" spans="1:8">
      <c r="A2843" s="1" t="s">
        <v>17</v>
      </c>
      <c r="B2843" s="1" t="s">
        <v>19</v>
      </c>
      <c r="C2843" s="1" t="str">
        <f t="shared" si="55"/>
        <v>020090</v>
      </c>
      <c r="D2843" s="1" t="str">
        <f>"112310521"</f>
        <v>112310521</v>
      </c>
      <c r="E2843" s="1">
        <v>79</v>
      </c>
      <c r="F2843" s="1">
        <v>84.5</v>
      </c>
      <c r="H2843" s="1">
        <v>81.2</v>
      </c>
    </row>
    <row r="2844" s="1" customFormat="1" spans="1:8">
      <c r="A2844" s="1" t="s">
        <v>17</v>
      </c>
      <c r="B2844" s="1" t="s">
        <v>19</v>
      </c>
      <c r="C2844" s="1" t="str">
        <f t="shared" si="55"/>
        <v>020090</v>
      </c>
      <c r="D2844" s="1" t="str">
        <f>"112310522"</f>
        <v>112310522</v>
      </c>
      <c r="E2844" s="1">
        <v>53.5</v>
      </c>
      <c r="F2844" s="1">
        <v>41</v>
      </c>
      <c r="H2844" s="1">
        <v>48.5</v>
      </c>
    </row>
    <row r="2845" s="1" customFormat="1" spans="1:8">
      <c r="A2845" s="1" t="s">
        <v>17</v>
      </c>
      <c r="B2845" s="1" t="s">
        <v>19</v>
      </c>
      <c r="C2845" s="1" t="str">
        <f t="shared" si="55"/>
        <v>020090</v>
      </c>
      <c r="D2845" s="1" t="str">
        <f>"112310523"</f>
        <v>112310523</v>
      </c>
      <c r="E2845" s="1">
        <v>79</v>
      </c>
      <c r="F2845" s="1">
        <v>70.5</v>
      </c>
      <c r="H2845" s="1">
        <v>75.6</v>
      </c>
    </row>
    <row r="2846" s="1" customFormat="1" spans="1:8">
      <c r="A2846" s="1" t="s">
        <v>17</v>
      </c>
      <c r="B2846" s="1" t="s">
        <v>19</v>
      </c>
      <c r="C2846" s="1" t="str">
        <f t="shared" si="55"/>
        <v>020090</v>
      </c>
      <c r="D2846" s="1" t="str">
        <f>"112310524"</f>
        <v>112310524</v>
      </c>
      <c r="E2846" s="1">
        <v>67</v>
      </c>
      <c r="F2846" s="1">
        <v>84.5</v>
      </c>
      <c r="H2846" s="1">
        <v>74</v>
      </c>
    </row>
    <row r="2847" s="1" customFormat="1" spans="1:8">
      <c r="A2847" s="1" t="s">
        <v>17</v>
      </c>
      <c r="B2847" s="1" t="s">
        <v>19</v>
      </c>
      <c r="C2847" s="1" t="str">
        <f t="shared" si="55"/>
        <v>020090</v>
      </c>
      <c r="D2847" s="1" t="str">
        <f>"112310525"</f>
        <v>112310525</v>
      </c>
      <c r="E2847" s="1">
        <v>41.5</v>
      </c>
      <c r="F2847" s="1">
        <v>43</v>
      </c>
      <c r="H2847" s="1">
        <v>42.1</v>
      </c>
    </row>
    <row r="2848" s="1" customFormat="1" spans="1:8">
      <c r="A2848" s="1" t="s">
        <v>17</v>
      </c>
      <c r="B2848" s="1" t="s">
        <v>19</v>
      </c>
      <c r="C2848" s="1" t="str">
        <f t="shared" si="55"/>
        <v>020090</v>
      </c>
      <c r="D2848" s="1" t="str">
        <f>"112310526"</f>
        <v>112310526</v>
      </c>
      <c r="E2848" s="1">
        <v>58</v>
      </c>
      <c r="F2848" s="1">
        <v>54</v>
      </c>
      <c r="H2848" s="1">
        <v>56.4</v>
      </c>
    </row>
    <row r="2849" s="1" customFormat="1" spans="1:8">
      <c r="A2849" s="1" t="s">
        <v>17</v>
      </c>
      <c r="B2849" s="1" t="s">
        <v>19</v>
      </c>
      <c r="C2849" s="1" t="str">
        <f t="shared" si="55"/>
        <v>020090</v>
      </c>
      <c r="D2849" s="1" t="str">
        <f>"112310527"</f>
        <v>112310527</v>
      </c>
      <c r="E2849" s="1">
        <v>0</v>
      </c>
      <c r="F2849" s="1">
        <v>0</v>
      </c>
      <c r="H2849" s="1">
        <v>0</v>
      </c>
    </row>
    <row r="2850" s="1" customFormat="1" spans="1:8">
      <c r="A2850" s="1" t="s">
        <v>17</v>
      </c>
      <c r="B2850" s="1" t="s">
        <v>19</v>
      </c>
      <c r="C2850" s="1" t="str">
        <f t="shared" si="55"/>
        <v>020090</v>
      </c>
      <c r="D2850" s="1" t="str">
        <f>"112310528"</f>
        <v>112310528</v>
      </c>
      <c r="E2850" s="1">
        <v>0</v>
      </c>
      <c r="F2850" s="1">
        <v>0</v>
      </c>
      <c r="H2850" s="1">
        <v>0</v>
      </c>
    </row>
    <row r="2851" s="1" customFormat="1" spans="1:8">
      <c r="A2851" s="1" t="s">
        <v>17</v>
      </c>
      <c r="B2851" s="1" t="s">
        <v>19</v>
      </c>
      <c r="C2851" s="1" t="str">
        <f t="shared" si="55"/>
        <v>020090</v>
      </c>
      <c r="D2851" s="1" t="str">
        <f>"112310529"</f>
        <v>112310529</v>
      </c>
      <c r="E2851" s="1">
        <v>86.5</v>
      </c>
      <c r="F2851" s="1">
        <v>76.5</v>
      </c>
      <c r="H2851" s="1">
        <v>82.5</v>
      </c>
    </row>
    <row r="2852" s="1" customFormat="1" spans="1:8">
      <c r="A2852" s="1" t="s">
        <v>17</v>
      </c>
      <c r="B2852" s="1" t="s">
        <v>19</v>
      </c>
      <c r="C2852" s="1" t="str">
        <f t="shared" si="55"/>
        <v>020090</v>
      </c>
      <c r="D2852" s="1" t="str">
        <f>"112310530"</f>
        <v>112310530</v>
      </c>
      <c r="E2852" s="1">
        <v>75.5</v>
      </c>
      <c r="F2852" s="1">
        <v>69.5</v>
      </c>
      <c r="H2852" s="1">
        <v>73.1</v>
      </c>
    </row>
    <row r="2853" s="1" customFormat="1" spans="1:8">
      <c r="A2853" s="1" t="s">
        <v>17</v>
      </c>
      <c r="B2853" s="1" t="s">
        <v>19</v>
      </c>
      <c r="C2853" s="1" t="str">
        <f t="shared" si="55"/>
        <v>020090</v>
      </c>
      <c r="D2853" s="1" t="str">
        <f>"112310601"</f>
        <v>112310601</v>
      </c>
      <c r="E2853" s="1">
        <v>81.5</v>
      </c>
      <c r="F2853" s="1">
        <v>67</v>
      </c>
      <c r="H2853" s="1">
        <v>75.7</v>
      </c>
    </row>
    <row r="2854" s="1" customFormat="1" spans="1:8">
      <c r="A2854" s="1" t="s">
        <v>17</v>
      </c>
      <c r="B2854" s="1" t="s">
        <v>19</v>
      </c>
      <c r="C2854" s="1" t="str">
        <f t="shared" si="55"/>
        <v>020090</v>
      </c>
      <c r="D2854" s="1" t="str">
        <f>"112310602"</f>
        <v>112310602</v>
      </c>
      <c r="E2854" s="1">
        <v>52</v>
      </c>
      <c r="F2854" s="1">
        <v>50.5</v>
      </c>
      <c r="H2854" s="1">
        <v>51.4</v>
      </c>
    </row>
    <row r="2855" s="1" customFormat="1" spans="1:8">
      <c r="A2855" s="1" t="s">
        <v>17</v>
      </c>
      <c r="B2855" s="1" t="s">
        <v>19</v>
      </c>
      <c r="C2855" s="1" t="str">
        <f t="shared" si="55"/>
        <v>020090</v>
      </c>
      <c r="D2855" s="1" t="str">
        <f>"112310603"</f>
        <v>112310603</v>
      </c>
      <c r="E2855" s="1">
        <v>83</v>
      </c>
      <c r="F2855" s="1">
        <v>74</v>
      </c>
      <c r="H2855" s="1">
        <v>79.4</v>
      </c>
    </row>
    <row r="2856" s="1" customFormat="1" spans="1:8">
      <c r="A2856" s="1" t="s">
        <v>17</v>
      </c>
      <c r="B2856" s="1" t="s">
        <v>19</v>
      </c>
      <c r="C2856" s="1" t="str">
        <f t="shared" si="55"/>
        <v>020090</v>
      </c>
      <c r="D2856" s="1" t="str">
        <f>"112310604"</f>
        <v>112310604</v>
      </c>
      <c r="E2856" s="1">
        <v>80</v>
      </c>
      <c r="F2856" s="1">
        <v>79</v>
      </c>
      <c r="H2856" s="1">
        <v>79.6</v>
      </c>
    </row>
    <row r="2857" s="1" customFormat="1" spans="1:8">
      <c r="A2857" s="1" t="s">
        <v>17</v>
      </c>
      <c r="B2857" s="1" t="s">
        <v>19</v>
      </c>
      <c r="C2857" s="1" t="str">
        <f t="shared" si="55"/>
        <v>020090</v>
      </c>
      <c r="D2857" s="1" t="str">
        <f>"112310605"</f>
        <v>112310605</v>
      </c>
      <c r="E2857" s="1">
        <v>0</v>
      </c>
      <c r="F2857" s="1">
        <v>0</v>
      </c>
      <c r="H2857" s="1">
        <v>0</v>
      </c>
    </row>
    <row r="2858" s="1" customFormat="1" spans="1:8">
      <c r="A2858" s="1" t="s">
        <v>17</v>
      </c>
      <c r="B2858" s="1" t="s">
        <v>19</v>
      </c>
      <c r="C2858" s="1" t="str">
        <f t="shared" si="55"/>
        <v>020090</v>
      </c>
      <c r="D2858" s="1" t="str">
        <f>"112310606"</f>
        <v>112310606</v>
      </c>
      <c r="E2858" s="1">
        <v>76.5</v>
      </c>
      <c r="F2858" s="1">
        <v>77.5</v>
      </c>
      <c r="H2858" s="1">
        <v>76.9</v>
      </c>
    </row>
    <row r="2859" s="1" customFormat="1" spans="1:8">
      <c r="A2859" s="1" t="s">
        <v>17</v>
      </c>
      <c r="B2859" s="1" t="s">
        <v>19</v>
      </c>
      <c r="C2859" s="1" t="str">
        <f t="shared" si="55"/>
        <v>020090</v>
      </c>
      <c r="D2859" s="1" t="str">
        <f>"112310607"</f>
        <v>112310607</v>
      </c>
      <c r="E2859" s="1">
        <v>0</v>
      </c>
      <c r="F2859" s="1">
        <v>0</v>
      </c>
      <c r="H2859" s="1">
        <v>0</v>
      </c>
    </row>
    <row r="2860" s="1" customFormat="1" spans="1:8">
      <c r="A2860" s="1" t="s">
        <v>17</v>
      </c>
      <c r="B2860" s="1" t="s">
        <v>19</v>
      </c>
      <c r="C2860" s="1" t="str">
        <f t="shared" si="55"/>
        <v>020090</v>
      </c>
      <c r="D2860" s="1" t="str">
        <f>"112310608"</f>
        <v>112310608</v>
      </c>
      <c r="E2860" s="1">
        <v>81</v>
      </c>
      <c r="F2860" s="1">
        <v>68</v>
      </c>
      <c r="H2860" s="1">
        <v>75.8</v>
      </c>
    </row>
    <row r="2861" s="1" customFormat="1" spans="1:8">
      <c r="A2861" s="1" t="s">
        <v>17</v>
      </c>
      <c r="B2861" s="1" t="s">
        <v>19</v>
      </c>
      <c r="C2861" s="1" t="str">
        <f t="shared" si="55"/>
        <v>020090</v>
      </c>
      <c r="D2861" s="1" t="str">
        <f>"112310609"</f>
        <v>112310609</v>
      </c>
      <c r="E2861" s="1">
        <v>82</v>
      </c>
      <c r="F2861" s="1">
        <v>91</v>
      </c>
      <c r="H2861" s="1">
        <v>85.6</v>
      </c>
    </row>
    <row r="2862" s="1" customFormat="1" spans="1:8">
      <c r="A2862" s="1" t="s">
        <v>17</v>
      </c>
      <c r="B2862" s="1" t="s">
        <v>19</v>
      </c>
      <c r="C2862" s="1" t="str">
        <f t="shared" si="55"/>
        <v>020090</v>
      </c>
      <c r="D2862" s="1" t="str">
        <f>"112310610"</f>
        <v>112310610</v>
      </c>
      <c r="E2862" s="1">
        <v>74</v>
      </c>
      <c r="F2862" s="1">
        <v>80.5</v>
      </c>
      <c r="H2862" s="1">
        <v>76.6</v>
      </c>
    </row>
    <row r="2863" s="1" customFormat="1" spans="1:8">
      <c r="A2863" s="1" t="s">
        <v>17</v>
      </c>
      <c r="B2863" s="1" t="s">
        <v>19</v>
      </c>
      <c r="C2863" s="1" t="str">
        <f t="shared" si="55"/>
        <v>020090</v>
      </c>
      <c r="D2863" s="1" t="str">
        <f>"112310611"</f>
        <v>112310611</v>
      </c>
      <c r="E2863" s="1">
        <v>80.5</v>
      </c>
      <c r="F2863" s="1">
        <v>81</v>
      </c>
      <c r="H2863" s="1">
        <v>80.7</v>
      </c>
    </row>
    <row r="2864" s="1" customFormat="1" spans="1:8">
      <c r="A2864" s="1" t="s">
        <v>17</v>
      </c>
      <c r="B2864" s="1" t="s">
        <v>19</v>
      </c>
      <c r="C2864" s="1" t="str">
        <f t="shared" si="55"/>
        <v>020090</v>
      </c>
      <c r="D2864" s="1" t="str">
        <f>"112310612"</f>
        <v>112310612</v>
      </c>
      <c r="E2864" s="1">
        <v>0</v>
      </c>
      <c r="F2864" s="1">
        <v>0</v>
      </c>
      <c r="H2864" s="1">
        <v>0</v>
      </c>
    </row>
    <row r="2865" s="1" customFormat="1" spans="1:8">
      <c r="A2865" s="1" t="s">
        <v>17</v>
      </c>
      <c r="B2865" s="1" t="s">
        <v>19</v>
      </c>
      <c r="C2865" s="1" t="str">
        <f t="shared" si="55"/>
        <v>020090</v>
      </c>
      <c r="D2865" s="1" t="str">
        <f>"112310613"</f>
        <v>112310613</v>
      </c>
      <c r="E2865" s="1">
        <v>87.5</v>
      </c>
      <c r="F2865" s="1">
        <v>67</v>
      </c>
      <c r="H2865" s="1">
        <v>79.3</v>
      </c>
    </row>
    <row r="2866" s="1" customFormat="1" spans="1:8">
      <c r="A2866" s="1" t="s">
        <v>17</v>
      </c>
      <c r="B2866" s="1" t="s">
        <v>19</v>
      </c>
      <c r="C2866" s="1" t="str">
        <f t="shared" si="55"/>
        <v>020090</v>
      </c>
      <c r="D2866" s="1" t="str">
        <f>"112310614"</f>
        <v>112310614</v>
      </c>
      <c r="E2866" s="1">
        <v>0</v>
      </c>
      <c r="F2866" s="1">
        <v>0</v>
      </c>
      <c r="H2866" s="1">
        <v>0</v>
      </c>
    </row>
    <row r="2867" s="1" customFormat="1" spans="1:8">
      <c r="A2867" s="1" t="s">
        <v>17</v>
      </c>
      <c r="B2867" s="1" t="s">
        <v>19</v>
      </c>
      <c r="C2867" s="1" t="str">
        <f t="shared" si="55"/>
        <v>020090</v>
      </c>
      <c r="D2867" s="1" t="str">
        <f>"112310615"</f>
        <v>112310615</v>
      </c>
      <c r="E2867" s="1">
        <v>75</v>
      </c>
      <c r="F2867" s="1">
        <v>89</v>
      </c>
      <c r="H2867" s="1">
        <v>80.6</v>
      </c>
    </row>
    <row r="2868" s="1" customFormat="1" spans="1:8">
      <c r="A2868" s="1" t="s">
        <v>17</v>
      </c>
      <c r="B2868" s="1" t="s">
        <v>19</v>
      </c>
      <c r="C2868" s="1" t="str">
        <f t="shared" si="55"/>
        <v>020090</v>
      </c>
      <c r="D2868" s="1" t="str">
        <f>"112310616"</f>
        <v>112310616</v>
      </c>
      <c r="E2868" s="1">
        <v>57.5</v>
      </c>
      <c r="F2868" s="1">
        <v>68.5</v>
      </c>
      <c r="H2868" s="1">
        <v>61.9</v>
      </c>
    </row>
    <row r="2869" s="1" customFormat="1" spans="1:8">
      <c r="A2869" s="1" t="s">
        <v>17</v>
      </c>
      <c r="B2869" s="1" t="s">
        <v>19</v>
      </c>
      <c r="C2869" s="1" t="str">
        <f t="shared" si="55"/>
        <v>020090</v>
      </c>
      <c r="D2869" s="1" t="str">
        <f>"112310617"</f>
        <v>112310617</v>
      </c>
      <c r="E2869" s="1">
        <v>0</v>
      </c>
      <c r="F2869" s="1">
        <v>0</v>
      </c>
      <c r="H2869" s="1">
        <v>0</v>
      </c>
    </row>
    <row r="2870" s="1" customFormat="1" spans="1:8">
      <c r="A2870" s="1" t="s">
        <v>17</v>
      </c>
      <c r="B2870" s="1" t="s">
        <v>19</v>
      </c>
      <c r="C2870" s="1" t="str">
        <f t="shared" si="55"/>
        <v>020090</v>
      </c>
      <c r="D2870" s="1" t="str">
        <f>"112310618"</f>
        <v>112310618</v>
      </c>
      <c r="E2870" s="1">
        <v>64.5</v>
      </c>
      <c r="F2870" s="1">
        <v>50</v>
      </c>
      <c r="H2870" s="1">
        <v>58.7</v>
      </c>
    </row>
    <row r="2871" s="1" customFormat="1" spans="1:8">
      <c r="A2871" s="1" t="s">
        <v>17</v>
      </c>
      <c r="B2871" s="1" t="s">
        <v>19</v>
      </c>
      <c r="C2871" s="1" t="str">
        <f t="shared" si="55"/>
        <v>020090</v>
      </c>
      <c r="D2871" s="1" t="str">
        <f>"112310619"</f>
        <v>112310619</v>
      </c>
      <c r="E2871" s="1">
        <v>0</v>
      </c>
      <c r="F2871" s="1">
        <v>0</v>
      </c>
      <c r="H2871" s="1">
        <v>0</v>
      </c>
    </row>
    <row r="2872" s="1" customFormat="1" spans="1:8">
      <c r="A2872" s="1" t="s">
        <v>17</v>
      </c>
      <c r="B2872" s="1" t="s">
        <v>19</v>
      </c>
      <c r="C2872" s="1" t="str">
        <f t="shared" si="55"/>
        <v>020090</v>
      </c>
      <c r="D2872" s="1" t="str">
        <f>"112310620"</f>
        <v>112310620</v>
      </c>
      <c r="E2872" s="1">
        <v>84</v>
      </c>
      <c r="F2872" s="1">
        <v>85</v>
      </c>
      <c r="H2872" s="1">
        <v>84.4</v>
      </c>
    </row>
    <row r="2873" s="1" customFormat="1" spans="1:8">
      <c r="A2873" s="1" t="s">
        <v>17</v>
      </c>
      <c r="B2873" s="1" t="s">
        <v>19</v>
      </c>
      <c r="C2873" s="1" t="str">
        <f t="shared" si="55"/>
        <v>020090</v>
      </c>
      <c r="D2873" s="1" t="str">
        <f>"112310621"</f>
        <v>112310621</v>
      </c>
      <c r="E2873" s="1">
        <v>66.5</v>
      </c>
      <c r="F2873" s="1">
        <v>75</v>
      </c>
      <c r="H2873" s="1">
        <v>69.9</v>
      </c>
    </row>
    <row r="2874" s="1" customFormat="1" spans="1:8">
      <c r="A2874" s="1" t="s">
        <v>17</v>
      </c>
      <c r="B2874" s="1" t="s">
        <v>19</v>
      </c>
      <c r="C2874" s="1" t="str">
        <f t="shared" si="55"/>
        <v>020090</v>
      </c>
      <c r="D2874" s="1" t="str">
        <f>"112310622"</f>
        <v>112310622</v>
      </c>
      <c r="E2874" s="1">
        <v>70</v>
      </c>
      <c r="F2874" s="1">
        <v>66.5</v>
      </c>
      <c r="H2874" s="1">
        <v>68.6</v>
      </c>
    </row>
    <row r="2875" s="1" customFormat="1" spans="1:8">
      <c r="A2875" s="1" t="s">
        <v>17</v>
      </c>
      <c r="B2875" s="1" t="s">
        <v>19</v>
      </c>
      <c r="C2875" s="1" t="str">
        <f t="shared" si="55"/>
        <v>020090</v>
      </c>
      <c r="D2875" s="1" t="str">
        <f>"112310623"</f>
        <v>112310623</v>
      </c>
      <c r="E2875" s="1">
        <v>69.5</v>
      </c>
      <c r="F2875" s="1">
        <v>71</v>
      </c>
      <c r="H2875" s="1">
        <v>70.1</v>
      </c>
    </row>
    <row r="2876" s="1" customFormat="1" spans="1:8">
      <c r="A2876" s="1" t="s">
        <v>17</v>
      </c>
      <c r="B2876" s="1" t="s">
        <v>19</v>
      </c>
      <c r="C2876" s="1" t="str">
        <f t="shared" si="55"/>
        <v>020090</v>
      </c>
      <c r="D2876" s="1" t="str">
        <f>"112310624"</f>
        <v>112310624</v>
      </c>
      <c r="E2876" s="1">
        <v>0</v>
      </c>
      <c r="F2876" s="1">
        <v>0</v>
      </c>
      <c r="H2876" s="1">
        <v>0</v>
      </c>
    </row>
    <row r="2877" s="1" customFormat="1" spans="1:8">
      <c r="A2877" s="1" t="s">
        <v>17</v>
      </c>
      <c r="B2877" s="1" t="s">
        <v>19</v>
      </c>
      <c r="C2877" s="1" t="str">
        <f t="shared" si="55"/>
        <v>020090</v>
      </c>
      <c r="D2877" s="1" t="str">
        <f>"112310625"</f>
        <v>112310625</v>
      </c>
      <c r="E2877" s="1">
        <v>57</v>
      </c>
      <c r="F2877" s="1">
        <v>55.5</v>
      </c>
      <c r="H2877" s="1">
        <v>56.4</v>
      </c>
    </row>
    <row r="2878" s="1" customFormat="1" spans="1:8">
      <c r="A2878" s="1" t="s">
        <v>17</v>
      </c>
      <c r="B2878" s="1" t="s">
        <v>19</v>
      </c>
      <c r="C2878" s="1" t="str">
        <f t="shared" si="55"/>
        <v>020090</v>
      </c>
      <c r="D2878" s="1" t="str">
        <f>"112310626"</f>
        <v>112310626</v>
      </c>
      <c r="E2878" s="1">
        <v>68</v>
      </c>
      <c r="F2878" s="1">
        <v>65.5</v>
      </c>
      <c r="H2878" s="1">
        <v>67</v>
      </c>
    </row>
    <row r="2879" s="1" customFormat="1" spans="1:8">
      <c r="A2879" s="1" t="s">
        <v>17</v>
      </c>
      <c r="B2879" s="1" t="s">
        <v>19</v>
      </c>
      <c r="C2879" s="1" t="str">
        <f t="shared" si="55"/>
        <v>020090</v>
      </c>
      <c r="D2879" s="1" t="str">
        <f>"112310627"</f>
        <v>112310627</v>
      </c>
      <c r="E2879" s="1">
        <v>73</v>
      </c>
      <c r="F2879" s="1">
        <v>85</v>
      </c>
      <c r="H2879" s="1">
        <v>77.8</v>
      </c>
    </row>
    <row r="2880" s="1" customFormat="1" spans="1:8">
      <c r="A2880" s="1" t="s">
        <v>17</v>
      </c>
      <c r="B2880" s="1" t="s">
        <v>19</v>
      </c>
      <c r="C2880" s="1" t="str">
        <f t="shared" si="55"/>
        <v>020090</v>
      </c>
      <c r="D2880" s="1" t="str">
        <f>"112310628"</f>
        <v>112310628</v>
      </c>
      <c r="E2880" s="1">
        <v>65.5</v>
      </c>
      <c r="F2880" s="1">
        <v>56</v>
      </c>
      <c r="H2880" s="1">
        <v>61.7</v>
      </c>
    </row>
    <row r="2881" s="1" customFormat="1" spans="1:8">
      <c r="A2881" s="1" t="s">
        <v>17</v>
      </c>
      <c r="B2881" s="1" t="s">
        <v>19</v>
      </c>
      <c r="C2881" s="1" t="str">
        <f t="shared" si="55"/>
        <v>020090</v>
      </c>
      <c r="D2881" s="1" t="str">
        <f>"112310629"</f>
        <v>112310629</v>
      </c>
      <c r="E2881" s="1">
        <v>80</v>
      </c>
      <c r="F2881" s="1">
        <v>80.5</v>
      </c>
      <c r="H2881" s="1">
        <v>80.2</v>
      </c>
    </row>
    <row r="2882" s="1" customFormat="1" spans="1:8">
      <c r="A2882" s="1" t="s">
        <v>17</v>
      </c>
      <c r="B2882" s="1" t="s">
        <v>19</v>
      </c>
      <c r="C2882" s="1" t="str">
        <f t="shared" si="55"/>
        <v>020090</v>
      </c>
      <c r="D2882" s="1" t="str">
        <f>"112310630"</f>
        <v>112310630</v>
      </c>
      <c r="E2882" s="1">
        <v>77</v>
      </c>
      <c r="F2882" s="1">
        <v>74.5</v>
      </c>
      <c r="H2882" s="1">
        <v>76</v>
      </c>
    </row>
    <row r="2883" s="1" customFormat="1" spans="1:8">
      <c r="A2883" s="1" t="s">
        <v>17</v>
      </c>
      <c r="B2883" s="1" t="s">
        <v>19</v>
      </c>
      <c r="C2883" s="1" t="str">
        <f t="shared" si="55"/>
        <v>020090</v>
      </c>
      <c r="D2883" s="1" t="str">
        <f>"112310701"</f>
        <v>112310701</v>
      </c>
      <c r="E2883" s="1">
        <v>81.5</v>
      </c>
      <c r="F2883" s="1">
        <v>84</v>
      </c>
      <c r="H2883" s="1">
        <v>82.5</v>
      </c>
    </row>
    <row r="2884" s="1" customFormat="1" spans="1:8">
      <c r="A2884" s="1" t="s">
        <v>17</v>
      </c>
      <c r="B2884" s="1" t="s">
        <v>19</v>
      </c>
      <c r="C2884" s="1" t="str">
        <f t="shared" si="55"/>
        <v>020090</v>
      </c>
      <c r="D2884" s="1" t="str">
        <f>"112310702"</f>
        <v>112310702</v>
      </c>
      <c r="E2884" s="1">
        <v>66</v>
      </c>
      <c r="F2884" s="1">
        <v>63.5</v>
      </c>
      <c r="H2884" s="1">
        <v>65</v>
      </c>
    </row>
    <row r="2885" s="1" customFormat="1" spans="1:8">
      <c r="A2885" s="1" t="s">
        <v>17</v>
      </c>
      <c r="B2885" s="1" t="s">
        <v>19</v>
      </c>
      <c r="C2885" s="1" t="str">
        <f t="shared" si="55"/>
        <v>020090</v>
      </c>
      <c r="D2885" s="1" t="str">
        <f>"112310703"</f>
        <v>112310703</v>
      </c>
      <c r="E2885" s="1">
        <v>74</v>
      </c>
      <c r="F2885" s="1">
        <v>86.5</v>
      </c>
      <c r="H2885" s="1">
        <v>79</v>
      </c>
    </row>
    <row r="2886" s="1" customFormat="1" spans="1:8">
      <c r="A2886" s="1" t="s">
        <v>17</v>
      </c>
      <c r="B2886" s="1" t="s">
        <v>19</v>
      </c>
      <c r="C2886" s="1" t="str">
        <f t="shared" si="55"/>
        <v>020090</v>
      </c>
      <c r="D2886" s="1" t="str">
        <f>"112310704"</f>
        <v>112310704</v>
      </c>
      <c r="E2886" s="1">
        <v>75</v>
      </c>
      <c r="F2886" s="1">
        <v>69</v>
      </c>
      <c r="H2886" s="1">
        <v>72.6</v>
      </c>
    </row>
    <row r="2887" s="1" customFormat="1" spans="1:8">
      <c r="A2887" s="1" t="s">
        <v>17</v>
      </c>
      <c r="B2887" s="1" t="s">
        <v>19</v>
      </c>
      <c r="C2887" s="1" t="str">
        <f t="shared" si="55"/>
        <v>020090</v>
      </c>
      <c r="D2887" s="1" t="str">
        <f>"112310705"</f>
        <v>112310705</v>
      </c>
      <c r="E2887" s="1">
        <v>81</v>
      </c>
      <c r="F2887" s="1">
        <v>66</v>
      </c>
      <c r="H2887" s="1">
        <v>75</v>
      </c>
    </row>
    <row r="2888" s="1" customFormat="1" spans="1:8">
      <c r="A2888" s="1" t="s">
        <v>17</v>
      </c>
      <c r="B2888" s="1" t="s">
        <v>19</v>
      </c>
      <c r="C2888" s="1" t="str">
        <f t="shared" si="55"/>
        <v>020090</v>
      </c>
      <c r="D2888" s="1" t="str">
        <f>"112310706"</f>
        <v>112310706</v>
      </c>
      <c r="E2888" s="1">
        <v>0</v>
      </c>
      <c r="F2888" s="1">
        <v>0</v>
      </c>
      <c r="H2888" s="1">
        <v>0</v>
      </c>
    </row>
    <row r="2889" s="1" customFormat="1" spans="1:8">
      <c r="A2889" s="1" t="s">
        <v>17</v>
      </c>
      <c r="B2889" s="1" t="s">
        <v>19</v>
      </c>
      <c r="C2889" s="1" t="str">
        <f t="shared" si="55"/>
        <v>020090</v>
      </c>
      <c r="D2889" s="1" t="str">
        <f>"112310707"</f>
        <v>112310707</v>
      </c>
      <c r="E2889" s="1">
        <v>74</v>
      </c>
      <c r="F2889" s="1">
        <v>75</v>
      </c>
      <c r="H2889" s="1">
        <v>74.4</v>
      </c>
    </row>
    <row r="2890" s="1" customFormat="1" spans="1:8">
      <c r="A2890" s="1" t="s">
        <v>17</v>
      </c>
      <c r="B2890" s="1" t="s">
        <v>19</v>
      </c>
      <c r="C2890" s="1" t="str">
        <f t="shared" si="55"/>
        <v>020090</v>
      </c>
      <c r="D2890" s="1" t="str">
        <f>"112310708"</f>
        <v>112310708</v>
      </c>
      <c r="E2890" s="1">
        <v>64.5</v>
      </c>
      <c r="F2890" s="1">
        <v>79</v>
      </c>
      <c r="H2890" s="1">
        <v>70.3</v>
      </c>
    </row>
    <row r="2891" s="1" customFormat="1" spans="1:8">
      <c r="A2891" s="1" t="s">
        <v>17</v>
      </c>
      <c r="B2891" s="1" t="s">
        <v>19</v>
      </c>
      <c r="C2891" s="1" t="str">
        <f t="shared" si="55"/>
        <v>020090</v>
      </c>
      <c r="D2891" s="1" t="str">
        <f>"112310709"</f>
        <v>112310709</v>
      </c>
      <c r="E2891" s="1">
        <v>83</v>
      </c>
      <c r="F2891" s="1">
        <v>86</v>
      </c>
      <c r="H2891" s="1">
        <v>84.2</v>
      </c>
    </row>
    <row r="2892" s="1" customFormat="1" spans="1:8">
      <c r="A2892" s="1" t="s">
        <v>17</v>
      </c>
      <c r="B2892" s="1" t="s">
        <v>19</v>
      </c>
      <c r="C2892" s="1" t="str">
        <f t="shared" si="55"/>
        <v>020090</v>
      </c>
      <c r="D2892" s="1" t="str">
        <f>"112310710"</f>
        <v>112310710</v>
      </c>
      <c r="E2892" s="1">
        <v>64</v>
      </c>
      <c r="F2892" s="1">
        <v>75.5</v>
      </c>
      <c r="H2892" s="1">
        <v>68.6</v>
      </c>
    </row>
    <row r="2893" s="1" customFormat="1" spans="1:8">
      <c r="A2893" s="1" t="s">
        <v>17</v>
      </c>
      <c r="B2893" s="1" t="s">
        <v>19</v>
      </c>
      <c r="C2893" s="1" t="str">
        <f t="shared" si="55"/>
        <v>020090</v>
      </c>
      <c r="D2893" s="1" t="str">
        <f>"112310711"</f>
        <v>112310711</v>
      </c>
      <c r="E2893" s="1">
        <v>69</v>
      </c>
      <c r="F2893" s="1">
        <v>60</v>
      </c>
      <c r="H2893" s="1">
        <v>65.4</v>
      </c>
    </row>
    <row r="2894" s="1" customFormat="1" spans="1:8">
      <c r="A2894" s="1" t="s">
        <v>17</v>
      </c>
      <c r="B2894" s="1" t="s">
        <v>19</v>
      </c>
      <c r="C2894" s="1" t="str">
        <f t="shared" si="55"/>
        <v>020090</v>
      </c>
      <c r="D2894" s="1" t="str">
        <f>"112310712"</f>
        <v>112310712</v>
      </c>
      <c r="E2894" s="1">
        <v>76</v>
      </c>
      <c r="F2894" s="1">
        <v>48</v>
      </c>
      <c r="H2894" s="1">
        <v>64.8</v>
      </c>
    </row>
    <row r="2895" s="1" customFormat="1" spans="1:8">
      <c r="A2895" s="1" t="s">
        <v>17</v>
      </c>
      <c r="B2895" s="1" t="s">
        <v>19</v>
      </c>
      <c r="C2895" s="1" t="str">
        <f t="shared" ref="C2895:C2949" si="56">"020090"</f>
        <v>020090</v>
      </c>
      <c r="D2895" s="1" t="str">
        <f>"112310713"</f>
        <v>112310713</v>
      </c>
      <c r="E2895" s="1">
        <v>64.5</v>
      </c>
      <c r="F2895" s="1">
        <v>69.5</v>
      </c>
      <c r="H2895" s="1">
        <v>66.5</v>
      </c>
    </row>
    <row r="2896" s="1" customFormat="1" spans="1:8">
      <c r="A2896" s="1" t="s">
        <v>17</v>
      </c>
      <c r="B2896" s="1" t="s">
        <v>19</v>
      </c>
      <c r="C2896" s="1" t="str">
        <f t="shared" si="56"/>
        <v>020090</v>
      </c>
      <c r="D2896" s="1" t="str">
        <f>"112310714"</f>
        <v>112310714</v>
      </c>
      <c r="E2896" s="1">
        <v>70</v>
      </c>
      <c r="F2896" s="1">
        <v>69.5</v>
      </c>
      <c r="H2896" s="1">
        <v>69.8</v>
      </c>
    </row>
    <row r="2897" s="1" customFormat="1" spans="1:8">
      <c r="A2897" s="1" t="s">
        <v>17</v>
      </c>
      <c r="B2897" s="1" t="s">
        <v>19</v>
      </c>
      <c r="C2897" s="1" t="str">
        <f t="shared" si="56"/>
        <v>020090</v>
      </c>
      <c r="D2897" s="1" t="str">
        <f>"112310715"</f>
        <v>112310715</v>
      </c>
      <c r="E2897" s="1">
        <v>69.5</v>
      </c>
      <c r="F2897" s="1">
        <v>67</v>
      </c>
      <c r="H2897" s="1">
        <v>68.5</v>
      </c>
    </row>
    <row r="2898" s="1" customFormat="1" spans="1:8">
      <c r="A2898" s="1" t="s">
        <v>17</v>
      </c>
      <c r="B2898" s="1" t="s">
        <v>19</v>
      </c>
      <c r="C2898" s="1" t="str">
        <f t="shared" si="56"/>
        <v>020090</v>
      </c>
      <c r="D2898" s="1" t="str">
        <f>"112310716"</f>
        <v>112310716</v>
      </c>
      <c r="E2898" s="1">
        <v>0</v>
      </c>
      <c r="F2898" s="1">
        <v>0</v>
      </c>
      <c r="H2898" s="1">
        <v>0</v>
      </c>
    </row>
    <row r="2899" s="1" customFormat="1" spans="1:8">
      <c r="A2899" s="1" t="s">
        <v>17</v>
      </c>
      <c r="B2899" s="1" t="s">
        <v>19</v>
      </c>
      <c r="C2899" s="1" t="str">
        <f t="shared" si="56"/>
        <v>020090</v>
      </c>
      <c r="D2899" s="1" t="str">
        <f>"112310717"</f>
        <v>112310717</v>
      </c>
      <c r="E2899" s="1">
        <v>69.5</v>
      </c>
      <c r="F2899" s="1">
        <v>82.5</v>
      </c>
      <c r="H2899" s="1">
        <v>74.7</v>
      </c>
    </row>
    <row r="2900" s="1" customFormat="1" spans="1:8">
      <c r="A2900" s="1" t="s">
        <v>17</v>
      </c>
      <c r="B2900" s="1" t="s">
        <v>19</v>
      </c>
      <c r="C2900" s="1" t="str">
        <f t="shared" si="56"/>
        <v>020090</v>
      </c>
      <c r="D2900" s="1" t="str">
        <f>"112310718"</f>
        <v>112310718</v>
      </c>
      <c r="E2900" s="1">
        <v>49.5</v>
      </c>
      <c r="F2900" s="1">
        <v>70</v>
      </c>
      <c r="H2900" s="1">
        <v>57.7</v>
      </c>
    </row>
    <row r="2901" s="1" customFormat="1" spans="1:8">
      <c r="A2901" s="1" t="s">
        <v>17</v>
      </c>
      <c r="B2901" s="1" t="s">
        <v>19</v>
      </c>
      <c r="C2901" s="1" t="str">
        <f t="shared" si="56"/>
        <v>020090</v>
      </c>
      <c r="D2901" s="1" t="str">
        <f>"112310719"</f>
        <v>112310719</v>
      </c>
      <c r="E2901" s="1">
        <v>51</v>
      </c>
      <c r="F2901" s="1">
        <v>69.5</v>
      </c>
      <c r="H2901" s="1">
        <v>58.4</v>
      </c>
    </row>
    <row r="2902" s="1" customFormat="1" spans="1:8">
      <c r="A2902" s="1" t="s">
        <v>17</v>
      </c>
      <c r="B2902" s="1" t="s">
        <v>19</v>
      </c>
      <c r="C2902" s="1" t="str">
        <f t="shared" si="56"/>
        <v>020090</v>
      </c>
      <c r="D2902" s="1" t="str">
        <f>"112310720"</f>
        <v>112310720</v>
      </c>
      <c r="E2902" s="1">
        <v>79.5</v>
      </c>
      <c r="F2902" s="1">
        <v>83</v>
      </c>
      <c r="H2902" s="1">
        <v>80.9</v>
      </c>
    </row>
    <row r="2903" s="1" customFormat="1" spans="1:8">
      <c r="A2903" s="1" t="s">
        <v>17</v>
      </c>
      <c r="B2903" s="1" t="s">
        <v>19</v>
      </c>
      <c r="C2903" s="1" t="str">
        <f t="shared" si="56"/>
        <v>020090</v>
      </c>
      <c r="D2903" s="1" t="str">
        <f>"112310721"</f>
        <v>112310721</v>
      </c>
      <c r="E2903" s="1">
        <v>55.5</v>
      </c>
      <c r="F2903" s="1">
        <v>64</v>
      </c>
      <c r="H2903" s="1">
        <v>58.9</v>
      </c>
    </row>
    <row r="2904" s="1" customFormat="1" spans="1:8">
      <c r="A2904" s="1" t="s">
        <v>17</v>
      </c>
      <c r="B2904" s="1" t="s">
        <v>19</v>
      </c>
      <c r="C2904" s="1" t="str">
        <f t="shared" si="56"/>
        <v>020090</v>
      </c>
      <c r="D2904" s="1" t="str">
        <f>"112310722"</f>
        <v>112310722</v>
      </c>
      <c r="E2904" s="1">
        <v>0</v>
      </c>
      <c r="F2904" s="1">
        <v>0</v>
      </c>
      <c r="H2904" s="1">
        <v>0</v>
      </c>
    </row>
    <row r="2905" s="1" customFormat="1" spans="1:8">
      <c r="A2905" s="1" t="s">
        <v>17</v>
      </c>
      <c r="B2905" s="1" t="s">
        <v>19</v>
      </c>
      <c r="C2905" s="1" t="str">
        <f t="shared" si="56"/>
        <v>020090</v>
      </c>
      <c r="D2905" s="1" t="str">
        <f>"112310723"</f>
        <v>112310723</v>
      </c>
      <c r="E2905" s="1">
        <v>0</v>
      </c>
      <c r="F2905" s="1">
        <v>0</v>
      </c>
      <c r="H2905" s="1">
        <v>0</v>
      </c>
    </row>
    <row r="2906" s="1" customFormat="1" spans="1:8">
      <c r="A2906" s="1" t="s">
        <v>17</v>
      </c>
      <c r="B2906" s="1" t="s">
        <v>19</v>
      </c>
      <c r="C2906" s="1" t="str">
        <f t="shared" si="56"/>
        <v>020090</v>
      </c>
      <c r="D2906" s="1" t="str">
        <f>"112310724"</f>
        <v>112310724</v>
      </c>
      <c r="E2906" s="1">
        <v>81</v>
      </c>
      <c r="F2906" s="1">
        <v>77.5</v>
      </c>
      <c r="H2906" s="1">
        <v>79.6</v>
      </c>
    </row>
    <row r="2907" s="1" customFormat="1" spans="1:8">
      <c r="A2907" s="1" t="s">
        <v>17</v>
      </c>
      <c r="B2907" s="1" t="s">
        <v>19</v>
      </c>
      <c r="C2907" s="1" t="str">
        <f t="shared" si="56"/>
        <v>020090</v>
      </c>
      <c r="D2907" s="1" t="str">
        <f>"112310725"</f>
        <v>112310725</v>
      </c>
      <c r="E2907" s="1">
        <v>76</v>
      </c>
      <c r="F2907" s="1">
        <v>73.5</v>
      </c>
      <c r="H2907" s="1">
        <v>75</v>
      </c>
    </row>
    <row r="2908" s="1" customFormat="1" spans="1:8">
      <c r="A2908" s="1" t="s">
        <v>17</v>
      </c>
      <c r="B2908" s="1" t="s">
        <v>19</v>
      </c>
      <c r="C2908" s="1" t="str">
        <f t="shared" si="56"/>
        <v>020090</v>
      </c>
      <c r="D2908" s="1" t="str">
        <f>"112310726"</f>
        <v>112310726</v>
      </c>
      <c r="E2908" s="1">
        <v>72.5</v>
      </c>
      <c r="F2908" s="1">
        <v>75.5</v>
      </c>
      <c r="H2908" s="1">
        <v>73.7</v>
      </c>
    </row>
    <row r="2909" s="1" customFormat="1" spans="1:8">
      <c r="A2909" s="1" t="s">
        <v>17</v>
      </c>
      <c r="B2909" s="1" t="s">
        <v>19</v>
      </c>
      <c r="C2909" s="1" t="str">
        <f t="shared" si="56"/>
        <v>020090</v>
      </c>
      <c r="D2909" s="1" t="str">
        <f>"112310727"</f>
        <v>112310727</v>
      </c>
      <c r="E2909" s="1">
        <v>64</v>
      </c>
      <c r="F2909" s="1">
        <v>70.5</v>
      </c>
      <c r="H2909" s="1">
        <v>66.6</v>
      </c>
    </row>
    <row r="2910" s="1" customFormat="1" spans="1:8">
      <c r="A2910" s="1" t="s">
        <v>17</v>
      </c>
      <c r="B2910" s="1" t="s">
        <v>19</v>
      </c>
      <c r="C2910" s="1" t="str">
        <f t="shared" si="56"/>
        <v>020090</v>
      </c>
      <c r="D2910" s="1" t="str">
        <f>"112310728"</f>
        <v>112310728</v>
      </c>
      <c r="E2910" s="1">
        <v>0</v>
      </c>
      <c r="F2910" s="1">
        <v>0</v>
      </c>
      <c r="H2910" s="1">
        <v>0</v>
      </c>
    </row>
    <row r="2911" s="1" customFormat="1" spans="1:8">
      <c r="A2911" s="1" t="s">
        <v>17</v>
      </c>
      <c r="B2911" s="1" t="s">
        <v>19</v>
      </c>
      <c r="C2911" s="1" t="str">
        <f t="shared" si="56"/>
        <v>020090</v>
      </c>
      <c r="D2911" s="1" t="str">
        <f>"112310729"</f>
        <v>112310729</v>
      </c>
      <c r="E2911" s="1">
        <v>60.5</v>
      </c>
      <c r="F2911" s="1">
        <v>66</v>
      </c>
      <c r="H2911" s="1">
        <v>62.7</v>
      </c>
    </row>
    <row r="2912" s="1" customFormat="1" spans="1:8">
      <c r="A2912" s="1" t="s">
        <v>17</v>
      </c>
      <c r="B2912" s="1" t="s">
        <v>19</v>
      </c>
      <c r="C2912" s="1" t="str">
        <f t="shared" si="56"/>
        <v>020090</v>
      </c>
      <c r="D2912" s="1" t="str">
        <f>"112310730"</f>
        <v>112310730</v>
      </c>
      <c r="E2912" s="1">
        <v>81</v>
      </c>
      <c r="F2912" s="1">
        <v>89</v>
      </c>
      <c r="H2912" s="1">
        <v>84.2</v>
      </c>
    </row>
    <row r="2913" s="1" customFormat="1" spans="1:8">
      <c r="A2913" s="1" t="s">
        <v>17</v>
      </c>
      <c r="B2913" s="1" t="s">
        <v>19</v>
      </c>
      <c r="C2913" s="1" t="str">
        <f t="shared" si="56"/>
        <v>020090</v>
      </c>
      <c r="D2913" s="1" t="str">
        <f>"112310801"</f>
        <v>112310801</v>
      </c>
      <c r="E2913" s="1">
        <v>0</v>
      </c>
      <c r="F2913" s="1">
        <v>0</v>
      </c>
      <c r="H2913" s="1">
        <v>0</v>
      </c>
    </row>
    <row r="2914" s="1" customFormat="1" spans="1:8">
      <c r="A2914" s="1" t="s">
        <v>17</v>
      </c>
      <c r="B2914" s="1" t="s">
        <v>19</v>
      </c>
      <c r="C2914" s="1" t="str">
        <f t="shared" si="56"/>
        <v>020090</v>
      </c>
      <c r="D2914" s="1" t="str">
        <f>"112310802"</f>
        <v>112310802</v>
      </c>
      <c r="E2914" s="1">
        <v>0</v>
      </c>
      <c r="F2914" s="1">
        <v>0</v>
      </c>
      <c r="H2914" s="1">
        <v>0</v>
      </c>
    </row>
    <row r="2915" s="1" customFormat="1" spans="1:8">
      <c r="A2915" s="1" t="s">
        <v>17</v>
      </c>
      <c r="B2915" s="1" t="s">
        <v>19</v>
      </c>
      <c r="C2915" s="1" t="str">
        <f t="shared" si="56"/>
        <v>020090</v>
      </c>
      <c r="D2915" s="1" t="str">
        <f>"112310803"</f>
        <v>112310803</v>
      </c>
      <c r="E2915" s="1">
        <v>71</v>
      </c>
      <c r="F2915" s="1">
        <v>73.5</v>
      </c>
      <c r="H2915" s="1">
        <v>72</v>
      </c>
    </row>
    <row r="2916" s="1" customFormat="1" spans="1:8">
      <c r="A2916" s="1" t="s">
        <v>17</v>
      </c>
      <c r="B2916" s="1" t="s">
        <v>19</v>
      </c>
      <c r="C2916" s="1" t="str">
        <f t="shared" si="56"/>
        <v>020090</v>
      </c>
      <c r="D2916" s="1" t="str">
        <f>"112310804"</f>
        <v>112310804</v>
      </c>
      <c r="E2916" s="1">
        <v>0</v>
      </c>
      <c r="F2916" s="1">
        <v>0</v>
      </c>
      <c r="H2916" s="1">
        <v>0</v>
      </c>
    </row>
    <row r="2917" s="1" customFormat="1" spans="1:8">
      <c r="A2917" s="1" t="s">
        <v>17</v>
      </c>
      <c r="B2917" s="1" t="s">
        <v>19</v>
      </c>
      <c r="C2917" s="1" t="str">
        <f t="shared" si="56"/>
        <v>020090</v>
      </c>
      <c r="D2917" s="1" t="str">
        <f>"112310805"</f>
        <v>112310805</v>
      </c>
      <c r="E2917" s="1">
        <v>79</v>
      </c>
      <c r="F2917" s="1">
        <v>76</v>
      </c>
      <c r="H2917" s="1">
        <v>77.8</v>
      </c>
    </row>
    <row r="2918" s="1" customFormat="1" spans="1:8">
      <c r="A2918" s="1" t="s">
        <v>17</v>
      </c>
      <c r="B2918" s="1" t="s">
        <v>19</v>
      </c>
      <c r="C2918" s="1" t="str">
        <f t="shared" si="56"/>
        <v>020090</v>
      </c>
      <c r="D2918" s="1" t="str">
        <f>"112310806"</f>
        <v>112310806</v>
      </c>
      <c r="E2918" s="1">
        <v>67</v>
      </c>
      <c r="F2918" s="1">
        <v>75</v>
      </c>
      <c r="H2918" s="1">
        <v>70.2</v>
      </c>
    </row>
    <row r="2919" s="1" customFormat="1" spans="1:8">
      <c r="A2919" s="1" t="s">
        <v>17</v>
      </c>
      <c r="B2919" s="1" t="s">
        <v>19</v>
      </c>
      <c r="C2919" s="1" t="str">
        <f t="shared" si="56"/>
        <v>020090</v>
      </c>
      <c r="D2919" s="1" t="str">
        <f>"112310807"</f>
        <v>112310807</v>
      </c>
      <c r="E2919" s="1">
        <v>0</v>
      </c>
      <c r="F2919" s="1">
        <v>0</v>
      </c>
      <c r="H2919" s="1">
        <v>0</v>
      </c>
    </row>
    <row r="2920" s="1" customFormat="1" spans="1:8">
      <c r="A2920" s="1" t="s">
        <v>17</v>
      </c>
      <c r="B2920" s="1" t="s">
        <v>19</v>
      </c>
      <c r="C2920" s="1" t="str">
        <f t="shared" si="56"/>
        <v>020090</v>
      </c>
      <c r="D2920" s="1" t="str">
        <f>"112310808"</f>
        <v>112310808</v>
      </c>
      <c r="E2920" s="1">
        <v>0</v>
      </c>
      <c r="F2920" s="1">
        <v>0</v>
      </c>
      <c r="H2920" s="1">
        <v>0</v>
      </c>
    </row>
    <row r="2921" s="1" customFormat="1" spans="1:8">
      <c r="A2921" s="1" t="s">
        <v>17</v>
      </c>
      <c r="B2921" s="1" t="s">
        <v>19</v>
      </c>
      <c r="C2921" s="1" t="str">
        <f t="shared" si="56"/>
        <v>020090</v>
      </c>
      <c r="D2921" s="1" t="str">
        <f>"112310809"</f>
        <v>112310809</v>
      </c>
      <c r="E2921" s="1">
        <v>55</v>
      </c>
      <c r="F2921" s="1">
        <v>71</v>
      </c>
      <c r="H2921" s="1">
        <v>61.4</v>
      </c>
    </row>
    <row r="2922" s="1" customFormat="1" spans="1:8">
      <c r="A2922" s="1" t="s">
        <v>17</v>
      </c>
      <c r="B2922" s="1" t="s">
        <v>19</v>
      </c>
      <c r="C2922" s="1" t="str">
        <f t="shared" si="56"/>
        <v>020090</v>
      </c>
      <c r="D2922" s="1" t="str">
        <f>"112310810"</f>
        <v>112310810</v>
      </c>
      <c r="E2922" s="1">
        <v>0</v>
      </c>
      <c r="F2922" s="1">
        <v>0</v>
      </c>
      <c r="H2922" s="1">
        <v>0</v>
      </c>
    </row>
    <row r="2923" s="1" customFormat="1" spans="1:8">
      <c r="A2923" s="1" t="s">
        <v>17</v>
      </c>
      <c r="B2923" s="1" t="s">
        <v>19</v>
      </c>
      <c r="C2923" s="1" t="str">
        <f t="shared" si="56"/>
        <v>020090</v>
      </c>
      <c r="D2923" s="1" t="str">
        <f>"112310811"</f>
        <v>112310811</v>
      </c>
      <c r="E2923" s="1">
        <v>63</v>
      </c>
      <c r="F2923" s="1">
        <v>52</v>
      </c>
      <c r="H2923" s="1">
        <v>58.6</v>
      </c>
    </row>
    <row r="2924" s="1" customFormat="1" spans="1:8">
      <c r="A2924" s="1" t="s">
        <v>17</v>
      </c>
      <c r="B2924" s="1" t="s">
        <v>19</v>
      </c>
      <c r="C2924" s="1" t="str">
        <f t="shared" si="56"/>
        <v>020090</v>
      </c>
      <c r="D2924" s="1" t="str">
        <f>"112310812"</f>
        <v>112310812</v>
      </c>
      <c r="E2924" s="1">
        <v>63</v>
      </c>
      <c r="F2924" s="1">
        <v>70</v>
      </c>
      <c r="H2924" s="1">
        <v>65.8</v>
      </c>
    </row>
    <row r="2925" s="1" customFormat="1" spans="1:8">
      <c r="A2925" s="1" t="s">
        <v>17</v>
      </c>
      <c r="B2925" s="1" t="s">
        <v>19</v>
      </c>
      <c r="C2925" s="1" t="str">
        <f t="shared" si="56"/>
        <v>020090</v>
      </c>
      <c r="D2925" s="1" t="str">
        <f>"112310813"</f>
        <v>112310813</v>
      </c>
      <c r="E2925" s="1">
        <v>0</v>
      </c>
      <c r="F2925" s="1">
        <v>0</v>
      </c>
      <c r="H2925" s="1">
        <v>0</v>
      </c>
    </row>
    <row r="2926" s="1" customFormat="1" spans="1:8">
      <c r="A2926" s="1" t="s">
        <v>17</v>
      </c>
      <c r="B2926" s="1" t="s">
        <v>19</v>
      </c>
      <c r="C2926" s="1" t="str">
        <f t="shared" si="56"/>
        <v>020090</v>
      </c>
      <c r="D2926" s="1" t="str">
        <f>"112310814"</f>
        <v>112310814</v>
      </c>
      <c r="E2926" s="1">
        <v>70.5</v>
      </c>
      <c r="F2926" s="1">
        <v>71</v>
      </c>
      <c r="H2926" s="1">
        <v>70.7</v>
      </c>
    </row>
    <row r="2927" s="1" customFormat="1" spans="1:8">
      <c r="A2927" s="1" t="s">
        <v>17</v>
      </c>
      <c r="B2927" s="1" t="s">
        <v>19</v>
      </c>
      <c r="C2927" s="1" t="str">
        <f t="shared" si="56"/>
        <v>020090</v>
      </c>
      <c r="D2927" s="1" t="str">
        <f>"112310815"</f>
        <v>112310815</v>
      </c>
      <c r="E2927" s="1">
        <v>58.5</v>
      </c>
      <c r="F2927" s="1">
        <v>78.5</v>
      </c>
      <c r="H2927" s="1">
        <v>66.5</v>
      </c>
    </row>
    <row r="2928" s="1" customFormat="1" spans="1:8">
      <c r="A2928" s="1" t="s">
        <v>17</v>
      </c>
      <c r="B2928" s="1" t="s">
        <v>19</v>
      </c>
      <c r="C2928" s="1" t="str">
        <f t="shared" si="56"/>
        <v>020090</v>
      </c>
      <c r="D2928" s="1" t="str">
        <f>"112310816"</f>
        <v>112310816</v>
      </c>
      <c r="E2928" s="1">
        <v>73.5</v>
      </c>
      <c r="F2928" s="1">
        <v>76.5</v>
      </c>
      <c r="H2928" s="1">
        <v>74.7</v>
      </c>
    </row>
    <row r="2929" s="1" customFormat="1" spans="1:8">
      <c r="A2929" s="1" t="s">
        <v>17</v>
      </c>
      <c r="B2929" s="1" t="s">
        <v>19</v>
      </c>
      <c r="C2929" s="1" t="str">
        <f t="shared" si="56"/>
        <v>020090</v>
      </c>
      <c r="D2929" s="1" t="str">
        <f>"112310817"</f>
        <v>112310817</v>
      </c>
      <c r="E2929" s="1">
        <v>0</v>
      </c>
      <c r="F2929" s="1">
        <v>0</v>
      </c>
      <c r="H2929" s="1">
        <v>0</v>
      </c>
    </row>
    <row r="2930" s="1" customFormat="1" spans="1:8">
      <c r="A2930" s="1" t="s">
        <v>17</v>
      </c>
      <c r="B2930" s="1" t="s">
        <v>19</v>
      </c>
      <c r="C2930" s="1" t="str">
        <f t="shared" si="56"/>
        <v>020090</v>
      </c>
      <c r="D2930" s="1" t="str">
        <f>"112310818"</f>
        <v>112310818</v>
      </c>
      <c r="E2930" s="1">
        <v>66.5</v>
      </c>
      <c r="F2930" s="1">
        <v>72</v>
      </c>
      <c r="H2930" s="1">
        <v>68.7</v>
      </c>
    </row>
    <row r="2931" s="1" customFormat="1" spans="1:8">
      <c r="A2931" s="1" t="s">
        <v>17</v>
      </c>
      <c r="B2931" s="1" t="s">
        <v>19</v>
      </c>
      <c r="C2931" s="1" t="str">
        <f t="shared" si="56"/>
        <v>020090</v>
      </c>
      <c r="D2931" s="1" t="str">
        <f>"112310819"</f>
        <v>112310819</v>
      </c>
      <c r="E2931" s="1">
        <v>73</v>
      </c>
      <c r="F2931" s="1">
        <v>85</v>
      </c>
      <c r="H2931" s="1">
        <v>77.8</v>
      </c>
    </row>
    <row r="2932" s="1" customFormat="1" spans="1:8">
      <c r="A2932" s="1" t="s">
        <v>17</v>
      </c>
      <c r="B2932" s="1" t="s">
        <v>19</v>
      </c>
      <c r="C2932" s="1" t="str">
        <f t="shared" si="56"/>
        <v>020090</v>
      </c>
      <c r="D2932" s="1" t="str">
        <f>"112310820"</f>
        <v>112310820</v>
      </c>
      <c r="E2932" s="1">
        <v>59.5</v>
      </c>
      <c r="F2932" s="1">
        <v>46.5</v>
      </c>
      <c r="H2932" s="1">
        <v>54.3</v>
      </c>
    </row>
    <row r="2933" s="1" customFormat="1" spans="1:8">
      <c r="A2933" s="1" t="s">
        <v>17</v>
      </c>
      <c r="B2933" s="1" t="s">
        <v>19</v>
      </c>
      <c r="C2933" s="1" t="str">
        <f t="shared" si="56"/>
        <v>020090</v>
      </c>
      <c r="D2933" s="1" t="str">
        <f>"112310821"</f>
        <v>112310821</v>
      </c>
      <c r="E2933" s="1">
        <v>67.5</v>
      </c>
      <c r="F2933" s="1">
        <v>69</v>
      </c>
      <c r="H2933" s="1">
        <v>68.1</v>
      </c>
    </row>
    <row r="2934" s="1" customFormat="1" spans="1:8">
      <c r="A2934" s="1" t="s">
        <v>17</v>
      </c>
      <c r="B2934" s="1" t="s">
        <v>19</v>
      </c>
      <c r="C2934" s="1" t="str">
        <f t="shared" si="56"/>
        <v>020090</v>
      </c>
      <c r="D2934" s="1" t="str">
        <f>"112310822"</f>
        <v>112310822</v>
      </c>
      <c r="E2934" s="1">
        <v>75.5</v>
      </c>
      <c r="F2934" s="1">
        <v>72</v>
      </c>
      <c r="H2934" s="1">
        <v>74.1</v>
      </c>
    </row>
    <row r="2935" s="1" customFormat="1" spans="1:8">
      <c r="A2935" s="1" t="s">
        <v>17</v>
      </c>
      <c r="B2935" s="1" t="s">
        <v>19</v>
      </c>
      <c r="C2935" s="1" t="str">
        <f t="shared" si="56"/>
        <v>020090</v>
      </c>
      <c r="D2935" s="1" t="str">
        <f>"112310823"</f>
        <v>112310823</v>
      </c>
      <c r="E2935" s="1">
        <v>72.5</v>
      </c>
      <c r="F2935" s="1">
        <v>84</v>
      </c>
      <c r="H2935" s="1">
        <v>77.1</v>
      </c>
    </row>
    <row r="2936" s="1" customFormat="1" spans="1:8">
      <c r="A2936" s="1" t="s">
        <v>17</v>
      </c>
      <c r="B2936" s="1" t="s">
        <v>19</v>
      </c>
      <c r="C2936" s="1" t="str">
        <f t="shared" si="56"/>
        <v>020090</v>
      </c>
      <c r="D2936" s="1" t="str">
        <f>"112310824"</f>
        <v>112310824</v>
      </c>
      <c r="E2936" s="1">
        <v>0</v>
      </c>
      <c r="F2936" s="1">
        <v>0</v>
      </c>
      <c r="H2936" s="1">
        <v>0</v>
      </c>
    </row>
    <row r="2937" s="1" customFormat="1" spans="1:8">
      <c r="A2937" s="1" t="s">
        <v>17</v>
      </c>
      <c r="B2937" s="1" t="s">
        <v>19</v>
      </c>
      <c r="C2937" s="1" t="str">
        <f t="shared" si="56"/>
        <v>020090</v>
      </c>
      <c r="D2937" s="1" t="str">
        <f>"112310825"</f>
        <v>112310825</v>
      </c>
      <c r="E2937" s="1">
        <v>0</v>
      </c>
      <c r="F2937" s="1">
        <v>0</v>
      </c>
      <c r="H2937" s="1">
        <v>0</v>
      </c>
    </row>
    <row r="2938" s="1" customFormat="1" spans="1:8">
      <c r="A2938" s="1" t="s">
        <v>17</v>
      </c>
      <c r="B2938" s="1" t="s">
        <v>19</v>
      </c>
      <c r="C2938" s="1" t="str">
        <f t="shared" si="56"/>
        <v>020090</v>
      </c>
      <c r="D2938" s="1" t="str">
        <f>"112310826"</f>
        <v>112310826</v>
      </c>
      <c r="E2938" s="1">
        <v>0</v>
      </c>
      <c r="F2938" s="1">
        <v>0</v>
      </c>
      <c r="H2938" s="1">
        <v>0</v>
      </c>
    </row>
    <row r="2939" s="1" customFormat="1" spans="1:8">
      <c r="A2939" s="1" t="s">
        <v>17</v>
      </c>
      <c r="B2939" s="1" t="s">
        <v>19</v>
      </c>
      <c r="C2939" s="1" t="str">
        <f t="shared" si="56"/>
        <v>020090</v>
      </c>
      <c r="D2939" s="1" t="str">
        <f>"112310827"</f>
        <v>112310827</v>
      </c>
      <c r="E2939" s="1">
        <v>0</v>
      </c>
      <c r="F2939" s="1">
        <v>0</v>
      </c>
      <c r="H2939" s="1">
        <v>0</v>
      </c>
    </row>
    <row r="2940" s="1" customFormat="1" spans="1:8">
      <c r="A2940" s="1" t="s">
        <v>17</v>
      </c>
      <c r="B2940" s="1" t="s">
        <v>19</v>
      </c>
      <c r="C2940" s="1" t="str">
        <f t="shared" si="56"/>
        <v>020090</v>
      </c>
      <c r="D2940" s="1" t="str">
        <f>"112310828"</f>
        <v>112310828</v>
      </c>
      <c r="E2940" s="1">
        <v>75.5</v>
      </c>
      <c r="F2940" s="1">
        <v>86</v>
      </c>
      <c r="H2940" s="1">
        <v>79.7</v>
      </c>
    </row>
    <row r="2941" s="1" customFormat="1" spans="1:8">
      <c r="A2941" s="1" t="s">
        <v>17</v>
      </c>
      <c r="B2941" s="1" t="s">
        <v>19</v>
      </c>
      <c r="C2941" s="1" t="str">
        <f t="shared" si="56"/>
        <v>020090</v>
      </c>
      <c r="D2941" s="1" t="str">
        <f>"112310829"</f>
        <v>112310829</v>
      </c>
      <c r="E2941" s="1">
        <v>60.5</v>
      </c>
      <c r="F2941" s="1">
        <v>59.5</v>
      </c>
      <c r="H2941" s="1">
        <v>60.1</v>
      </c>
    </row>
    <row r="2942" s="1" customFormat="1" spans="1:8">
      <c r="A2942" s="1" t="s">
        <v>17</v>
      </c>
      <c r="B2942" s="1" t="s">
        <v>19</v>
      </c>
      <c r="C2942" s="1" t="str">
        <f t="shared" si="56"/>
        <v>020090</v>
      </c>
      <c r="D2942" s="1" t="str">
        <f>"112310830"</f>
        <v>112310830</v>
      </c>
      <c r="E2942" s="1">
        <v>93</v>
      </c>
      <c r="F2942" s="1">
        <v>88.5</v>
      </c>
      <c r="H2942" s="1">
        <v>91.2</v>
      </c>
    </row>
    <row r="2943" s="1" customFormat="1" spans="1:8">
      <c r="A2943" s="1" t="s">
        <v>17</v>
      </c>
      <c r="B2943" s="1" t="s">
        <v>19</v>
      </c>
      <c r="C2943" s="1" t="str">
        <f t="shared" si="56"/>
        <v>020090</v>
      </c>
      <c r="D2943" s="1" t="str">
        <f>"112310901"</f>
        <v>112310901</v>
      </c>
      <c r="E2943" s="1">
        <v>0</v>
      </c>
      <c r="F2943" s="1">
        <v>0</v>
      </c>
      <c r="H2943" s="1">
        <v>0</v>
      </c>
    </row>
    <row r="2944" s="1" customFormat="1" spans="1:8">
      <c r="A2944" s="1" t="s">
        <v>17</v>
      </c>
      <c r="B2944" s="1" t="s">
        <v>19</v>
      </c>
      <c r="C2944" s="1" t="str">
        <f t="shared" si="56"/>
        <v>020090</v>
      </c>
      <c r="D2944" s="1" t="str">
        <f>"112310902"</f>
        <v>112310902</v>
      </c>
      <c r="E2944" s="1">
        <v>0</v>
      </c>
      <c r="F2944" s="1">
        <v>0</v>
      </c>
      <c r="H2944" s="1">
        <v>0</v>
      </c>
    </row>
    <row r="2945" s="1" customFormat="1" spans="1:8">
      <c r="A2945" s="1" t="s">
        <v>17</v>
      </c>
      <c r="B2945" s="1" t="s">
        <v>19</v>
      </c>
      <c r="C2945" s="1" t="str">
        <f t="shared" si="56"/>
        <v>020090</v>
      </c>
      <c r="D2945" s="1" t="str">
        <f>"112310903"</f>
        <v>112310903</v>
      </c>
      <c r="E2945" s="1">
        <v>82.5</v>
      </c>
      <c r="F2945" s="1">
        <v>92.5</v>
      </c>
      <c r="H2945" s="1">
        <v>86.5</v>
      </c>
    </row>
    <row r="2946" s="1" customFormat="1" spans="1:8">
      <c r="A2946" s="1" t="s">
        <v>17</v>
      </c>
      <c r="B2946" s="1" t="s">
        <v>19</v>
      </c>
      <c r="C2946" s="1" t="str">
        <f t="shared" si="56"/>
        <v>020090</v>
      </c>
      <c r="D2946" s="1" t="str">
        <f>"112310904"</f>
        <v>112310904</v>
      </c>
      <c r="E2946" s="1">
        <v>78.5</v>
      </c>
      <c r="F2946" s="1">
        <v>95</v>
      </c>
      <c r="H2946" s="1">
        <v>85.1</v>
      </c>
    </row>
    <row r="2947" s="1" customFormat="1" spans="1:8">
      <c r="A2947" s="1" t="s">
        <v>17</v>
      </c>
      <c r="B2947" s="1" t="s">
        <v>19</v>
      </c>
      <c r="C2947" s="1" t="str">
        <f t="shared" si="56"/>
        <v>020090</v>
      </c>
      <c r="D2947" s="1" t="str">
        <f>"112310905"</f>
        <v>112310905</v>
      </c>
      <c r="E2947" s="1">
        <v>0</v>
      </c>
      <c r="F2947" s="1">
        <v>0</v>
      </c>
      <c r="H2947" s="1">
        <v>0</v>
      </c>
    </row>
    <row r="2948" s="1" customFormat="1" spans="1:8">
      <c r="A2948" s="1" t="s">
        <v>17</v>
      </c>
      <c r="B2948" s="1" t="s">
        <v>19</v>
      </c>
      <c r="C2948" s="1" t="str">
        <f t="shared" si="56"/>
        <v>020090</v>
      </c>
      <c r="D2948" s="1" t="str">
        <f>"112310906"</f>
        <v>112310906</v>
      </c>
      <c r="E2948" s="1">
        <v>59.5</v>
      </c>
      <c r="F2948" s="1">
        <v>54</v>
      </c>
      <c r="H2948" s="1">
        <v>57.3</v>
      </c>
    </row>
    <row r="2949" s="1" customFormat="1" spans="1:8">
      <c r="A2949" s="1" t="s">
        <v>17</v>
      </c>
      <c r="B2949" s="1" t="s">
        <v>19</v>
      </c>
      <c r="C2949" s="1" t="str">
        <f t="shared" si="56"/>
        <v>020090</v>
      </c>
      <c r="D2949" s="1" t="str">
        <f>"112310907"</f>
        <v>112310907</v>
      </c>
      <c r="E2949" s="1">
        <v>73</v>
      </c>
      <c r="F2949" s="1">
        <v>96</v>
      </c>
      <c r="H2949" s="1">
        <v>82.2</v>
      </c>
    </row>
    <row r="2950" s="1" customFormat="1" spans="1:8">
      <c r="A2950" s="1" t="s">
        <v>8</v>
      </c>
      <c r="B2950" s="1" t="s">
        <v>21</v>
      </c>
      <c r="C2950" s="1" t="str">
        <f t="shared" ref="C2950:C3013" si="57">"020060"</f>
        <v>020060</v>
      </c>
      <c r="D2950" s="1" t="str">
        <f>"112312501"</f>
        <v>112312501</v>
      </c>
      <c r="E2950" s="1">
        <v>0</v>
      </c>
      <c r="F2950" s="1">
        <v>0</v>
      </c>
      <c r="H2950" s="1">
        <v>0</v>
      </c>
    </row>
    <row r="2951" s="1" customFormat="1" spans="1:8">
      <c r="A2951" s="1" t="s">
        <v>8</v>
      </c>
      <c r="B2951" s="1" t="s">
        <v>21</v>
      </c>
      <c r="C2951" s="1" t="str">
        <f t="shared" si="57"/>
        <v>020060</v>
      </c>
      <c r="D2951" s="1" t="str">
        <f>"112312502"</f>
        <v>112312502</v>
      </c>
      <c r="E2951" s="1">
        <v>82.5</v>
      </c>
      <c r="F2951" s="1">
        <v>78.5</v>
      </c>
      <c r="H2951" s="1">
        <v>80.9</v>
      </c>
    </row>
    <row r="2952" s="1" customFormat="1" spans="1:8">
      <c r="A2952" s="1" t="s">
        <v>8</v>
      </c>
      <c r="B2952" s="1" t="s">
        <v>21</v>
      </c>
      <c r="C2952" s="1" t="str">
        <f t="shared" si="57"/>
        <v>020060</v>
      </c>
      <c r="D2952" s="1" t="str">
        <f>"112312503"</f>
        <v>112312503</v>
      </c>
      <c r="E2952" s="1">
        <v>95.5</v>
      </c>
      <c r="F2952" s="1">
        <v>78</v>
      </c>
      <c r="H2952" s="1">
        <v>88.5</v>
      </c>
    </row>
    <row r="2953" s="1" customFormat="1" spans="1:8">
      <c r="A2953" s="1" t="s">
        <v>8</v>
      </c>
      <c r="B2953" s="1" t="s">
        <v>21</v>
      </c>
      <c r="C2953" s="1" t="str">
        <f t="shared" si="57"/>
        <v>020060</v>
      </c>
      <c r="D2953" s="1" t="str">
        <f>"112312504"</f>
        <v>112312504</v>
      </c>
      <c r="E2953" s="1">
        <v>83</v>
      </c>
      <c r="F2953" s="1">
        <v>77.5</v>
      </c>
      <c r="H2953" s="1">
        <v>80.8</v>
      </c>
    </row>
    <row r="2954" s="1" customFormat="1" spans="1:8">
      <c r="A2954" s="1" t="s">
        <v>8</v>
      </c>
      <c r="B2954" s="1" t="s">
        <v>21</v>
      </c>
      <c r="C2954" s="1" t="str">
        <f t="shared" si="57"/>
        <v>020060</v>
      </c>
      <c r="D2954" s="1" t="str">
        <f>"112312505"</f>
        <v>112312505</v>
      </c>
      <c r="E2954" s="1">
        <v>0</v>
      </c>
      <c r="F2954" s="1">
        <v>0</v>
      </c>
      <c r="H2954" s="1">
        <v>0</v>
      </c>
    </row>
    <row r="2955" s="1" customFormat="1" spans="1:8">
      <c r="A2955" s="1" t="s">
        <v>8</v>
      </c>
      <c r="B2955" s="1" t="s">
        <v>21</v>
      </c>
      <c r="C2955" s="1" t="str">
        <f t="shared" si="57"/>
        <v>020060</v>
      </c>
      <c r="D2955" s="1" t="str">
        <f>"112312506"</f>
        <v>112312506</v>
      </c>
      <c r="E2955" s="1">
        <v>53</v>
      </c>
      <c r="F2955" s="1">
        <v>47</v>
      </c>
      <c r="H2955" s="1">
        <v>50.6</v>
      </c>
    </row>
    <row r="2956" s="1" customFormat="1" spans="1:8">
      <c r="A2956" s="1" t="s">
        <v>8</v>
      </c>
      <c r="B2956" s="1" t="s">
        <v>21</v>
      </c>
      <c r="C2956" s="1" t="str">
        <f t="shared" si="57"/>
        <v>020060</v>
      </c>
      <c r="D2956" s="1" t="str">
        <f>"112312507"</f>
        <v>112312507</v>
      </c>
      <c r="E2956" s="1">
        <v>64.5</v>
      </c>
      <c r="F2956" s="1">
        <v>59.5</v>
      </c>
      <c r="H2956" s="1">
        <v>62.5</v>
      </c>
    </row>
    <row r="2957" s="1" customFormat="1" spans="1:8">
      <c r="A2957" s="1" t="s">
        <v>8</v>
      </c>
      <c r="B2957" s="1" t="s">
        <v>21</v>
      </c>
      <c r="C2957" s="1" t="str">
        <f t="shared" si="57"/>
        <v>020060</v>
      </c>
      <c r="D2957" s="1" t="str">
        <f>"112312508"</f>
        <v>112312508</v>
      </c>
      <c r="E2957" s="1">
        <v>0</v>
      </c>
      <c r="F2957" s="1">
        <v>0</v>
      </c>
      <c r="H2957" s="1">
        <v>0</v>
      </c>
    </row>
    <row r="2958" s="1" customFormat="1" spans="1:8">
      <c r="A2958" s="1" t="s">
        <v>8</v>
      </c>
      <c r="B2958" s="1" t="s">
        <v>21</v>
      </c>
      <c r="C2958" s="1" t="str">
        <f t="shared" si="57"/>
        <v>020060</v>
      </c>
      <c r="D2958" s="1" t="str">
        <f>"112312509"</f>
        <v>112312509</v>
      </c>
      <c r="E2958" s="1">
        <v>80</v>
      </c>
      <c r="F2958" s="1">
        <v>71</v>
      </c>
      <c r="H2958" s="1">
        <v>76.4</v>
      </c>
    </row>
    <row r="2959" s="1" customFormat="1" spans="1:8">
      <c r="A2959" s="1" t="s">
        <v>8</v>
      </c>
      <c r="B2959" s="1" t="s">
        <v>21</v>
      </c>
      <c r="C2959" s="1" t="str">
        <f t="shared" si="57"/>
        <v>020060</v>
      </c>
      <c r="D2959" s="1" t="str">
        <f>"112312510"</f>
        <v>112312510</v>
      </c>
      <c r="E2959" s="1">
        <v>0</v>
      </c>
      <c r="F2959" s="1">
        <v>0</v>
      </c>
      <c r="H2959" s="1">
        <v>0</v>
      </c>
    </row>
    <row r="2960" s="1" customFormat="1" spans="1:8">
      <c r="A2960" s="1" t="s">
        <v>8</v>
      </c>
      <c r="B2960" s="1" t="s">
        <v>21</v>
      </c>
      <c r="C2960" s="1" t="str">
        <f t="shared" si="57"/>
        <v>020060</v>
      </c>
      <c r="D2960" s="1" t="str">
        <f>"112312511"</f>
        <v>112312511</v>
      </c>
      <c r="E2960" s="1">
        <v>0</v>
      </c>
      <c r="F2960" s="1">
        <v>0</v>
      </c>
      <c r="H2960" s="1">
        <v>0</v>
      </c>
    </row>
    <row r="2961" s="1" customFormat="1" spans="1:8">
      <c r="A2961" s="1" t="s">
        <v>8</v>
      </c>
      <c r="B2961" s="1" t="s">
        <v>21</v>
      </c>
      <c r="C2961" s="1" t="str">
        <f t="shared" si="57"/>
        <v>020060</v>
      </c>
      <c r="D2961" s="1" t="str">
        <f>"112312512"</f>
        <v>112312512</v>
      </c>
      <c r="E2961" s="1">
        <v>0</v>
      </c>
      <c r="F2961" s="1">
        <v>0</v>
      </c>
      <c r="H2961" s="1">
        <v>0</v>
      </c>
    </row>
    <row r="2962" s="1" customFormat="1" spans="1:8">
      <c r="A2962" s="1" t="s">
        <v>8</v>
      </c>
      <c r="B2962" s="1" t="s">
        <v>21</v>
      </c>
      <c r="C2962" s="1" t="str">
        <f t="shared" si="57"/>
        <v>020060</v>
      </c>
      <c r="D2962" s="1" t="str">
        <f>"112312513"</f>
        <v>112312513</v>
      </c>
      <c r="E2962" s="1">
        <v>79</v>
      </c>
      <c r="F2962" s="1">
        <v>66.5</v>
      </c>
      <c r="H2962" s="1">
        <v>74</v>
      </c>
    </row>
    <row r="2963" s="1" customFormat="1" spans="1:8">
      <c r="A2963" s="1" t="s">
        <v>8</v>
      </c>
      <c r="B2963" s="1" t="s">
        <v>21</v>
      </c>
      <c r="C2963" s="1" t="str">
        <f t="shared" si="57"/>
        <v>020060</v>
      </c>
      <c r="D2963" s="1" t="str">
        <f>"112312514"</f>
        <v>112312514</v>
      </c>
      <c r="E2963" s="1">
        <v>0</v>
      </c>
      <c r="F2963" s="1">
        <v>0</v>
      </c>
      <c r="H2963" s="1">
        <v>0</v>
      </c>
    </row>
    <row r="2964" s="1" customFormat="1" spans="1:8">
      <c r="A2964" s="1" t="s">
        <v>8</v>
      </c>
      <c r="B2964" s="1" t="s">
        <v>21</v>
      </c>
      <c r="C2964" s="1" t="str">
        <f t="shared" si="57"/>
        <v>020060</v>
      </c>
      <c r="D2964" s="1" t="str">
        <f>"112312515"</f>
        <v>112312515</v>
      </c>
      <c r="E2964" s="1">
        <v>49.5</v>
      </c>
      <c r="F2964" s="1">
        <v>0</v>
      </c>
      <c r="H2964" s="1">
        <v>29.7</v>
      </c>
    </row>
    <row r="2965" s="1" customFormat="1" spans="1:8">
      <c r="A2965" s="1" t="s">
        <v>8</v>
      </c>
      <c r="B2965" s="1" t="s">
        <v>21</v>
      </c>
      <c r="C2965" s="1" t="str">
        <f t="shared" si="57"/>
        <v>020060</v>
      </c>
      <c r="D2965" s="1" t="str">
        <f>"112312516"</f>
        <v>112312516</v>
      </c>
      <c r="E2965" s="1">
        <v>0</v>
      </c>
      <c r="F2965" s="1">
        <v>0</v>
      </c>
      <c r="H2965" s="1">
        <v>0</v>
      </c>
    </row>
    <row r="2966" s="1" customFormat="1" spans="1:8">
      <c r="A2966" s="1" t="s">
        <v>8</v>
      </c>
      <c r="B2966" s="1" t="s">
        <v>21</v>
      </c>
      <c r="C2966" s="1" t="str">
        <f t="shared" si="57"/>
        <v>020060</v>
      </c>
      <c r="D2966" s="1" t="str">
        <f>"112312517"</f>
        <v>112312517</v>
      </c>
      <c r="E2966" s="1">
        <v>78</v>
      </c>
      <c r="F2966" s="1">
        <v>59</v>
      </c>
      <c r="H2966" s="1">
        <v>70.4</v>
      </c>
    </row>
    <row r="2967" s="1" customFormat="1" spans="1:8">
      <c r="A2967" s="1" t="s">
        <v>8</v>
      </c>
      <c r="B2967" s="1" t="s">
        <v>21</v>
      </c>
      <c r="C2967" s="1" t="str">
        <f t="shared" si="57"/>
        <v>020060</v>
      </c>
      <c r="D2967" s="1" t="str">
        <f>"112312518"</f>
        <v>112312518</v>
      </c>
      <c r="E2967" s="1">
        <v>91.5</v>
      </c>
      <c r="F2967" s="1">
        <v>94</v>
      </c>
      <c r="H2967" s="1">
        <v>92.5</v>
      </c>
    </row>
    <row r="2968" s="1" customFormat="1" spans="1:8">
      <c r="A2968" s="1" t="s">
        <v>8</v>
      </c>
      <c r="B2968" s="1" t="s">
        <v>21</v>
      </c>
      <c r="C2968" s="1" t="str">
        <f t="shared" si="57"/>
        <v>020060</v>
      </c>
      <c r="D2968" s="1" t="str">
        <f>"112312519"</f>
        <v>112312519</v>
      </c>
      <c r="E2968" s="1">
        <v>79.5</v>
      </c>
      <c r="F2968" s="1">
        <v>75.5</v>
      </c>
      <c r="H2968" s="1">
        <v>77.9</v>
      </c>
    </row>
    <row r="2969" s="1" customFormat="1" spans="1:8">
      <c r="A2969" s="1" t="s">
        <v>8</v>
      </c>
      <c r="B2969" s="1" t="s">
        <v>21</v>
      </c>
      <c r="C2969" s="1" t="str">
        <f t="shared" si="57"/>
        <v>020060</v>
      </c>
      <c r="D2969" s="1" t="str">
        <f>"112312520"</f>
        <v>112312520</v>
      </c>
      <c r="E2969" s="1">
        <v>61.5</v>
      </c>
      <c r="F2969" s="1">
        <v>52.5</v>
      </c>
      <c r="H2969" s="1">
        <v>57.9</v>
      </c>
    </row>
    <row r="2970" s="1" customFormat="1" spans="1:8">
      <c r="A2970" s="1" t="s">
        <v>8</v>
      </c>
      <c r="B2970" s="1" t="s">
        <v>21</v>
      </c>
      <c r="C2970" s="1" t="str">
        <f t="shared" si="57"/>
        <v>020060</v>
      </c>
      <c r="D2970" s="1" t="str">
        <f>"112312521"</f>
        <v>112312521</v>
      </c>
      <c r="E2970" s="1">
        <v>0</v>
      </c>
      <c r="F2970" s="1">
        <v>0</v>
      </c>
      <c r="H2970" s="1">
        <v>0</v>
      </c>
    </row>
    <row r="2971" s="1" customFormat="1" spans="1:8">
      <c r="A2971" s="1" t="s">
        <v>8</v>
      </c>
      <c r="B2971" s="1" t="s">
        <v>21</v>
      </c>
      <c r="C2971" s="1" t="str">
        <f t="shared" si="57"/>
        <v>020060</v>
      </c>
      <c r="D2971" s="1" t="str">
        <f>"112312522"</f>
        <v>112312522</v>
      </c>
      <c r="E2971" s="1">
        <v>0</v>
      </c>
      <c r="F2971" s="1">
        <v>0</v>
      </c>
      <c r="H2971" s="1">
        <v>0</v>
      </c>
    </row>
    <row r="2972" s="1" customFormat="1" spans="1:8">
      <c r="A2972" s="1" t="s">
        <v>8</v>
      </c>
      <c r="B2972" s="1" t="s">
        <v>21</v>
      </c>
      <c r="C2972" s="1" t="str">
        <f t="shared" si="57"/>
        <v>020060</v>
      </c>
      <c r="D2972" s="1" t="str">
        <f>"112312523"</f>
        <v>112312523</v>
      </c>
      <c r="E2972" s="1">
        <v>0</v>
      </c>
      <c r="F2972" s="1">
        <v>0</v>
      </c>
      <c r="H2972" s="1">
        <v>0</v>
      </c>
    </row>
    <row r="2973" s="1" customFormat="1" spans="1:8">
      <c r="A2973" s="1" t="s">
        <v>8</v>
      </c>
      <c r="B2973" s="1" t="s">
        <v>21</v>
      </c>
      <c r="C2973" s="1" t="str">
        <f t="shared" si="57"/>
        <v>020060</v>
      </c>
      <c r="D2973" s="1" t="str">
        <f>"112312524"</f>
        <v>112312524</v>
      </c>
      <c r="E2973" s="1">
        <v>0</v>
      </c>
      <c r="F2973" s="1">
        <v>0</v>
      </c>
      <c r="H2973" s="1">
        <v>0</v>
      </c>
    </row>
    <row r="2974" s="1" customFormat="1" spans="1:8">
      <c r="A2974" s="1" t="s">
        <v>8</v>
      </c>
      <c r="B2974" s="1" t="s">
        <v>21</v>
      </c>
      <c r="C2974" s="1" t="str">
        <f t="shared" si="57"/>
        <v>020060</v>
      </c>
      <c r="D2974" s="1" t="str">
        <f>"112312525"</f>
        <v>112312525</v>
      </c>
      <c r="E2974" s="1">
        <v>89</v>
      </c>
      <c r="F2974" s="1">
        <v>86</v>
      </c>
      <c r="H2974" s="1">
        <v>87.8</v>
      </c>
    </row>
    <row r="2975" s="1" customFormat="1" spans="1:8">
      <c r="A2975" s="1" t="s">
        <v>8</v>
      </c>
      <c r="B2975" s="1" t="s">
        <v>21</v>
      </c>
      <c r="C2975" s="1" t="str">
        <f t="shared" si="57"/>
        <v>020060</v>
      </c>
      <c r="D2975" s="1" t="str">
        <f>"112312526"</f>
        <v>112312526</v>
      </c>
      <c r="E2975" s="1">
        <v>94.5</v>
      </c>
      <c r="F2975" s="1">
        <v>75</v>
      </c>
      <c r="H2975" s="1">
        <v>86.7</v>
      </c>
    </row>
    <row r="2976" s="1" customFormat="1" spans="1:8">
      <c r="A2976" s="1" t="s">
        <v>8</v>
      </c>
      <c r="B2976" s="1" t="s">
        <v>21</v>
      </c>
      <c r="C2976" s="1" t="str">
        <f t="shared" si="57"/>
        <v>020060</v>
      </c>
      <c r="D2976" s="1" t="str">
        <f>"112312527"</f>
        <v>112312527</v>
      </c>
      <c r="E2976" s="1">
        <v>69</v>
      </c>
      <c r="F2976" s="1">
        <v>0</v>
      </c>
      <c r="H2976" s="1">
        <v>41.4</v>
      </c>
    </row>
    <row r="2977" s="1" customFormat="1" spans="1:8">
      <c r="A2977" s="1" t="s">
        <v>8</v>
      </c>
      <c r="B2977" s="1" t="s">
        <v>21</v>
      </c>
      <c r="C2977" s="1" t="str">
        <f t="shared" si="57"/>
        <v>020060</v>
      </c>
      <c r="D2977" s="1" t="str">
        <f>"112312528"</f>
        <v>112312528</v>
      </c>
      <c r="E2977" s="1">
        <v>81</v>
      </c>
      <c r="F2977" s="1">
        <v>63</v>
      </c>
      <c r="H2977" s="1">
        <v>73.8</v>
      </c>
    </row>
    <row r="2978" s="1" customFormat="1" spans="1:8">
      <c r="A2978" s="1" t="s">
        <v>8</v>
      </c>
      <c r="B2978" s="1" t="s">
        <v>21</v>
      </c>
      <c r="C2978" s="1" t="str">
        <f t="shared" si="57"/>
        <v>020060</v>
      </c>
      <c r="D2978" s="1" t="str">
        <f>"112312529"</f>
        <v>112312529</v>
      </c>
      <c r="E2978" s="1">
        <v>92</v>
      </c>
      <c r="F2978" s="1">
        <v>85.5</v>
      </c>
      <c r="H2978" s="1">
        <v>89.4</v>
      </c>
    </row>
    <row r="2979" s="1" customFormat="1" spans="1:8">
      <c r="A2979" s="1" t="s">
        <v>8</v>
      </c>
      <c r="B2979" s="1" t="s">
        <v>21</v>
      </c>
      <c r="C2979" s="1" t="str">
        <f t="shared" si="57"/>
        <v>020060</v>
      </c>
      <c r="D2979" s="1" t="str">
        <f>"112312530"</f>
        <v>112312530</v>
      </c>
      <c r="E2979" s="1">
        <v>74</v>
      </c>
      <c r="F2979" s="1">
        <v>66.5</v>
      </c>
      <c r="H2979" s="1">
        <v>71</v>
      </c>
    </row>
    <row r="2980" s="1" customFormat="1" spans="1:8">
      <c r="A2980" s="1" t="s">
        <v>8</v>
      </c>
      <c r="B2980" s="1" t="s">
        <v>21</v>
      </c>
      <c r="C2980" s="1" t="str">
        <f t="shared" si="57"/>
        <v>020060</v>
      </c>
      <c r="D2980" s="1" t="str">
        <f>"112312601"</f>
        <v>112312601</v>
      </c>
      <c r="E2980" s="1">
        <v>0</v>
      </c>
      <c r="F2980" s="1">
        <v>0</v>
      </c>
      <c r="H2980" s="1">
        <v>0</v>
      </c>
    </row>
    <row r="2981" s="1" customFormat="1" spans="1:8">
      <c r="A2981" s="1" t="s">
        <v>8</v>
      </c>
      <c r="B2981" s="1" t="s">
        <v>21</v>
      </c>
      <c r="C2981" s="1" t="str">
        <f t="shared" si="57"/>
        <v>020060</v>
      </c>
      <c r="D2981" s="1" t="str">
        <f>"112312602"</f>
        <v>112312602</v>
      </c>
      <c r="E2981" s="1">
        <v>88</v>
      </c>
      <c r="F2981" s="1">
        <v>86</v>
      </c>
      <c r="H2981" s="1">
        <v>87.2</v>
      </c>
    </row>
    <row r="2982" s="1" customFormat="1" spans="1:8">
      <c r="A2982" s="1" t="s">
        <v>8</v>
      </c>
      <c r="B2982" s="1" t="s">
        <v>21</v>
      </c>
      <c r="C2982" s="1" t="str">
        <f t="shared" si="57"/>
        <v>020060</v>
      </c>
      <c r="D2982" s="1" t="str">
        <f>"112312603"</f>
        <v>112312603</v>
      </c>
      <c r="E2982" s="1">
        <v>0</v>
      </c>
      <c r="F2982" s="1">
        <v>0</v>
      </c>
      <c r="H2982" s="1">
        <v>0</v>
      </c>
    </row>
    <row r="2983" s="1" customFormat="1" spans="1:8">
      <c r="A2983" s="1" t="s">
        <v>8</v>
      </c>
      <c r="B2983" s="1" t="s">
        <v>21</v>
      </c>
      <c r="C2983" s="1" t="str">
        <f t="shared" si="57"/>
        <v>020060</v>
      </c>
      <c r="D2983" s="1" t="str">
        <f>"112312604"</f>
        <v>112312604</v>
      </c>
      <c r="E2983" s="1">
        <v>78.5</v>
      </c>
      <c r="F2983" s="1">
        <v>60</v>
      </c>
      <c r="H2983" s="1">
        <v>71.1</v>
      </c>
    </row>
    <row r="2984" s="1" customFormat="1" spans="1:8">
      <c r="A2984" s="1" t="s">
        <v>8</v>
      </c>
      <c r="B2984" s="1" t="s">
        <v>21</v>
      </c>
      <c r="C2984" s="1" t="str">
        <f t="shared" si="57"/>
        <v>020060</v>
      </c>
      <c r="D2984" s="1" t="str">
        <f>"112312605"</f>
        <v>112312605</v>
      </c>
      <c r="E2984" s="1">
        <v>0</v>
      </c>
      <c r="F2984" s="1">
        <v>0</v>
      </c>
      <c r="H2984" s="1">
        <v>0</v>
      </c>
    </row>
    <row r="2985" s="1" customFormat="1" spans="1:8">
      <c r="A2985" s="1" t="s">
        <v>8</v>
      </c>
      <c r="B2985" s="1" t="s">
        <v>21</v>
      </c>
      <c r="C2985" s="1" t="str">
        <f t="shared" si="57"/>
        <v>020060</v>
      </c>
      <c r="D2985" s="1" t="str">
        <f>"112312606"</f>
        <v>112312606</v>
      </c>
      <c r="E2985" s="1">
        <v>65.5</v>
      </c>
      <c r="F2985" s="1">
        <v>80.5</v>
      </c>
      <c r="H2985" s="1">
        <v>71.5</v>
      </c>
    </row>
    <row r="2986" s="1" customFormat="1" spans="1:8">
      <c r="A2986" s="1" t="s">
        <v>8</v>
      </c>
      <c r="B2986" s="1" t="s">
        <v>21</v>
      </c>
      <c r="C2986" s="1" t="str">
        <f t="shared" si="57"/>
        <v>020060</v>
      </c>
      <c r="D2986" s="1" t="str">
        <f>"112312607"</f>
        <v>112312607</v>
      </c>
      <c r="E2986" s="1">
        <v>75.5</v>
      </c>
      <c r="F2986" s="1">
        <v>72</v>
      </c>
      <c r="H2986" s="1">
        <v>74.1</v>
      </c>
    </row>
    <row r="2987" s="1" customFormat="1" spans="1:8">
      <c r="A2987" s="1" t="s">
        <v>8</v>
      </c>
      <c r="B2987" s="1" t="s">
        <v>21</v>
      </c>
      <c r="C2987" s="1" t="str">
        <f t="shared" si="57"/>
        <v>020060</v>
      </c>
      <c r="D2987" s="1" t="str">
        <f>"112312608"</f>
        <v>112312608</v>
      </c>
      <c r="E2987" s="1">
        <v>100.5</v>
      </c>
      <c r="F2987" s="1">
        <v>93.5</v>
      </c>
      <c r="H2987" s="1">
        <v>97.7</v>
      </c>
    </row>
    <row r="2988" s="1" customFormat="1" spans="1:8">
      <c r="A2988" s="1" t="s">
        <v>8</v>
      </c>
      <c r="B2988" s="1" t="s">
        <v>21</v>
      </c>
      <c r="C2988" s="1" t="str">
        <f t="shared" si="57"/>
        <v>020060</v>
      </c>
      <c r="D2988" s="1" t="str">
        <f>"112312609"</f>
        <v>112312609</v>
      </c>
      <c r="E2988" s="1">
        <v>72.5</v>
      </c>
      <c r="F2988" s="1">
        <v>70.5</v>
      </c>
      <c r="H2988" s="1">
        <v>71.7</v>
      </c>
    </row>
    <row r="2989" s="1" customFormat="1" spans="1:8">
      <c r="A2989" s="1" t="s">
        <v>8</v>
      </c>
      <c r="B2989" s="1" t="s">
        <v>21</v>
      </c>
      <c r="C2989" s="1" t="str">
        <f t="shared" si="57"/>
        <v>020060</v>
      </c>
      <c r="D2989" s="1" t="str">
        <f>"112312610"</f>
        <v>112312610</v>
      </c>
      <c r="E2989" s="1">
        <v>90</v>
      </c>
      <c r="F2989" s="1">
        <v>64</v>
      </c>
      <c r="H2989" s="1">
        <v>79.6</v>
      </c>
    </row>
    <row r="2990" s="1" customFormat="1" spans="1:8">
      <c r="A2990" s="1" t="s">
        <v>8</v>
      </c>
      <c r="B2990" s="1" t="s">
        <v>21</v>
      </c>
      <c r="C2990" s="1" t="str">
        <f t="shared" si="57"/>
        <v>020060</v>
      </c>
      <c r="D2990" s="1" t="str">
        <f>"112312611"</f>
        <v>112312611</v>
      </c>
      <c r="E2990" s="1">
        <v>85.5</v>
      </c>
      <c r="F2990" s="1">
        <v>63</v>
      </c>
      <c r="H2990" s="1">
        <v>76.5</v>
      </c>
    </row>
    <row r="2991" s="1" customFormat="1" spans="1:8">
      <c r="A2991" s="1" t="s">
        <v>8</v>
      </c>
      <c r="B2991" s="1" t="s">
        <v>21</v>
      </c>
      <c r="C2991" s="1" t="str">
        <f t="shared" si="57"/>
        <v>020060</v>
      </c>
      <c r="D2991" s="1" t="str">
        <f>"112312612"</f>
        <v>112312612</v>
      </c>
      <c r="E2991" s="1">
        <v>81.5</v>
      </c>
      <c r="F2991" s="1">
        <v>62</v>
      </c>
      <c r="H2991" s="1">
        <v>73.7</v>
      </c>
    </row>
    <row r="2992" s="1" customFormat="1" spans="1:8">
      <c r="A2992" s="1" t="s">
        <v>8</v>
      </c>
      <c r="B2992" s="1" t="s">
        <v>21</v>
      </c>
      <c r="C2992" s="1" t="str">
        <f t="shared" si="57"/>
        <v>020060</v>
      </c>
      <c r="D2992" s="1" t="str">
        <f>"112312613"</f>
        <v>112312613</v>
      </c>
      <c r="E2992" s="1">
        <v>0</v>
      </c>
      <c r="F2992" s="1">
        <v>0</v>
      </c>
      <c r="H2992" s="1">
        <v>0</v>
      </c>
    </row>
    <row r="2993" s="1" customFormat="1" spans="1:8">
      <c r="A2993" s="1" t="s">
        <v>8</v>
      </c>
      <c r="B2993" s="1" t="s">
        <v>21</v>
      </c>
      <c r="C2993" s="1" t="str">
        <f t="shared" si="57"/>
        <v>020060</v>
      </c>
      <c r="D2993" s="1" t="str">
        <f>"112312614"</f>
        <v>112312614</v>
      </c>
      <c r="E2993" s="1">
        <v>85</v>
      </c>
      <c r="F2993" s="1">
        <v>82</v>
      </c>
      <c r="H2993" s="1">
        <v>83.8</v>
      </c>
    </row>
    <row r="2994" s="1" customFormat="1" spans="1:8">
      <c r="A2994" s="1" t="s">
        <v>8</v>
      </c>
      <c r="B2994" s="1" t="s">
        <v>21</v>
      </c>
      <c r="C2994" s="1" t="str">
        <f t="shared" si="57"/>
        <v>020060</v>
      </c>
      <c r="D2994" s="1" t="str">
        <f>"112312615"</f>
        <v>112312615</v>
      </c>
      <c r="E2994" s="1">
        <v>84.5</v>
      </c>
      <c r="F2994" s="1">
        <v>87.5</v>
      </c>
      <c r="H2994" s="1">
        <v>85.7</v>
      </c>
    </row>
    <row r="2995" s="1" customFormat="1" spans="1:8">
      <c r="A2995" s="1" t="s">
        <v>8</v>
      </c>
      <c r="B2995" s="1" t="s">
        <v>21</v>
      </c>
      <c r="C2995" s="1" t="str">
        <f t="shared" si="57"/>
        <v>020060</v>
      </c>
      <c r="D2995" s="1" t="str">
        <f>"112312616"</f>
        <v>112312616</v>
      </c>
      <c r="E2995" s="1">
        <v>65</v>
      </c>
      <c r="F2995" s="1">
        <v>70.5</v>
      </c>
      <c r="H2995" s="1">
        <v>67.2</v>
      </c>
    </row>
    <row r="2996" s="1" customFormat="1" spans="1:8">
      <c r="A2996" s="1" t="s">
        <v>8</v>
      </c>
      <c r="B2996" s="1" t="s">
        <v>21</v>
      </c>
      <c r="C2996" s="1" t="str">
        <f t="shared" si="57"/>
        <v>020060</v>
      </c>
      <c r="D2996" s="1" t="str">
        <f>"112312617"</f>
        <v>112312617</v>
      </c>
      <c r="E2996" s="1">
        <v>92.5</v>
      </c>
      <c r="F2996" s="1">
        <v>76.5</v>
      </c>
      <c r="H2996" s="1">
        <v>86.1</v>
      </c>
    </row>
    <row r="2997" s="1" customFormat="1" spans="1:8">
      <c r="A2997" s="1" t="s">
        <v>8</v>
      </c>
      <c r="B2997" s="1" t="s">
        <v>21</v>
      </c>
      <c r="C2997" s="1" t="str">
        <f t="shared" si="57"/>
        <v>020060</v>
      </c>
      <c r="D2997" s="1" t="str">
        <f>"112312618"</f>
        <v>112312618</v>
      </c>
      <c r="E2997" s="1">
        <v>82</v>
      </c>
      <c r="F2997" s="1">
        <v>86</v>
      </c>
      <c r="H2997" s="1">
        <v>83.6</v>
      </c>
    </row>
    <row r="2998" s="1" customFormat="1" spans="1:8">
      <c r="A2998" s="1" t="s">
        <v>8</v>
      </c>
      <c r="B2998" s="1" t="s">
        <v>21</v>
      </c>
      <c r="C2998" s="1" t="str">
        <f t="shared" si="57"/>
        <v>020060</v>
      </c>
      <c r="D2998" s="1" t="str">
        <f>"112312619"</f>
        <v>112312619</v>
      </c>
      <c r="E2998" s="1">
        <v>66.5</v>
      </c>
      <c r="F2998" s="1">
        <v>61.5</v>
      </c>
      <c r="H2998" s="1">
        <v>64.5</v>
      </c>
    </row>
    <row r="2999" s="1" customFormat="1" spans="1:8">
      <c r="A2999" s="1" t="s">
        <v>8</v>
      </c>
      <c r="B2999" s="1" t="s">
        <v>21</v>
      </c>
      <c r="C2999" s="1" t="str">
        <f t="shared" si="57"/>
        <v>020060</v>
      </c>
      <c r="D2999" s="1" t="str">
        <f>"112312620"</f>
        <v>112312620</v>
      </c>
      <c r="E2999" s="1">
        <v>79.5</v>
      </c>
      <c r="F2999" s="1">
        <v>100</v>
      </c>
      <c r="H2999" s="1">
        <v>87.7</v>
      </c>
    </row>
    <row r="3000" s="1" customFormat="1" spans="1:8">
      <c r="A3000" s="1" t="s">
        <v>8</v>
      </c>
      <c r="B3000" s="1" t="s">
        <v>21</v>
      </c>
      <c r="C3000" s="1" t="str">
        <f t="shared" si="57"/>
        <v>020060</v>
      </c>
      <c r="D3000" s="1" t="str">
        <f>"112312621"</f>
        <v>112312621</v>
      </c>
      <c r="E3000" s="1">
        <v>91</v>
      </c>
      <c r="F3000" s="1">
        <v>86</v>
      </c>
      <c r="H3000" s="1">
        <v>89</v>
      </c>
    </row>
    <row r="3001" s="1" customFormat="1" spans="1:8">
      <c r="A3001" s="1" t="s">
        <v>8</v>
      </c>
      <c r="B3001" s="1" t="s">
        <v>21</v>
      </c>
      <c r="C3001" s="1" t="str">
        <f t="shared" si="57"/>
        <v>020060</v>
      </c>
      <c r="D3001" s="1" t="str">
        <f>"112312622"</f>
        <v>112312622</v>
      </c>
      <c r="E3001" s="1">
        <v>70.5</v>
      </c>
      <c r="F3001" s="1">
        <v>94.5</v>
      </c>
      <c r="H3001" s="1">
        <v>80.1</v>
      </c>
    </row>
    <row r="3002" s="1" customFormat="1" spans="1:8">
      <c r="A3002" s="1" t="s">
        <v>8</v>
      </c>
      <c r="B3002" s="1" t="s">
        <v>21</v>
      </c>
      <c r="C3002" s="1" t="str">
        <f t="shared" si="57"/>
        <v>020060</v>
      </c>
      <c r="D3002" s="1" t="str">
        <f>"112312623"</f>
        <v>112312623</v>
      </c>
      <c r="E3002" s="1">
        <v>38</v>
      </c>
      <c r="F3002" s="1">
        <v>77</v>
      </c>
      <c r="H3002" s="1">
        <v>53.6</v>
      </c>
    </row>
    <row r="3003" s="1" customFormat="1" spans="1:8">
      <c r="A3003" s="1" t="s">
        <v>8</v>
      </c>
      <c r="B3003" s="1" t="s">
        <v>21</v>
      </c>
      <c r="C3003" s="1" t="str">
        <f t="shared" si="57"/>
        <v>020060</v>
      </c>
      <c r="D3003" s="1" t="str">
        <f>"112312624"</f>
        <v>112312624</v>
      </c>
      <c r="E3003" s="1">
        <v>88.5</v>
      </c>
      <c r="F3003" s="1">
        <v>65.5</v>
      </c>
      <c r="H3003" s="1">
        <v>79.3</v>
      </c>
    </row>
    <row r="3004" s="1" customFormat="1" spans="1:8">
      <c r="A3004" s="1" t="s">
        <v>8</v>
      </c>
      <c r="B3004" s="1" t="s">
        <v>21</v>
      </c>
      <c r="C3004" s="1" t="str">
        <f t="shared" si="57"/>
        <v>020060</v>
      </c>
      <c r="D3004" s="1" t="str">
        <f>"112312625"</f>
        <v>112312625</v>
      </c>
      <c r="E3004" s="1">
        <v>82.5</v>
      </c>
      <c r="F3004" s="1">
        <v>80.5</v>
      </c>
      <c r="H3004" s="1">
        <v>81.7</v>
      </c>
    </row>
    <row r="3005" s="1" customFormat="1" spans="1:8">
      <c r="A3005" s="1" t="s">
        <v>8</v>
      </c>
      <c r="B3005" s="1" t="s">
        <v>21</v>
      </c>
      <c r="C3005" s="1" t="str">
        <f t="shared" si="57"/>
        <v>020060</v>
      </c>
      <c r="D3005" s="1" t="str">
        <f>"112312626"</f>
        <v>112312626</v>
      </c>
      <c r="E3005" s="1">
        <v>78</v>
      </c>
      <c r="F3005" s="1">
        <v>73.5</v>
      </c>
      <c r="H3005" s="1">
        <v>76.2</v>
      </c>
    </row>
    <row r="3006" s="1" customFormat="1" spans="1:8">
      <c r="A3006" s="1" t="s">
        <v>8</v>
      </c>
      <c r="B3006" s="1" t="s">
        <v>21</v>
      </c>
      <c r="C3006" s="1" t="str">
        <f t="shared" si="57"/>
        <v>020060</v>
      </c>
      <c r="D3006" s="1" t="str">
        <f>"112312627"</f>
        <v>112312627</v>
      </c>
      <c r="E3006" s="1">
        <v>78</v>
      </c>
      <c r="F3006" s="1">
        <v>85</v>
      </c>
      <c r="H3006" s="1">
        <v>80.8</v>
      </c>
    </row>
    <row r="3007" s="1" customFormat="1" spans="1:8">
      <c r="A3007" s="1" t="s">
        <v>8</v>
      </c>
      <c r="B3007" s="1" t="s">
        <v>21</v>
      </c>
      <c r="C3007" s="1" t="str">
        <f t="shared" si="57"/>
        <v>020060</v>
      </c>
      <c r="D3007" s="1" t="str">
        <f>"112312628"</f>
        <v>112312628</v>
      </c>
      <c r="E3007" s="1">
        <v>99.5</v>
      </c>
      <c r="F3007" s="1">
        <v>62</v>
      </c>
      <c r="H3007" s="1">
        <v>84.5</v>
      </c>
    </row>
    <row r="3008" s="1" customFormat="1" spans="1:8">
      <c r="A3008" s="1" t="s">
        <v>8</v>
      </c>
      <c r="B3008" s="1" t="s">
        <v>21</v>
      </c>
      <c r="C3008" s="1" t="str">
        <f t="shared" si="57"/>
        <v>020060</v>
      </c>
      <c r="D3008" s="1" t="str">
        <f>"112312629"</f>
        <v>112312629</v>
      </c>
      <c r="E3008" s="1">
        <v>78.5</v>
      </c>
      <c r="F3008" s="1">
        <v>48</v>
      </c>
      <c r="H3008" s="1">
        <v>66.3</v>
      </c>
    </row>
    <row r="3009" s="1" customFormat="1" spans="1:8">
      <c r="A3009" s="1" t="s">
        <v>8</v>
      </c>
      <c r="B3009" s="1" t="s">
        <v>21</v>
      </c>
      <c r="C3009" s="1" t="str">
        <f t="shared" si="57"/>
        <v>020060</v>
      </c>
      <c r="D3009" s="1" t="str">
        <f>"112312630"</f>
        <v>112312630</v>
      </c>
      <c r="E3009" s="1">
        <v>85</v>
      </c>
      <c r="F3009" s="1">
        <v>58.5</v>
      </c>
      <c r="H3009" s="1">
        <v>74.4</v>
      </c>
    </row>
    <row r="3010" s="1" customFormat="1" spans="1:8">
      <c r="A3010" s="1" t="s">
        <v>8</v>
      </c>
      <c r="B3010" s="1" t="s">
        <v>21</v>
      </c>
      <c r="C3010" s="1" t="str">
        <f t="shared" si="57"/>
        <v>020060</v>
      </c>
      <c r="D3010" s="1" t="str">
        <f>"112312701"</f>
        <v>112312701</v>
      </c>
      <c r="E3010" s="1">
        <v>0</v>
      </c>
      <c r="F3010" s="1">
        <v>0</v>
      </c>
      <c r="H3010" s="1">
        <v>0</v>
      </c>
    </row>
    <row r="3011" s="1" customFormat="1" spans="1:8">
      <c r="A3011" s="1" t="s">
        <v>8</v>
      </c>
      <c r="B3011" s="1" t="s">
        <v>21</v>
      </c>
      <c r="C3011" s="1" t="str">
        <f t="shared" si="57"/>
        <v>020060</v>
      </c>
      <c r="D3011" s="1" t="str">
        <f>"112312702"</f>
        <v>112312702</v>
      </c>
      <c r="E3011" s="1">
        <v>0</v>
      </c>
      <c r="F3011" s="1">
        <v>0</v>
      </c>
      <c r="H3011" s="1">
        <v>0</v>
      </c>
    </row>
    <row r="3012" s="1" customFormat="1" spans="1:8">
      <c r="A3012" s="1" t="s">
        <v>8</v>
      </c>
      <c r="B3012" s="1" t="s">
        <v>21</v>
      </c>
      <c r="C3012" s="1" t="str">
        <f t="shared" si="57"/>
        <v>020060</v>
      </c>
      <c r="D3012" s="1" t="str">
        <f>"112312703"</f>
        <v>112312703</v>
      </c>
      <c r="E3012" s="1">
        <v>70.5</v>
      </c>
      <c r="F3012" s="1">
        <v>43</v>
      </c>
      <c r="H3012" s="1">
        <v>59.5</v>
      </c>
    </row>
    <row r="3013" s="1" customFormat="1" spans="1:8">
      <c r="A3013" s="1" t="s">
        <v>8</v>
      </c>
      <c r="B3013" s="1" t="s">
        <v>21</v>
      </c>
      <c r="C3013" s="1" t="str">
        <f t="shared" si="57"/>
        <v>020060</v>
      </c>
      <c r="D3013" s="1" t="str">
        <f>"112312704"</f>
        <v>112312704</v>
      </c>
      <c r="E3013" s="1">
        <v>72</v>
      </c>
      <c r="F3013" s="1">
        <v>64</v>
      </c>
      <c r="H3013" s="1">
        <v>68.8</v>
      </c>
    </row>
    <row r="3014" s="1" customFormat="1" spans="1:8">
      <c r="A3014" s="1" t="s">
        <v>8</v>
      </c>
      <c r="B3014" s="1" t="s">
        <v>21</v>
      </c>
      <c r="C3014" s="1" t="str">
        <f t="shared" ref="C3014:C3045" si="58">"020060"</f>
        <v>020060</v>
      </c>
      <c r="D3014" s="1" t="str">
        <f>"112312705"</f>
        <v>112312705</v>
      </c>
      <c r="E3014" s="1">
        <v>61.5</v>
      </c>
      <c r="F3014" s="1">
        <v>62.5</v>
      </c>
      <c r="H3014" s="1">
        <v>61.9</v>
      </c>
    </row>
    <row r="3015" s="1" customFormat="1" spans="1:8">
      <c r="A3015" s="1" t="s">
        <v>8</v>
      </c>
      <c r="B3015" s="1" t="s">
        <v>21</v>
      </c>
      <c r="C3015" s="1" t="str">
        <f t="shared" si="58"/>
        <v>020060</v>
      </c>
      <c r="D3015" s="1" t="str">
        <f>"112312706"</f>
        <v>112312706</v>
      </c>
      <c r="E3015" s="1">
        <v>95</v>
      </c>
      <c r="F3015" s="1">
        <v>55</v>
      </c>
      <c r="H3015" s="1">
        <v>79</v>
      </c>
    </row>
    <row r="3016" s="1" customFormat="1" spans="1:8">
      <c r="A3016" s="1" t="s">
        <v>8</v>
      </c>
      <c r="B3016" s="1" t="s">
        <v>21</v>
      </c>
      <c r="C3016" s="1" t="str">
        <f t="shared" si="58"/>
        <v>020060</v>
      </c>
      <c r="D3016" s="1" t="str">
        <f>"112312707"</f>
        <v>112312707</v>
      </c>
      <c r="E3016" s="1">
        <v>85</v>
      </c>
      <c r="F3016" s="1">
        <v>78</v>
      </c>
      <c r="H3016" s="1">
        <v>82.2</v>
      </c>
    </row>
    <row r="3017" s="1" customFormat="1" spans="1:8">
      <c r="A3017" s="1" t="s">
        <v>8</v>
      </c>
      <c r="B3017" s="1" t="s">
        <v>21</v>
      </c>
      <c r="C3017" s="1" t="str">
        <f t="shared" si="58"/>
        <v>020060</v>
      </c>
      <c r="D3017" s="1" t="str">
        <f>"112312708"</f>
        <v>112312708</v>
      </c>
      <c r="E3017" s="1">
        <v>71</v>
      </c>
      <c r="F3017" s="1">
        <v>53.5</v>
      </c>
      <c r="H3017" s="1">
        <v>64</v>
      </c>
    </row>
    <row r="3018" s="1" customFormat="1" spans="1:8">
      <c r="A3018" s="1" t="s">
        <v>8</v>
      </c>
      <c r="B3018" s="1" t="s">
        <v>21</v>
      </c>
      <c r="C3018" s="1" t="str">
        <f t="shared" si="58"/>
        <v>020060</v>
      </c>
      <c r="D3018" s="1" t="str">
        <f>"112312709"</f>
        <v>112312709</v>
      </c>
      <c r="E3018" s="1">
        <v>0</v>
      </c>
      <c r="F3018" s="1">
        <v>0</v>
      </c>
      <c r="H3018" s="1">
        <v>0</v>
      </c>
    </row>
    <row r="3019" s="1" customFormat="1" spans="1:8">
      <c r="A3019" s="1" t="s">
        <v>8</v>
      </c>
      <c r="B3019" s="1" t="s">
        <v>21</v>
      </c>
      <c r="C3019" s="1" t="str">
        <f t="shared" si="58"/>
        <v>020060</v>
      </c>
      <c r="D3019" s="1" t="str">
        <f>"112312710"</f>
        <v>112312710</v>
      </c>
      <c r="E3019" s="1">
        <v>96</v>
      </c>
      <c r="F3019" s="1">
        <v>81</v>
      </c>
      <c r="H3019" s="1">
        <v>90</v>
      </c>
    </row>
    <row r="3020" s="1" customFormat="1" spans="1:8">
      <c r="A3020" s="1" t="s">
        <v>8</v>
      </c>
      <c r="B3020" s="1" t="s">
        <v>21</v>
      </c>
      <c r="C3020" s="1" t="str">
        <f t="shared" si="58"/>
        <v>020060</v>
      </c>
      <c r="D3020" s="1" t="str">
        <f>"112312711"</f>
        <v>112312711</v>
      </c>
      <c r="E3020" s="1">
        <v>77.5</v>
      </c>
      <c r="F3020" s="1">
        <v>85.5</v>
      </c>
      <c r="G3020" s="1">
        <v>2</v>
      </c>
      <c r="H3020" s="1">
        <v>82.7</v>
      </c>
    </row>
    <row r="3021" s="1" customFormat="1" spans="1:8">
      <c r="A3021" s="1" t="s">
        <v>8</v>
      </c>
      <c r="B3021" s="1" t="s">
        <v>21</v>
      </c>
      <c r="C3021" s="1" t="str">
        <f t="shared" si="58"/>
        <v>020060</v>
      </c>
      <c r="D3021" s="1" t="str">
        <f>"112312712"</f>
        <v>112312712</v>
      </c>
      <c r="E3021" s="1">
        <v>80</v>
      </c>
      <c r="F3021" s="1">
        <v>58</v>
      </c>
      <c r="H3021" s="1">
        <v>71.2</v>
      </c>
    </row>
    <row r="3022" s="1" customFormat="1" spans="1:8">
      <c r="A3022" s="1" t="s">
        <v>8</v>
      </c>
      <c r="B3022" s="1" t="s">
        <v>21</v>
      </c>
      <c r="C3022" s="1" t="str">
        <f t="shared" si="58"/>
        <v>020060</v>
      </c>
      <c r="D3022" s="1" t="str">
        <f>"112312713"</f>
        <v>112312713</v>
      </c>
      <c r="E3022" s="1">
        <v>0</v>
      </c>
      <c r="F3022" s="1">
        <v>0</v>
      </c>
      <c r="H3022" s="1">
        <v>0</v>
      </c>
    </row>
    <row r="3023" s="1" customFormat="1" spans="1:8">
      <c r="A3023" s="1" t="s">
        <v>8</v>
      </c>
      <c r="B3023" s="1" t="s">
        <v>21</v>
      </c>
      <c r="C3023" s="1" t="str">
        <f t="shared" si="58"/>
        <v>020060</v>
      </c>
      <c r="D3023" s="1" t="str">
        <f>"112312714"</f>
        <v>112312714</v>
      </c>
      <c r="E3023" s="1">
        <v>94</v>
      </c>
      <c r="F3023" s="1">
        <v>84</v>
      </c>
      <c r="H3023" s="1">
        <v>90</v>
      </c>
    </row>
    <row r="3024" s="1" customFormat="1" spans="1:8">
      <c r="A3024" s="1" t="s">
        <v>8</v>
      </c>
      <c r="B3024" s="1" t="s">
        <v>21</v>
      </c>
      <c r="C3024" s="1" t="str">
        <f t="shared" si="58"/>
        <v>020060</v>
      </c>
      <c r="D3024" s="1" t="str">
        <f>"112312715"</f>
        <v>112312715</v>
      </c>
      <c r="E3024" s="1">
        <v>96</v>
      </c>
      <c r="F3024" s="1">
        <v>83.5</v>
      </c>
      <c r="H3024" s="1">
        <v>91</v>
      </c>
    </row>
    <row r="3025" s="1" customFormat="1" spans="1:8">
      <c r="A3025" s="1" t="s">
        <v>8</v>
      </c>
      <c r="B3025" s="1" t="s">
        <v>21</v>
      </c>
      <c r="C3025" s="1" t="str">
        <f t="shared" si="58"/>
        <v>020060</v>
      </c>
      <c r="D3025" s="1" t="str">
        <f>"112312716"</f>
        <v>112312716</v>
      </c>
      <c r="E3025" s="1">
        <v>72.5</v>
      </c>
      <c r="F3025" s="1">
        <v>61.5</v>
      </c>
      <c r="H3025" s="1">
        <v>68.1</v>
      </c>
    </row>
    <row r="3026" s="1" customFormat="1" spans="1:8">
      <c r="A3026" s="1" t="s">
        <v>8</v>
      </c>
      <c r="B3026" s="1" t="s">
        <v>21</v>
      </c>
      <c r="C3026" s="1" t="str">
        <f t="shared" si="58"/>
        <v>020060</v>
      </c>
      <c r="D3026" s="1" t="str">
        <f>"112312717"</f>
        <v>112312717</v>
      </c>
      <c r="E3026" s="1">
        <v>83</v>
      </c>
      <c r="F3026" s="1">
        <v>44</v>
      </c>
      <c r="H3026" s="1">
        <v>67.4</v>
      </c>
    </row>
    <row r="3027" s="1" customFormat="1" spans="1:8">
      <c r="A3027" s="1" t="s">
        <v>8</v>
      </c>
      <c r="B3027" s="1" t="s">
        <v>21</v>
      </c>
      <c r="C3027" s="1" t="str">
        <f t="shared" si="58"/>
        <v>020060</v>
      </c>
      <c r="D3027" s="1" t="str">
        <f>"112312718"</f>
        <v>112312718</v>
      </c>
      <c r="E3027" s="1">
        <v>102.5</v>
      </c>
      <c r="F3027" s="1">
        <v>82.5</v>
      </c>
      <c r="H3027" s="1">
        <v>94.5</v>
      </c>
    </row>
    <row r="3028" s="1" customFormat="1" spans="1:8">
      <c r="A3028" s="1" t="s">
        <v>8</v>
      </c>
      <c r="B3028" s="1" t="s">
        <v>21</v>
      </c>
      <c r="C3028" s="1" t="str">
        <f t="shared" si="58"/>
        <v>020060</v>
      </c>
      <c r="D3028" s="1" t="str">
        <f>"112312719"</f>
        <v>112312719</v>
      </c>
      <c r="E3028" s="1">
        <v>79.5</v>
      </c>
      <c r="F3028" s="1">
        <v>79.5</v>
      </c>
      <c r="H3028" s="1">
        <v>79.5</v>
      </c>
    </row>
    <row r="3029" s="1" customFormat="1" spans="1:8">
      <c r="A3029" s="1" t="s">
        <v>8</v>
      </c>
      <c r="B3029" s="1" t="s">
        <v>21</v>
      </c>
      <c r="C3029" s="1" t="str">
        <f t="shared" si="58"/>
        <v>020060</v>
      </c>
      <c r="D3029" s="1" t="str">
        <f>"112312720"</f>
        <v>112312720</v>
      </c>
      <c r="E3029" s="1">
        <v>0</v>
      </c>
      <c r="F3029" s="1">
        <v>0</v>
      </c>
      <c r="H3029" s="1">
        <v>0</v>
      </c>
    </row>
    <row r="3030" s="1" customFormat="1" spans="1:8">
      <c r="A3030" s="1" t="s">
        <v>8</v>
      </c>
      <c r="B3030" s="1" t="s">
        <v>21</v>
      </c>
      <c r="C3030" s="1" t="str">
        <f t="shared" si="58"/>
        <v>020060</v>
      </c>
      <c r="D3030" s="1" t="str">
        <f>"112312721"</f>
        <v>112312721</v>
      </c>
      <c r="E3030" s="1">
        <v>71.5</v>
      </c>
      <c r="F3030" s="1">
        <v>57.5</v>
      </c>
      <c r="H3030" s="1">
        <v>65.9</v>
      </c>
    </row>
    <row r="3031" s="1" customFormat="1" spans="1:8">
      <c r="A3031" s="1" t="s">
        <v>8</v>
      </c>
      <c r="B3031" s="1" t="s">
        <v>21</v>
      </c>
      <c r="C3031" s="1" t="str">
        <f t="shared" si="58"/>
        <v>020060</v>
      </c>
      <c r="D3031" s="1" t="str">
        <f>"112312722"</f>
        <v>112312722</v>
      </c>
      <c r="E3031" s="1">
        <v>87.5</v>
      </c>
      <c r="F3031" s="1">
        <v>87.5</v>
      </c>
      <c r="H3031" s="1">
        <v>87.5</v>
      </c>
    </row>
    <row r="3032" s="1" customFormat="1" spans="1:8">
      <c r="A3032" s="1" t="s">
        <v>8</v>
      </c>
      <c r="B3032" s="1" t="s">
        <v>21</v>
      </c>
      <c r="C3032" s="1" t="str">
        <f t="shared" si="58"/>
        <v>020060</v>
      </c>
      <c r="D3032" s="1" t="str">
        <f>"112312723"</f>
        <v>112312723</v>
      </c>
      <c r="E3032" s="1">
        <v>87</v>
      </c>
      <c r="F3032" s="1">
        <v>60</v>
      </c>
      <c r="H3032" s="1">
        <v>76.2</v>
      </c>
    </row>
    <row r="3033" s="1" customFormat="1" spans="1:8">
      <c r="A3033" s="1" t="s">
        <v>8</v>
      </c>
      <c r="B3033" s="1" t="s">
        <v>21</v>
      </c>
      <c r="C3033" s="1" t="str">
        <f t="shared" si="58"/>
        <v>020060</v>
      </c>
      <c r="D3033" s="1" t="str">
        <f>"112312724"</f>
        <v>112312724</v>
      </c>
      <c r="E3033" s="1">
        <v>0</v>
      </c>
      <c r="F3033" s="1">
        <v>0</v>
      </c>
      <c r="H3033" s="1">
        <v>0</v>
      </c>
    </row>
    <row r="3034" s="1" customFormat="1" spans="1:8">
      <c r="A3034" s="1" t="s">
        <v>8</v>
      </c>
      <c r="B3034" s="1" t="s">
        <v>21</v>
      </c>
      <c r="C3034" s="1" t="str">
        <f t="shared" si="58"/>
        <v>020060</v>
      </c>
      <c r="D3034" s="1" t="str">
        <f>"112312725"</f>
        <v>112312725</v>
      </c>
      <c r="E3034" s="1">
        <v>0</v>
      </c>
      <c r="F3034" s="1">
        <v>0</v>
      </c>
      <c r="H3034" s="1">
        <v>0</v>
      </c>
    </row>
    <row r="3035" s="1" customFormat="1" spans="1:8">
      <c r="A3035" s="1" t="s">
        <v>8</v>
      </c>
      <c r="B3035" s="1" t="s">
        <v>21</v>
      </c>
      <c r="C3035" s="1" t="str">
        <f t="shared" si="58"/>
        <v>020060</v>
      </c>
      <c r="D3035" s="1" t="str">
        <f>"112312726"</f>
        <v>112312726</v>
      </c>
      <c r="E3035" s="1">
        <v>97</v>
      </c>
      <c r="F3035" s="1">
        <v>68.5</v>
      </c>
      <c r="H3035" s="1">
        <v>85.6</v>
      </c>
    </row>
    <row r="3036" s="1" customFormat="1" spans="1:8">
      <c r="A3036" s="1" t="s">
        <v>8</v>
      </c>
      <c r="B3036" s="1" t="s">
        <v>21</v>
      </c>
      <c r="C3036" s="1" t="str">
        <f t="shared" si="58"/>
        <v>020060</v>
      </c>
      <c r="D3036" s="1" t="str">
        <f>"112312727"</f>
        <v>112312727</v>
      </c>
      <c r="E3036" s="1">
        <v>0</v>
      </c>
      <c r="F3036" s="1">
        <v>0</v>
      </c>
      <c r="H3036" s="1">
        <v>0</v>
      </c>
    </row>
    <row r="3037" s="1" customFormat="1" spans="1:8">
      <c r="A3037" s="1" t="s">
        <v>8</v>
      </c>
      <c r="B3037" s="1" t="s">
        <v>21</v>
      </c>
      <c r="C3037" s="1" t="str">
        <f t="shared" si="58"/>
        <v>020060</v>
      </c>
      <c r="D3037" s="1" t="str">
        <f>"112312728"</f>
        <v>112312728</v>
      </c>
      <c r="E3037" s="1">
        <v>74.5</v>
      </c>
      <c r="F3037" s="1">
        <v>55.5</v>
      </c>
      <c r="H3037" s="1">
        <v>66.9</v>
      </c>
    </row>
    <row r="3038" s="1" customFormat="1" spans="1:8">
      <c r="A3038" s="1" t="s">
        <v>8</v>
      </c>
      <c r="B3038" s="1" t="s">
        <v>21</v>
      </c>
      <c r="C3038" s="1" t="str">
        <f t="shared" si="58"/>
        <v>020060</v>
      </c>
      <c r="D3038" s="1" t="str">
        <f>"112312729"</f>
        <v>112312729</v>
      </c>
      <c r="E3038" s="1">
        <v>0</v>
      </c>
      <c r="F3038" s="1">
        <v>0</v>
      </c>
      <c r="H3038" s="1">
        <v>0</v>
      </c>
    </row>
    <row r="3039" s="1" customFormat="1" spans="1:8">
      <c r="A3039" s="1" t="s">
        <v>8</v>
      </c>
      <c r="B3039" s="1" t="s">
        <v>21</v>
      </c>
      <c r="C3039" s="1" t="str">
        <f t="shared" si="58"/>
        <v>020060</v>
      </c>
      <c r="D3039" s="1" t="str">
        <f>"112312730"</f>
        <v>112312730</v>
      </c>
      <c r="E3039" s="1">
        <v>89</v>
      </c>
      <c r="F3039" s="1">
        <v>63.5</v>
      </c>
      <c r="H3039" s="1">
        <v>78.8</v>
      </c>
    </row>
    <row r="3040" s="1" customFormat="1" spans="1:8">
      <c r="A3040" s="1" t="s">
        <v>8</v>
      </c>
      <c r="B3040" s="1" t="s">
        <v>21</v>
      </c>
      <c r="C3040" s="1" t="str">
        <f t="shared" si="58"/>
        <v>020060</v>
      </c>
      <c r="D3040" s="1" t="str">
        <f>"112312801"</f>
        <v>112312801</v>
      </c>
      <c r="E3040" s="1">
        <v>82</v>
      </c>
      <c r="F3040" s="1">
        <v>70.5</v>
      </c>
      <c r="H3040" s="1">
        <v>77.4</v>
      </c>
    </row>
    <row r="3041" s="1" customFormat="1" spans="1:8">
      <c r="A3041" s="1" t="s">
        <v>8</v>
      </c>
      <c r="B3041" s="1" t="s">
        <v>21</v>
      </c>
      <c r="C3041" s="1" t="str">
        <f t="shared" si="58"/>
        <v>020060</v>
      </c>
      <c r="D3041" s="1" t="str">
        <f>"112312802"</f>
        <v>112312802</v>
      </c>
      <c r="E3041" s="1">
        <v>88</v>
      </c>
      <c r="F3041" s="1">
        <v>95.5</v>
      </c>
      <c r="H3041" s="1">
        <v>91</v>
      </c>
    </row>
    <row r="3042" s="1" customFormat="1" spans="1:8">
      <c r="A3042" s="1" t="s">
        <v>8</v>
      </c>
      <c r="B3042" s="1" t="s">
        <v>21</v>
      </c>
      <c r="C3042" s="1" t="str">
        <f t="shared" si="58"/>
        <v>020060</v>
      </c>
      <c r="D3042" s="1" t="str">
        <f>"112312803"</f>
        <v>112312803</v>
      </c>
      <c r="E3042" s="1">
        <v>57.5</v>
      </c>
      <c r="F3042" s="1">
        <v>52.5</v>
      </c>
      <c r="H3042" s="1">
        <v>55.5</v>
      </c>
    </row>
    <row r="3043" s="1" customFormat="1" spans="1:8">
      <c r="A3043" s="1" t="s">
        <v>8</v>
      </c>
      <c r="B3043" s="1" t="s">
        <v>21</v>
      </c>
      <c r="C3043" s="1" t="str">
        <f t="shared" si="58"/>
        <v>020060</v>
      </c>
      <c r="D3043" s="1" t="str">
        <f>"112312804"</f>
        <v>112312804</v>
      </c>
      <c r="E3043" s="1">
        <v>0</v>
      </c>
      <c r="F3043" s="1">
        <v>0</v>
      </c>
      <c r="H3043" s="1">
        <v>0</v>
      </c>
    </row>
    <row r="3044" s="1" customFormat="1" spans="1:8">
      <c r="A3044" s="1" t="s">
        <v>8</v>
      </c>
      <c r="B3044" s="1" t="s">
        <v>21</v>
      </c>
      <c r="C3044" s="1" t="str">
        <f t="shared" si="58"/>
        <v>020060</v>
      </c>
      <c r="D3044" s="1" t="str">
        <f>"112312805"</f>
        <v>112312805</v>
      </c>
      <c r="E3044" s="1">
        <v>72.5</v>
      </c>
      <c r="F3044" s="1">
        <v>0</v>
      </c>
      <c r="H3044" s="1">
        <v>43.5</v>
      </c>
    </row>
    <row r="3045" s="1" customFormat="1" spans="1:8">
      <c r="A3045" s="1" t="s">
        <v>8</v>
      </c>
      <c r="B3045" s="1" t="s">
        <v>21</v>
      </c>
      <c r="C3045" s="1" t="str">
        <f t="shared" si="58"/>
        <v>020060</v>
      </c>
      <c r="D3045" s="1" t="str">
        <f>"112312806"</f>
        <v>112312806</v>
      </c>
      <c r="E3045" s="1">
        <v>89.5</v>
      </c>
      <c r="F3045" s="1">
        <v>66</v>
      </c>
      <c r="H3045" s="1">
        <v>80.1</v>
      </c>
    </row>
    <row r="3046" s="1" customFormat="1" spans="1:8">
      <c r="A3046" s="1" t="s">
        <v>10</v>
      </c>
      <c r="B3046" s="1" t="s">
        <v>21</v>
      </c>
      <c r="C3046" s="1" t="str">
        <f t="shared" ref="C3046:C3091" si="59">"020065"</f>
        <v>020065</v>
      </c>
      <c r="D3046" s="1" t="str">
        <f>"112312807"</f>
        <v>112312807</v>
      </c>
      <c r="E3046" s="1">
        <v>80.5</v>
      </c>
      <c r="F3046" s="1">
        <v>57</v>
      </c>
      <c r="H3046" s="1">
        <v>71.1</v>
      </c>
    </row>
    <row r="3047" s="1" customFormat="1" spans="1:8">
      <c r="A3047" s="1" t="s">
        <v>10</v>
      </c>
      <c r="B3047" s="1" t="s">
        <v>21</v>
      </c>
      <c r="C3047" s="1" t="str">
        <f t="shared" si="59"/>
        <v>020065</v>
      </c>
      <c r="D3047" s="1" t="str">
        <f>"112312808"</f>
        <v>112312808</v>
      </c>
      <c r="E3047" s="1">
        <v>63.5</v>
      </c>
      <c r="F3047" s="1">
        <v>56.5</v>
      </c>
      <c r="H3047" s="1">
        <v>60.7</v>
      </c>
    </row>
    <row r="3048" s="1" customFormat="1" spans="1:8">
      <c r="A3048" s="1" t="s">
        <v>10</v>
      </c>
      <c r="B3048" s="1" t="s">
        <v>21</v>
      </c>
      <c r="C3048" s="1" t="str">
        <f t="shared" si="59"/>
        <v>020065</v>
      </c>
      <c r="D3048" s="1" t="str">
        <f>"112312809"</f>
        <v>112312809</v>
      </c>
      <c r="E3048" s="1">
        <v>96.5</v>
      </c>
      <c r="F3048" s="1">
        <v>81.5</v>
      </c>
      <c r="H3048" s="1">
        <v>90.5</v>
      </c>
    </row>
    <row r="3049" s="1" customFormat="1" spans="1:8">
      <c r="A3049" s="1" t="s">
        <v>10</v>
      </c>
      <c r="B3049" s="1" t="s">
        <v>21</v>
      </c>
      <c r="C3049" s="1" t="str">
        <f t="shared" si="59"/>
        <v>020065</v>
      </c>
      <c r="D3049" s="1" t="str">
        <f>"112312810"</f>
        <v>112312810</v>
      </c>
      <c r="E3049" s="1">
        <v>72.5</v>
      </c>
      <c r="F3049" s="1">
        <v>75</v>
      </c>
      <c r="H3049" s="1">
        <v>73.5</v>
      </c>
    </row>
    <row r="3050" s="1" customFormat="1" spans="1:8">
      <c r="A3050" s="1" t="s">
        <v>10</v>
      </c>
      <c r="B3050" s="1" t="s">
        <v>21</v>
      </c>
      <c r="C3050" s="1" t="str">
        <f t="shared" si="59"/>
        <v>020065</v>
      </c>
      <c r="D3050" s="1" t="str">
        <f>"112312811"</f>
        <v>112312811</v>
      </c>
      <c r="E3050" s="1">
        <v>86.5</v>
      </c>
      <c r="F3050" s="1">
        <v>68</v>
      </c>
      <c r="H3050" s="1">
        <v>79.1</v>
      </c>
    </row>
    <row r="3051" s="1" customFormat="1" spans="1:8">
      <c r="A3051" s="1" t="s">
        <v>10</v>
      </c>
      <c r="B3051" s="1" t="s">
        <v>21</v>
      </c>
      <c r="C3051" s="1" t="str">
        <f t="shared" si="59"/>
        <v>020065</v>
      </c>
      <c r="D3051" s="1" t="str">
        <f>"112312812"</f>
        <v>112312812</v>
      </c>
      <c r="E3051" s="1">
        <v>87.5</v>
      </c>
      <c r="F3051" s="1">
        <v>82</v>
      </c>
      <c r="H3051" s="1">
        <v>85.3</v>
      </c>
    </row>
    <row r="3052" s="1" customFormat="1" spans="1:8">
      <c r="A3052" s="1" t="s">
        <v>10</v>
      </c>
      <c r="B3052" s="1" t="s">
        <v>21</v>
      </c>
      <c r="C3052" s="1" t="str">
        <f t="shared" si="59"/>
        <v>020065</v>
      </c>
      <c r="D3052" s="1" t="str">
        <f>"112312813"</f>
        <v>112312813</v>
      </c>
      <c r="E3052" s="1">
        <v>82.5</v>
      </c>
      <c r="F3052" s="1">
        <v>47.5</v>
      </c>
      <c r="H3052" s="1">
        <v>68.5</v>
      </c>
    </row>
    <row r="3053" s="1" customFormat="1" spans="1:8">
      <c r="A3053" s="1" t="s">
        <v>10</v>
      </c>
      <c r="B3053" s="1" t="s">
        <v>21</v>
      </c>
      <c r="C3053" s="1" t="str">
        <f t="shared" si="59"/>
        <v>020065</v>
      </c>
      <c r="D3053" s="1" t="str">
        <f>"112312814"</f>
        <v>112312814</v>
      </c>
      <c r="E3053" s="1">
        <v>71.5</v>
      </c>
      <c r="F3053" s="1">
        <v>60</v>
      </c>
      <c r="H3053" s="1">
        <v>66.9</v>
      </c>
    </row>
    <row r="3054" s="1" customFormat="1" spans="1:8">
      <c r="A3054" s="1" t="s">
        <v>10</v>
      </c>
      <c r="B3054" s="1" t="s">
        <v>21</v>
      </c>
      <c r="C3054" s="1" t="str">
        <f t="shared" si="59"/>
        <v>020065</v>
      </c>
      <c r="D3054" s="1" t="str">
        <f>"112312815"</f>
        <v>112312815</v>
      </c>
      <c r="E3054" s="1">
        <v>74.5</v>
      </c>
      <c r="F3054" s="1">
        <v>67</v>
      </c>
      <c r="H3054" s="1">
        <v>71.5</v>
      </c>
    </row>
    <row r="3055" s="1" customFormat="1" spans="1:8">
      <c r="A3055" s="1" t="s">
        <v>10</v>
      </c>
      <c r="B3055" s="1" t="s">
        <v>21</v>
      </c>
      <c r="C3055" s="1" t="str">
        <f t="shared" si="59"/>
        <v>020065</v>
      </c>
      <c r="D3055" s="1" t="str">
        <f>"112312816"</f>
        <v>112312816</v>
      </c>
      <c r="E3055" s="1">
        <v>0</v>
      </c>
      <c r="F3055" s="1">
        <v>0</v>
      </c>
      <c r="H3055" s="1">
        <v>0</v>
      </c>
    </row>
    <row r="3056" s="1" customFormat="1" spans="1:8">
      <c r="A3056" s="1" t="s">
        <v>10</v>
      </c>
      <c r="B3056" s="1" t="s">
        <v>21</v>
      </c>
      <c r="C3056" s="1" t="str">
        <f t="shared" si="59"/>
        <v>020065</v>
      </c>
      <c r="D3056" s="1" t="str">
        <f>"112312817"</f>
        <v>112312817</v>
      </c>
      <c r="E3056" s="1">
        <v>78</v>
      </c>
      <c r="F3056" s="1">
        <v>57.5</v>
      </c>
      <c r="H3056" s="1">
        <v>69.8</v>
      </c>
    </row>
    <row r="3057" s="1" customFormat="1" spans="1:8">
      <c r="A3057" s="1" t="s">
        <v>10</v>
      </c>
      <c r="B3057" s="1" t="s">
        <v>21</v>
      </c>
      <c r="C3057" s="1" t="str">
        <f t="shared" si="59"/>
        <v>020065</v>
      </c>
      <c r="D3057" s="1" t="str">
        <f>"112312818"</f>
        <v>112312818</v>
      </c>
      <c r="E3057" s="1">
        <v>83.5</v>
      </c>
      <c r="F3057" s="1">
        <v>65.5</v>
      </c>
      <c r="H3057" s="1">
        <v>76.3</v>
      </c>
    </row>
    <row r="3058" s="1" customFormat="1" spans="1:8">
      <c r="A3058" s="1" t="s">
        <v>10</v>
      </c>
      <c r="B3058" s="1" t="s">
        <v>21</v>
      </c>
      <c r="C3058" s="1" t="str">
        <f t="shared" si="59"/>
        <v>020065</v>
      </c>
      <c r="D3058" s="1" t="str">
        <f>"112312819"</f>
        <v>112312819</v>
      </c>
      <c r="E3058" s="1">
        <v>65.5</v>
      </c>
      <c r="F3058" s="1">
        <v>54.5</v>
      </c>
      <c r="H3058" s="1">
        <v>61.1</v>
      </c>
    </row>
    <row r="3059" s="1" customFormat="1" spans="1:8">
      <c r="A3059" s="1" t="s">
        <v>10</v>
      </c>
      <c r="B3059" s="1" t="s">
        <v>21</v>
      </c>
      <c r="C3059" s="1" t="str">
        <f t="shared" si="59"/>
        <v>020065</v>
      </c>
      <c r="D3059" s="1" t="str">
        <f>"112312820"</f>
        <v>112312820</v>
      </c>
      <c r="E3059" s="1">
        <v>0</v>
      </c>
      <c r="F3059" s="1">
        <v>0</v>
      </c>
      <c r="H3059" s="1">
        <v>0</v>
      </c>
    </row>
    <row r="3060" s="1" customFormat="1" spans="1:8">
      <c r="A3060" s="1" t="s">
        <v>10</v>
      </c>
      <c r="B3060" s="1" t="s">
        <v>21</v>
      </c>
      <c r="C3060" s="1" t="str">
        <f t="shared" si="59"/>
        <v>020065</v>
      </c>
      <c r="D3060" s="1" t="str">
        <f>"112312821"</f>
        <v>112312821</v>
      </c>
      <c r="E3060" s="1">
        <v>79</v>
      </c>
      <c r="F3060" s="1">
        <v>77</v>
      </c>
      <c r="H3060" s="1">
        <v>78.2</v>
      </c>
    </row>
    <row r="3061" s="1" customFormat="1" spans="1:8">
      <c r="A3061" s="1" t="s">
        <v>10</v>
      </c>
      <c r="B3061" s="1" t="s">
        <v>21</v>
      </c>
      <c r="C3061" s="1" t="str">
        <f t="shared" si="59"/>
        <v>020065</v>
      </c>
      <c r="D3061" s="1" t="str">
        <f>"112312822"</f>
        <v>112312822</v>
      </c>
      <c r="E3061" s="1">
        <v>67.5</v>
      </c>
      <c r="F3061" s="1">
        <v>61.5</v>
      </c>
      <c r="H3061" s="1">
        <v>65.1</v>
      </c>
    </row>
    <row r="3062" s="1" customFormat="1" spans="1:8">
      <c r="A3062" s="1" t="s">
        <v>10</v>
      </c>
      <c r="B3062" s="1" t="s">
        <v>21</v>
      </c>
      <c r="C3062" s="1" t="str">
        <f t="shared" si="59"/>
        <v>020065</v>
      </c>
      <c r="D3062" s="1" t="str">
        <f>"112312823"</f>
        <v>112312823</v>
      </c>
      <c r="E3062" s="1">
        <v>80</v>
      </c>
      <c r="F3062" s="1">
        <v>80</v>
      </c>
      <c r="H3062" s="1">
        <v>80</v>
      </c>
    </row>
    <row r="3063" s="1" customFormat="1" spans="1:8">
      <c r="A3063" s="1" t="s">
        <v>10</v>
      </c>
      <c r="B3063" s="1" t="s">
        <v>21</v>
      </c>
      <c r="C3063" s="1" t="str">
        <f t="shared" si="59"/>
        <v>020065</v>
      </c>
      <c r="D3063" s="1" t="str">
        <f>"112312824"</f>
        <v>112312824</v>
      </c>
      <c r="E3063" s="1">
        <v>101</v>
      </c>
      <c r="F3063" s="1">
        <v>67</v>
      </c>
      <c r="H3063" s="1">
        <v>87.4</v>
      </c>
    </row>
    <row r="3064" s="1" customFormat="1" spans="1:8">
      <c r="A3064" s="1" t="s">
        <v>10</v>
      </c>
      <c r="B3064" s="1" t="s">
        <v>21</v>
      </c>
      <c r="C3064" s="1" t="str">
        <f t="shared" si="59"/>
        <v>020065</v>
      </c>
      <c r="D3064" s="1" t="str">
        <f>"112312825"</f>
        <v>112312825</v>
      </c>
      <c r="E3064" s="1">
        <v>72.5</v>
      </c>
      <c r="F3064" s="1">
        <v>67</v>
      </c>
      <c r="H3064" s="1">
        <v>70.3</v>
      </c>
    </row>
    <row r="3065" s="1" customFormat="1" spans="1:8">
      <c r="A3065" s="1" t="s">
        <v>10</v>
      </c>
      <c r="B3065" s="1" t="s">
        <v>21</v>
      </c>
      <c r="C3065" s="1" t="str">
        <f t="shared" si="59"/>
        <v>020065</v>
      </c>
      <c r="D3065" s="1" t="str">
        <f>"112312826"</f>
        <v>112312826</v>
      </c>
      <c r="E3065" s="1">
        <v>62</v>
      </c>
      <c r="F3065" s="1">
        <v>56</v>
      </c>
      <c r="H3065" s="1">
        <v>59.6</v>
      </c>
    </row>
    <row r="3066" s="1" customFormat="1" spans="1:8">
      <c r="A3066" s="1" t="s">
        <v>10</v>
      </c>
      <c r="B3066" s="1" t="s">
        <v>21</v>
      </c>
      <c r="C3066" s="1" t="str">
        <f t="shared" si="59"/>
        <v>020065</v>
      </c>
      <c r="D3066" s="1" t="str">
        <f>"112312827"</f>
        <v>112312827</v>
      </c>
      <c r="E3066" s="1">
        <v>87.5</v>
      </c>
      <c r="F3066" s="1">
        <v>45.5</v>
      </c>
      <c r="H3066" s="1">
        <v>70.7</v>
      </c>
    </row>
    <row r="3067" s="1" customFormat="1" spans="1:8">
      <c r="A3067" s="1" t="s">
        <v>10</v>
      </c>
      <c r="B3067" s="1" t="s">
        <v>21</v>
      </c>
      <c r="C3067" s="1" t="str">
        <f t="shared" si="59"/>
        <v>020065</v>
      </c>
      <c r="D3067" s="1" t="str">
        <f>"112312828"</f>
        <v>112312828</v>
      </c>
      <c r="E3067" s="1">
        <v>88.5</v>
      </c>
      <c r="F3067" s="1">
        <v>63.5</v>
      </c>
      <c r="H3067" s="1">
        <v>78.5</v>
      </c>
    </row>
    <row r="3068" s="1" customFormat="1" spans="1:8">
      <c r="A3068" s="1" t="s">
        <v>10</v>
      </c>
      <c r="B3068" s="1" t="s">
        <v>21</v>
      </c>
      <c r="C3068" s="1" t="str">
        <f t="shared" si="59"/>
        <v>020065</v>
      </c>
      <c r="D3068" s="1" t="str">
        <f>"112312829"</f>
        <v>112312829</v>
      </c>
      <c r="E3068" s="1">
        <v>74.5</v>
      </c>
      <c r="F3068" s="1">
        <v>60</v>
      </c>
      <c r="H3068" s="1">
        <v>68.7</v>
      </c>
    </row>
    <row r="3069" s="1" customFormat="1" spans="1:8">
      <c r="A3069" s="1" t="s">
        <v>10</v>
      </c>
      <c r="B3069" s="1" t="s">
        <v>21</v>
      </c>
      <c r="C3069" s="1" t="str">
        <f t="shared" si="59"/>
        <v>020065</v>
      </c>
      <c r="D3069" s="1" t="str">
        <f>"112312830"</f>
        <v>112312830</v>
      </c>
      <c r="E3069" s="1">
        <v>72.5</v>
      </c>
      <c r="F3069" s="1">
        <v>60</v>
      </c>
      <c r="H3069" s="1">
        <v>67.5</v>
      </c>
    </row>
    <row r="3070" s="1" customFormat="1" spans="1:8">
      <c r="A3070" s="1" t="s">
        <v>10</v>
      </c>
      <c r="B3070" s="1" t="s">
        <v>21</v>
      </c>
      <c r="C3070" s="1" t="str">
        <f t="shared" si="59"/>
        <v>020065</v>
      </c>
      <c r="D3070" s="1" t="str">
        <f>"112312901"</f>
        <v>112312901</v>
      </c>
      <c r="E3070" s="1">
        <v>80.5</v>
      </c>
      <c r="F3070" s="1">
        <v>79.5</v>
      </c>
      <c r="H3070" s="1">
        <v>80.1</v>
      </c>
    </row>
    <row r="3071" s="1" customFormat="1" spans="1:8">
      <c r="A3071" s="1" t="s">
        <v>10</v>
      </c>
      <c r="B3071" s="1" t="s">
        <v>21</v>
      </c>
      <c r="C3071" s="1" t="str">
        <f t="shared" si="59"/>
        <v>020065</v>
      </c>
      <c r="D3071" s="1" t="str">
        <f>"112312902"</f>
        <v>112312902</v>
      </c>
      <c r="E3071" s="1">
        <v>85.5</v>
      </c>
      <c r="F3071" s="1">
        <v>73.5</v>
      </c>
      <c r="H3071" s="1">
        <v>80.7</v>
      </c>
    </row>
    <row r="3072" s="1" customFormat="1" spans="1:8">
      <c r="A3072" s="1" t="s">
        <v>10</v>
      </c>
      <c r="B3072" s="1" t="s">
        <v>21</v>
      </c>
      <c r="C3072" s="1" t="str">
        <f t="shared" si="59"/>
        <v>020065</v>
      </c>
      <c r="D3072" s="1" t="str">
        <f>"112312903"</f>
        <v>112312903</v>
      </c>
      <c r="E3072" s="1">
        <v>61.5</v>
      </c>
      <c r="F3072" s="1">
        <v>78</v>
      </c>
      <c r="H3072" s="1">
        <v>68.1</v>
      </c>
    </row>
    <row r="3073" s="1" customFormat="1" spans="1:8">
      <c r="A3073" s="1" t="s">
        <v>10</v>
      </c>
      <c r="B3073" s="1" t="s">
        <v>21</v>
      </c>
      <c r="C3073" s="1" t="str">
        <f t="shared" si="59"/>
        <v>020065</v>
      </c>
      <c r="D3073" s="1" t="str">
        <f>"112312904"</f>
        <v>112312904</v>
      </c>
      <c r="E3073" s="1">
        <v>93</v>
      </c>
      <c r="F3073" s="1">
        <v>78.5</v>
      </c>
      <c r="H3073" s="1">
        <v>87.2</v>
      </c>
    </row>
    <row r="3074" s="1" customFormat="1" spans="1:8">
      <c r="A3074" s="1" t="s">
        <v>10</v>
      </c>
      <c r="B3074" s="1" t="s">
        <v>21</v>
      </c>
      <c r="C3074" s="1" t="str">
        <f t="shared" si="59"/>
        <v>020065</v>
      </c>
      <c r="D3074" s="1" t="str">
        <f>"112312905"</f>
        <v>112312905</v>
      </c>
      <c r="E3074" s="1">
        <v>98</v>
      </c>
      <c r="F3074" s="1">
        <v>98</v>
      </c>
      <c r="H3074" s="1">
        <v>98</v>
      </c>
    </row>
    <row r="3075" s="1" customFormat="1" spans="1:8">
      <c r="A3075" s="1" t="s">
        <v>10</v>
      </c>
      <c r="B3075" s="1" t="s">
        <v>21</v>
      </c>
      <c r="C3075" s="1" t="str">
        <f t="shared" si="59"/>
        <v>020065</v>
      </c>
      <c r="D3075" s="1" t="str">
        <f>"112312906"</f>
        <v>112312906</v>
      </c>
      <c r="E3075" s="1">
        <v>0</v>
      </c>
      <c r="F3075" s="1">
        <v>0</v>
      </c>
      <c r="H3075" s="1">
        <v>0</v>
      </c>
    </row>
    <row r="3076" s="1" customFormat="1" spans="1:8">
      <c r="A3076" s="1" t="s">
        <v>10</v>
      </c>
      <c r="B3076" s="1" t="s">
        <v>21</v>
      </c>
      <c r="C3076" s="1" t="str">
        <f t="shared" si="59"/>
        <v>020065</v>
      </c>
      <c r="D3076" s="1" t="str">
        <f>"112312907"</f>
        <v>112312907</v>
      </c>
      <c r="E3076" s="1">
        <v>77</v>
      </c>
      <c r="F3076" s="1">
        <v>56</v>
      </c>
      <c r="H3076" s="1">
        <v>68.6</v>
      </c>
    </row>
    <row r="3077" s="1" customFormat="1" spans="1:8">
      <c r="A3077" s="1" t="s">
        <v>10</v>
      </c>
      <c r="B3077" s="1" t="s">
        <v>21</v>
      </c>
      <c r="C3077" s="1" t="str">
        <f t="shared" si="59"/>
        <v>020065</v>
      </c>
      <c r="D3077" s="1" t="str">
        <f>"112312908"</f>
        <v>112312908</v>
      </c>
      <c r="E3077" s="1">
        <v>0</v>
      </c>
      <c r="F3077" s="1">
        <v>0</v>
      </c>
      <c r="H3077" s="1">
        <v>0</v>
      </c>
    </row>
    <row r="3078" s="1" customFormat="1" spans="1:8">
      <c r="A3078" s="1" t="s">
        <v>10</v>
      </c>
      <c r="B3078" s="1" t="s">
        <v>21</v>
      </c>
      <c r="C3078" s="1" t="str">
        <f t="shared" si="59"/>
        <v>020065</v>
      </c>
      <c r="D3078" s="1" t="str">
        <f>"112312909"</f>
        <v>112312909</v>
      </c>
      <c r="E3078" s="1">
        <v>69</v>
      </c>
      <c r="F3078" s="1">
        <v>44.5</v>
      </c>
      <c r="H3078" s="1">
        <v>59.2</v>
      </c>
    </row>
    <row r="3079" s="1" customFormat="1" spans="1:8">
      <c r="A3079" s="1" t="s">
        <v>10</v>
      </c>
      <c r="B3079" s="1" t="s">
        <v>21</v>
      </c>
      <c r="C3079" s="1" t="str">
        <f t="shared" si="59"/>
        <v>020065</v>
      </c>
      <c r="D3079" s="1" t="str">
        <f>"112312910"</f>
        <v>112312910</v>
      </c>
      <c r="E3079" s="1">
        <v>75</v>
      </c>
      <c r="F3079" s="1">
        <v>69.5</v>
      </c>
      <c r="H3079" s="1">
        <v>72.8</v>
      </c>
    </row>
    <row r="3080" s="1" customFormat="1" spans="1:8">
      <c r="A3080" s="1" t="s">
        <v>10</v>
      </c>
      <c r="B3080" s="1" t="s">
        <v>21</v>
      </c>
      <c r="C3080" s="1" t="str">
        <f t="shared" si="59"/>
        <v>020065</v>
      </c>
      <c r="D3080" s="1" t="str">
        <f>"112312911"</f>
        <v>112312911</v>
      </c>
      <c r="E3080" s="1">
        <v>0</v>
      </c>
      <c r="F3080" s="1">
        <v>0</v>
      </c>
      <c r="H3080" s="1">
        <v>0</v>
      </c>
    </row>
    <row r="3081" s="1" customFormat="1" spans="1:8">
      <c r="A3081" s="1" t="s">
        <v>10</v>
      </c>
      <c r="B3081" s="1" t="s">
        <v>21</v>
      </c>
      <c r="C3081" s="1" t="str">
        <f t="shared" si="59"/>
        <v>020065</v>
      </c>
      <c r="D3081" s="1" t="str">
        <f>"112312912"</f>
        <v>112312912</v>
      </c>
      <c r="E3081" s="1">
        <v>63.5</v>
      </c>
      <c r="F3081" s="1">
        <v>68.5</v>
      </c>
      <c r="H3081" s="1">
        <v>65.5</v>
      </c>
    </row>
    <row r="3082" s="1" customFormat="1" spans="1:8">
      <c r="A3082" s="1" t="s">
        <v>10</v>
      </c>
      <c r="B3082" s="1" t="s">
        <v>21</v>
      </c>
      <c r="C3082" s="1" t="str">
        <f t="shared" si="59"/>
        <v>020065</v>
      </c>
      <c r="D3082" s="1" t="str">
        <f>"112312913"</f>
        <v>112312913</v>
      </c>
      <c r="E3082" s="1">
        <v>0</v>
      </c>
      <c r="F3082" s="1">
        <v>0</v>
      </c>
      <c r="H3082" s="1">
        <v>0</v>
      </c>
    </row>
    <row r="3083" s="1" customFormat="1" spans="1:8">
      <c r="A3083" s="1" t="s">
        <v>10</v>
      </c>
      <c r="B3083" s="1" t="s">
        <v>21</v>
      </c>
      <c r="C3083" s="1" t="str">
        <f t="shared" si="59"/>
        <v>020065</v>
      </c>
      <c r="D3083" s="1" t="str">
        <f>"112312914"</f>
        <v>112312914</v>
      </c>
      <c r="E3083" s="1">
        <v>101.5</v>
      </c>
      <c r="F3083" s="1">
        <v>94.5</v>
      </c>
      <c r="H3083" s="1">
        <v>98.7</v>
      </c>
    </row>
    <row r="3084" s="1" customFormat="1" spans="1:8">
      <c r="A3084" s="1" t="s">
        <v>10</v>
      </c>
      <c r="B3084" s="1" t="s">
        <v>21</v>
      </c>
      <c r="C3084" s="1" t="str">
        <f t="shared" si="59"/>
        <v>020065</v>
      </c>
      <c r="D3084" s="1" t="str">
        <f>"112312915"</f>
        <v>112312915</v>
      </c>
      <c r="E3084" s="1">
        <v>0</v>
      </c>
      <c r="F3084" s="1">
        <v>0</v>
      </c>
      <c r="H3084" s="1">
        <v>0</v>
      </c>
    </row>
    <row r="3085" s="1" customFormat="1" spans="1:8">
      <c r="A3085" s="1" t="s">
        <v>10</v>
      </c>
      <c r="B3085" s="1" t="s">
        <v>21</v>
      </c>
      <c r="C3085" s="1" t="str">
        <f t="shared" si="59"/>
        <v>020065</v>
      </c>
      <c r="D3085" s="1" t="str">
        <f>"112312916"</f>
        <v>112312916</v>
      </c>
      <c r="E3085" s="1">
        <v>61.5</v>
      </c>
      <c r="F3085" s="1">
        <v>69</v>
      </c>
      <c r="H3085" s="1">
        <v>64.5</v>
      </c>
    </row>
    <row r="3086" s="1" customFormat="1" spans="1:8">
      <c r="A3086" s="1" t="s">
        <v>10</v>
      </c>
      <c r="B3086" s="1" t="s">
        <v>21</v>
      </c>
      <c r="C3086" s="1" t="str">
        <f t="shared" si="59"/>
        <v>020065</v>
      </c>
      <c r="D3086" s="1" t="str">
        <f>"112312917"</f>
        <v>112312917</v>
      </c>
      <c r="E3086" s="1">
        <v>0</v>
      </c>
      <c r="F3086" s="1">
        <v>0</v>
      </c>
      <c r="H3086" s="1">
        <v>0</v>
      </c>
    </row>
    <row r="3087" s="1" customFormat="1" spans="1:8">
      <c r="A3087" s="1" t="s">
        <v>10</v>
      </c>
      <c r="B3087" s="1" t="s">
        <v>21</v>
      </c>
      <c r="C3087" s="1" t="str">
        <f t="shared" si="59"/>
        <v>020065</v>
      </c>
      <c r="D3087" s="1" t="str">
        <f>"112312918"</f>
        <v>112312918</v>
      </c>
      <c r="E3087" s="1">
        <v>91.5</v>
      </c>
      <c r="F3087" s="1">
        <v>73.5</v>
      </c>
      <c r="H3087" s="1">
        <v>84.3</v>
      </c>
    </row>
    <row r="3088" s="1" customFormat="1" spans="1:8">
      <c r="A3088" s="1" t="s">
        <v>10</v>
      </c>
      <c r="B3088" s="1" t="s">
        <v>21</v>
      </c>
      <c r="C3088" s="1" t="str">
        <f t="shared" si="59"/>
        <v>020065</v>
      </c>
      <c r="D3088" s="1" t="str">
        <f>"112312919"</f>
        <v>112312919</v>
      </c>
      <c r="E3088" s="1">
        <v>75</v>
      </c>
      <c r="F3088" s="1">
        <v>92.5</v>
      </c>
      <c r="H3088" s="1">
        <v>82</v>
      </c>
    </row>
    <row r="3089" s="1" customFormat="1" spans="1:8">
      <c r="A3089" s="1" t="s">
        <v>10</v>
      </c>
      <c r="B3089" s="1" t="s">
        <v>21</v>
      </c>
      <c r="C3089" s="1" t="str">
        <f t="shared" si="59"/>
        <v>020065</v>
      </c>
      <c r="D3089" s="1" t="str">
        <f>"112312920"</f>
        <v>112312920</v>
      </c>
      <c r="E3089" s="1">
        <v>84</v>
      </c>
      <c r="F3089" s="1">
        <v>76.5</v>
      </c>
      <c r="H3089" s="1">
        <v>81</v>
      </c>
    </row>
    <row r="3090" s="1" customFormat="1" spans="1:8">
      <c r="A3090" s="1" t="s">
        <v>10</v>
      </c>
      <c r="B3090" s="1" t="s">
        <v>21</v>
      </c>
      <c r="C3090" s="1" t="str">
        <f t="shared" si="59"/>
        <v>020065</v>
      </c>
      <c r="D3090" s="1" t="str">
        <f>"112312921"</f>
        <v>112312921</v>
      </c>
      <c r="E3090" s="1">
        <v>68</v>
      </c>
      <c r="F3090" s="1">
        <v>69.5</v>
      </c>
      <c r="H3090" s="1">
        <v>68.6</v>
      </c>
    </row>
    <row r="3091" s="1" customFormat="1" spans="1:8">
      <c r="A3091" s="1" t="s">
        <v>10</v>
      </c>
      <c r="B3091" s="1" t="s">
        <v>21</v>
      </c>
      <c r="C3091" s="1" t="str">
        <f t="shared" si="59"/>
        <v>020065</v>
      </c>
      <c r="D3091" s="1" t="str">
        <f>"112312922"</f>
        <v>112312922</v>
      </c>
      <c r="E3091" s="1">
        <v>95</v>
      </c>
      <c r="F3091" s="1">
        <v>70</v>
      </c>
      <c r="H3091" s="1">
        <v>85</v>
      </c>
    </row>
    <row r="3092" s="1" customFormat="1" spans="1:8">
      <c r="A3092" s="1" t="s">
        <v>12</v>
      </c>
      <c r="B3092" s="1" t="s">
        <v>21</v>
      </c>
      <c r="C3092" s="1" t="str">
        <f t="shared" ref="C3092:C3132" si="60">"020073"</f>
        <v>020073</v>
      </c>
      <c r="D3092" s="1" t="str">
        <f>"112312923"</f>
        <v>112312923</v>
      </c>
      <c r="E3092" s="1">
        <v>52</v>
      </c>
      <c r="F3092" s="1">
        <v>33</v>
      </c>
      <c r="H3092" s="1">
        <v>44.4</v>
      </c>
    </row>
    <row r="3093" s="1" customFormat="1" spans="1:8">
      <c r="A3093" s="1" t="s">
        <v>12</v>
      </c>
      <c r="B3093" s="1" t="s">
        <v>21</v>
      </c>
      <c r="C3093" s="1" t="str">
        <f t="shared" si="60"/>
        <v>020073</v>
      </c>
      <c r="D3093" s="1" t="str">
        <f>"112312924"</f>
        <v>112312924</v>
      </c>
      <c r="E3093" s="1">
        <v>104</v>
      </c>
      <c r="F3093" s="1">
        <v>93.5</v>
      </c>
      <c r="H3093" s="1">
        <v>99.8</v>
      </c>
    </row>
    <row r="3094" s="1" customFormat="1" spans="1:8">
      <c r="A3094" s="1" t="s">
        <v>12</v>
      </c>
      <c r="B3094" s="1" t="s">
        <v>21</v>
      </c>
      <c r="C3094" s="1" t="str">
        <f t="shared" si="60"/>
        <v>020073</v>
      </c>
      <c r="D3094" s="1" t="str">
        <f>"112312925"</f>
        <v>112312925</v>
      </c>
      <c r="E3094" s="1">
        <v>59</v>
      </c>
      <c r="F3094" s="1">
        <v>60.5</v>
      </c>
      <c r="H3094" s="1">
        <v>59.6</v>
      </c>
    </row>
    <row r="3095" s="1" customFormat="1" spans="1:8">
      <c r="A3095" s="1" t="s">
        <v>12</v>
      </c>
      <c r="B3095" s="1" t="s">
        <v>21</v>
      </c>
      <c r="C3095" s="1" t="str">
        <f t="shared" si="60"/>
        <v>020073</v>
      </c>
      <c r="D3095" s="1" t="str">
        <f>"112312926"</f>
        <v>112312926</v>
      </c>
      <c r="E3095" s="1">
        <v>96.5</v>
      </c>
      <c r="F3095" s="1">
        <v>77.5</v>
      </c>
      <c r="H3095" s="1">
        <v>88.9</v>
      </c>
    </row>
    <row r="3096" s="1" customFormat="1" spans="1:8">
      <c r="A3096" s="1" t="s">
        <v>12</v>
      </c>
      <c r="B3096" s="1" t="s">
        <v>21</v>
      </c>
      <c r="C3096" s="1" t="str">
        <f t="shared" si="60"/>
        <v>020073</v>
      </c>
      <c r="D3096" s="1" t="str">
        <f>"112312927"</f>
        <v>112312927</v>
      </c>
      <c r="E3096" s="1">
        <v>90.5</v>
      </c>
      <c r="F3096" s="1">
        <v>90</v>
      </c>
      <c r="H3096" s="1">
        <v>90.3</v>
      </c>
    </row>
    <row r="3097" s="1" customFormat="1" spans="1:8">
      <c r="A3097" s="1" t="s">
        <v>12</v>
      </c>
      <c r="B3097" s="1" t="s">
        <v>21</v>
      </c>
      <c r="C3097" s="1" t="str">
        <f t="shared" si="60"/>
        <v>020073</v>
      </c>
      <c r="D3097" s="1" t="str">
        <f>"112312928"</f>
        <v>112312928</v>
      </c>
      <c r="E3097" s="1">
        <v>91.5</v>
      </c>
      <c r="F3097" s="1">
        <v>67</v>
      </c>
      <c r="H3097" s="1">
        <v>81.7</v>
      </c>
    </row>
    <row r="3098" s="1" customFormat="1" spans="1:8">
      <c r="A3098" s="1" t="s">
        <v>12</v>
      </c>
      <c r="B3098" s="1" t="s">
        <v>21</v>
      </c>
      <c r="C3098" s="1" t="str">
        <f t="shared" si="60"/>
        <v>020073</v>
      </c>
      <c r="D3098" s="1" t="str">
        <f>"112312929"</f>
        <v>112312929</v>
      </c>
      <c r="E3098" s="1">
        <v>75.5</v>
      </c>
      <c r="F3098" s="1">
        <v>60</v>
      </c>
      <c r="H3098" s="1">
        <v>69.3</v>
      </c>
    </row>
    <row r="3099" s="1" customFormat="1" spans="1:8">
      <c r="A3099" s="1" t="s">
        <v>12</v>
      </c>
      <c r="B3099" s="1" t="s">
        <v>21</v>
      </c>
      <c r="C3099" s="1" t="str">
        <f t="shared" si="60"/>
        <v>020073</v>
      </c>
      <c r="D3099" s="1" t="str">
        <f>"112312930"</f>
        <v>112312930</v>
      </c>
      <c r="E3099" s="1">
        <v>60</v>
      </c>
      <c r="F3099" s="1">
        <v>54.5</v>
      </c>
      <c r="H3099" s="1">
        <v>57.8</v>
      </c>
    </row>
    <row r="3100" s="1" customFormat="1" spans="1:8">
      <c r="A3100" s="1" t="s">
        <v>12</v>
      </c>
      <c r="B3100" s="1" t="s">
        <v>21</v>
      </c>
      <c r="C3100" s="1" t="str">
        <f t="shared" si="60"/>
        <v>020073</v>
      </c>
      <c r="D3100" s="1" t="str">
        <f>"112313001"</f>
        <v>112313001</v>
      </c>
      <c r="E3100" s="1">
        <v>89.5</v>
      </c>
      <c r="F3100" s="1">
        <v>77</v>
      </c>
      <c r="G3100" s="1">
        <v>2</v>
      </c>
      <c r="H3100" s="1">
        <v>86.5</v>
      </c>
    </row>
    <row r="3101" s="1" customFormat="1" spans="1:8">
      <c r="A3101" s="1" t="s">
        <v>12</v>
      </c>
      <c r="B3101" s="1" t="s">
        <v>21</v>
      </c>
      <c r="C3101" s="1" t="str">
        <f t="shared" si="60"/>
        <v>020073</v>
      </c>
      <c r="D3101" s="1" t="str">
        <f>"112313002"</f>
        <v>112313002</v>
      </c>
      <c r="E3101" s="1">
        <v>81.5</v>
      </c>
      <c r="F3101" s="1">
        <v>80</v>
      </c>
      <c r="H3101" s="1">
        <v>80.9</v>
      </c>
    </row>
    <row r="3102" s="1" customFormat="1" spans="1:8">
      <c r="A3102" s="1" t="s">
        <v>12</v>
      </c>
      <c r="B3102" s="1" t="s">
        <v>21</v>
      </c>
      <c r="C3102" s="1" t="str">
        <f t="shared" si="60"/>
        <v>020073</v>
      </c>
      <c r="D3102" s="1" t="str">
        <f>"112313003"</f>
        <v>112313003</v>
      </c>
      <c r="E3102" s="1">
        <v>66</v>
      </c>
      <c r="F3102" s="1">
        <v>59.5</v>
      </c>
      <c r="H3102" s="1">
        <v>63.4</v>
      </c>
    </row>
    <row r="3103" s="1" customFormat="1" spans="1:8">
      <c r="A3103" s="1" t="s">
        <v>12</v>
      </c>
      <c r="B3103" s="1" t="s">
        <v>21</v>
      </c>
      <c r="C3103" s="1" t="str">
        <f t="shared" si="60"/>
        <v>020073</v>
      </c>
      <c r="D3103" s="1" t="str">
        <f>"112313004"</f>
        <v>112313004</v>
      </c>
      <c r="E3103" s="1">
        <v>71.5</v>
      </c>
      <c r="F3103" s="1">
        <v>62.5</v>
      </c>
      <c r="H3103" s="1">
        <v>67.9</v>
      </c>
    </row>
    <row r="3104" s="1" customFormat="1" spans="1:8">
      <c r="A3104" s="1" t="s">
        <v>12</v>
      </c>
      <c r="B3104" s="1" t="s">
        <v>21</v>
      </c>
      <c r="C3104" s="1" t="str">
        <f t="shared" si="60"/>
        <v>020073</v>
      </c>
      <c r="D3104" s="1" t="str">
        <f>"112313005"</f>
        <v>112313005</v>
      </c>
      <c r="E3104" s="1">
        <v>77.5</v>
      </c>
      <c r="F3104" s="1">
        <v>69</v>
      </c>
      <c r="H3104" s="1">
        <v>74.1</v>
      </c>
    </row>
    <row r="3105" s="1" customFormat="1" spans="1:8">
      <c r="A3105" s="1" t="s">
        <v>12</v>
      </c>
      <c r="B3105" s="1" t="s">
        <v>21</v>
      </c>
      <c r="C3105" s="1" t="str">
        <f t="shared" si="60"/>
        <v>020073</v>
      </c>
      <c r="D3105" s="1" t="str">
        <f>"112313006"</f>
        <v>112313006</v>
      </c>
      <c r="E3105" s="1">
        <v>92</v>
      </c>
      <c r="F3105" s="1">
        <v>87</v>
      </c>
      <c r="G3105" s="1">
        <v>2</v>
      </c>
      <c r="H3105" s="1">
        <v>92</v>
      </c>
    </row>
    <row r="3106" s="1" customFormat="1" spans="1:8">
      <c r="A3106" s="1" t="s">
        <v>12</v>
      </c>
      <c r="B3106" s="1" t="s">
        <v>21</v>
      </c>
      <c r="C3106" s="1" t="str">
        <f t="shared" si="60"/>
        <v>020073</v>
      </c>
      <c r="D3106" s="1" t="str">
        <f>"112313007"</f>
        <v>112313007</v>
      </c>
      <c r="E3106" s="1">
        <v>78</v>
      </c>
      <c r="F3106" s="1">
        <v>84</v>
      </c>
      <c r="H3106" s="1">
        <v>80.4</v>
      </c>
    </row>
    <row r="3107" s="1" customFormat="1" spans="1:8">
      <c r="A3107" s="1" t="s">
        <v>12</v>
      </c>
      <c r="B3107" s="1" t="s">
        <v>21</v>
      </c>
      <c r="C3107" s="1" t="str">
        <f t="shared" si="60"/>
        <v>020073</v>
      </c>
      <c r="D3107" s="1" t="str">
        <f>"112313008"</f>
        <v>112313008</v>
      </c>
      <c r="E3107" s="1">
        <v>67.5</v>
      </c>
      <c r="F3107" s="1">
        <v>81</v>
      </c>
      <c r="H3107" s="1">
        <v>72.9</v>
      </c>
    </row>
    <row r="3108" s="1" customFormat="1" spans="1:8">
      <c r="A3108" s="1" t="s">
        <v>12</v>
      </c>
      <c r="B3108" s="1" t="s">
        <v>21</v>
      </c>
      <c r="C3108" s="1" t="str">
        <f t="shared" si="60"/>
        <v>020073</v>
      </c>
      <c r="D3108" s="1" t="str">
        <f>"112313009"</f>
        <v>112313009</v>
      </c>
      <c r="E3108" s="1">
        <v>0</v>
      </c>
      <c r="F3108" s="1">
        <v>0</v>
      </c>
      <c r="H3108" s="1">
        <v>0</v>
      </c>
    </row>
    <row r="3109" s="1" customFormat="1" spans="1:8">
      <c r="A3109" s="1" t="s">
        <v>12</v>
      </c>
      <c r="B3109" s="1" t="s">
        <v>21</v>
      </c>
      <c r="C3109" s="1" t="str">
        <f t="shared" si="60"/>
        <v>020073</v>
      </c>
      <c r="D3109" s="1" t="str">
        <f>"112313010"</f>
        <v>112313010</v>
      </c>
      <c r="E3109" s="1">
        <v>77</v>
      </c>
      <c r="F3109" s="1">
        <v>45.5</v>
      </c>
      <c r="H3109" s="1">
        <v>64.4</v>
      </c>
    </row>
    <row r="3110" s="1" customFormat="1" spans="1:8">
      <c r="A3110" s="1" t="s">
        <v>12</v>
      </c>
      <c r="B3110" s="1" t="s">
        <v>21</v>
      </c>
      <c r="C3110" s="1" t="str">
        <f t="shared" si="60"/>
        <v>020073</v>
      </c>
      <c r="D3110" s="1" t="str">
        <f>"112313011"</f>
        <v>112313011</v>
      </c>
      <c r="E3110" s="1">
        <v>71</v>
      </c>
      <c r="F3110" s="1">
        <v>71</v>
      </c>
      <c r="H3110" s="1">
        <v>71</v>
      </c>
    </row>
    <row r="3111" s="1" customFormat="1" spans="1:8">
      <c r="A3111" s="1" t="s">
        <v>12</v>
      </c>
      <c r="B3111" s="1" t="s">
        <v>21</v>
      </c>
      <c r="C3111" s="1" t="str">
        <f t="shared" si="60"/>
        <v>020073</v>
      </c>
      <c r="D3111" s="1" t="str">
        <f>"112313012"</f>
        <v>112313012</v>
      </c>
      <c r="E3111" s="1">
        <v>93</v>
      </c>
      <c r="F3111" s="1">
        <v>86.5</v>
      </c>
      <c r="H3111" s="1">
        <v>90.4</v>
      </c>
    </row>
    <row r="3112" s="1" customFormat="1" spans="1:8">
      <c r="A3112" s="1" t="s">
        <v>12</v>
      </c>
      <c r="B3112" s="1" t="s">
        <v>21</v>
      </c>
      <c r="C3112" s="1" t="str">
        <f t="shared" si="60"/>
        <v>020073</v>
      </c>
      <c r="D3112" s="1" t="str">
        <f>"112313013"</f>
        <v>112313013</v>
      </c>
      <c r="E3112" s="1">
        <v>66.5</v>
      </c>
      <c r="F3112" s="1">
        <v>69.5</v>
      </c>
      <c r="H3112" s="1">
        <v>67.7</v>
      </c>
    </row>
    <row r="3113" s="1" customFormat="1" spans="1:8">
      <c r="A3113" s="1" t="s">
        <v>12</v>
      </c>
      <c r="B3113" s="1" t="s">
        <v>21</v>
      </c>
      <c r="C3113" s="1" t="str">
        <f t="shared" si="60"/>
        <v>020073</v>
      </c>
      <c r="D3113" s="1" t="str">
        <f>"112313014"</f>
        <v>112313014</v>
      </c>
      <c r="E3113" s="1">
        <v>73</v>
      </c>
      <c r="F3113" s="1">
        <v>64.5</v>
      </c>
      <c r="H3113" s="1">
        <v>69.6</v>
      </c>
    </row>
    <row r="3114" s="1" customFormat="1" spans="1:8">
      <c r="A3114" s="1" t="s">
        <v>12</v>
      </c>
      <c r="B3114" s="1" t="s">
        <v>21</v>
      </c>
      <c r="C3114" s="1" t="str">
        <f t="shared" si="60"/>
        <v>020073</v>
      </c>
      <c r="D3114" s="1" t="str">
        <f>"112313015"</f>
        <v>112313015</v>
      </c>
      <c r="E3114" s="1">
        <v>95.5</v>
      </c>
      <c r="F3114" s="1">
        <v>91.5</v>
      </c>
      <c r="H3114" s="1">
        <v>93.9</v>
      </c>
    </row>
    <row r="3115" s="1" customFormat="1" spans="1:8">
      <c r="A3115" s="1" t="s">
        <v>12</v>
      </c>
      <c r="B3115" s="1" t="s">
        <v>21</v>
      </c>
      <c r="C3115" s="1" t="str">
        <f t="shared" si="60"/>
        <v>020073</v>
      </c>
      <c r="D3115" s="1" t="str">
        <f>"112313016"</f>
        <v>112313016</v>
      </c>
      <c r="E3115" s="1">
        <v>73</v>
      </c>
      <c r="F3115" s="1">
        <v>59</v>
      </c>
      <c r="H3115" s="1">
        <v>67.4</v>
      </c>
    </row>
    <row r="3116" s="1" customFormat="1" spans="1:8">
      <c r="A3116" s="1" t="s">
        <v>12</v>
      </c>
      <c r="B3116" s="1" t="s">
        <v>21</v>
      </c>
      <c r="C3116" s="1" t="str">
        <f t="shared" si="60"/>
        <v>020073</v>
      </c>
      <c r="D3116" s="1" t="str">
        <f>"112313017"</f>
        <v>112313017</v>
      </c>
      <c r="E3116" s="1">
        <v>0</v>
      </c>
      <c r="F3116" s="1">
        <v>0</v>
      </c>
      <c r="H3116" s="1">
        <v>0</v>
      </c>
    </row>
    <row r="3117" s="1" customFormat="1" spans="1:8">
      <c r="A3117" s="1" t="s">
        <v>12</v>
      </c>
      <c r="B3117" s="1" t="s">
        <v>21</v>
      </c>
      <c r="C3117" s="1" t="str">
        <f t="shared" si="60"/>
        <v>020073</v>
      </c>
      <c r="D3117" s="1" t="str">
        <f>"112313018"</f>
        <v>112313018</v>
      </c>
      <c r="E3117" s="1">
        <v>74</v>
      </c>
      <c r="F3117" s="1">
        <v>73</v>
      </c>
      <c r="H3117" s="1">
        <v>73.6</v>
      </c>
    </row>
    <row r="3118" s="1" customFormat="1" spans="1:8">
      <c r="A3118" s="1" t="s">
        <v>12</v>
      </c>
      <c r="B3118" s="1" t="s">
        <v>21</v>
      </c>
      <c r="C3118" s="1" t="str">
        <f t="shared" si="60"/>
        <v>020073</v>
      </c>
      <c r="D3118" s="1" t="str">
        <f>"112313019"</f>
        <v>112313019</v>
      </c>
      <c r="E3118" s="1">
        <v>66</v>
      </c>
      <c r="F3118" s="1">
        <v>67</v>
      </c>
      <c r="H3118" s="1">
        <v>66.4</v>
      </c>
    </row>
    <row r="3119" s="1" customFormat="1" spans="1:8">
      <c r="A3119" s="1" t="s">
        <v>12</v>
      </c>
      <c r="B3119" s="1" t="s">
        <v>21</v>
      </c>
      <c r="C3119" s="1" t="str">
        <f t="shared" si="60"/>
        <v>020073</v>
      </c>
      <c r="D3119" s="1" t="str">
        <f>"112313020"</f>
        <v>112313020</v>
      </c>
      <c r="E3119" s="1">
        <v>66</v>
      </c>
      <c r="F3119" s="1">
        <v>39.5</v>
      </c>
      <c r="H3119" s="1">
        <v>55.4</v>
      </c>
    </row>
    <row r="3120" s="1" customFormat="1" spans="1:8">
      <c r="A3120" s="1" t="s">
        <v>12</v>
      </c>
      <c r="B3120" s="1" t="s">
        <v>21</v>
      </c>
      <c r="C3120" s="1" t="str">
        <f t="shared" si="60"/>
        <v>020073</v>
      </c>
      <c r="D3120" s="1" t="str">
        <f>"112313021"</f>
        <v>112313021</v>
      </c>
      <c r="E3120" s="1">
        <v>70.5</v>
      </c>
      <c r="F3120" s="1">
        <v>57.5</v>
      </c>
      <c r="H3120" s="1">
        <v>65.3</v>
      </c>
    </row>
    <row r="3121" s="1" customFormat="1" spans="1:8">
      <c r="A3121" s="1" t="s">
        <v>12</v>
      </c>
      <c r="B3121" s="1" t="s">
        <v>21</v>
      </c>
      <c r="C3121" s="1" t="str">
        <f t="shared" si="60"/>
        <v>020073</v>
      </c>
      <c r="D3121" s="1" t="str">
        <f>"112313022"</f>
        <v>112313022</v>
      </c>
      <c r="E3121" s="1">
        <v>78.5</v>
      </c>
      <c r="F3121" s="1">
        <v>75.5</v>
      </c>
      <c r="H3121" s="1">
        <v>77.3</v>
      </c>
    </row>
    <row r="3122" s="1" customFormat="1" spans="1:8">
      <c r="A3122" s="1" t="s">
        <v>12</v>
      </c>
      <c r="B3122" s="1" t="s">
        <v>21</v>
      </c>
      <c r="C3122" s="1" t="str">
        <f t="shared" si="60"/>
        <v>020073</v>
      </c>
      <c r="D3122" s="1" t="str">
        <f>"112313023"</f>
        <v>112313023</v>
      </c>
      <c r="E3122" s="1">
        <v>0</v>
      </c>
      <c r="F3122" s="1">
        <v>0</v>
      </c>
      <c r="H3122" s="1">
        <v>0</v>
      </c>
    </row>
    <row r="3123" s="1" customFormat="1" spans="1:8">
      <c r="A3123" s="1" t="s">
        <v>12</v>
      </c>
      <c r="B3123" s="1" t="s">
        <v>21</v>
      </c>
      <c r="C3123" s="1" t="str">
        <f t="shared" si="60"/>
        <v>020073</v>
      </c>
      <c r="D3123" s="1" t="str">
        <f>"112313024"</f>
        <v>112313024</v>
      </c>
      <c r="E3123" s="1">
        <v>0</v>
      </c>
      <c r="F3123" s="1">
        <v>0</v>
      </c>
      <c r="H3123" s="1">
        <v>0</v>
      </c>
    </row>
    <row r="3124" s="1" customFormat="1" spans="1:8">
      <c r="A3124" s="1" t="s">
        <v>12</v>
      </c>
      <c r="B3124" s="1" t="s">
        <v>21</v>
      </c>
      <c r="C3124" s="1" t="str">
        <f t="shared" si="60"/>
        <v>020073</v>
      </c>
      <c r="D3124" s="1" t="str">
        <f>"112313025"</f>
        <v>112313025</v>
      </c>
      <c r="E3124" s="1">
        <v>90.5</v>
      </c>
      <c r="F3124" s="1">
        <v>83</v>
      </c>
      <c r="H3124" s="1">
        <v>87.5</v>
      </c>
    </row>
    <row r="3125" s="1" customFormat="1" spans="1:8">
      <c r="A3125" s="1" t="s">
        <v>12</v>
      </c>
      <c r="B3125" s="1" t="s">
        <v>21</v>
      </c>
      <c r="C3125" s="1" t="str">
        <f t="shared" si="60"/>
        <v>020073</v>
      </c>
      <c r="D3125" s="1" t="str">
        <f>"112313026"</f>
        <v>112313026</v>
      </c>
      <c r="E3125" s="1">
        <v>0</v>
      </c>
      <c r="F3125" s="1">
        <v>0</v>
      </c>
      <c r="H3125" s="1">
        <v>0</v>
      </c>
    </row>
    <row r="3126" s="1" customFormat="1" spans="1:8">
      <c r="A3126" s="1" t="s">
        <v>12</v>
      </c>
      <c r="B3126" s="1" t="s">
        <v>21</v>
      </c>
      <c r="C3126" s="1" t="str">
        <f t="shared" si="60"/>
        <v>020073</v>
      </c>
      <c r="D3126" s="1" t="str">
        <f>"112313027"</f>
        <v>112313027</v>
      </c>
      <c r="E3126" s="1">
        <v>83</v>
      </c>
      <c r="F3126" s="1">
        <v>78</v>
      </c>
      <c r="H3126" s="1">
        <v>81</v>
      </c>
    </row>
    <row r="3127" s="1" customFormat="1" spans="1:8">
      <c r="A3127" s="1" t="s">
        <v>12</v>
      </c>
      <c r="B3127" s="1" t="s">
        <v>21</v>
      </c>
      <c r="C3127" s="1" t="str">
        <f t="shared" si="60"/>
        <v>020073</v>
      </c>
      <c r="D3127" s="1" t="str">
        <f>"112313028"</f>
        <v>112313028</v>
      </c>
      <c r="E3127" s="1">
        <v>80</v>
      </c>
      <c r="F3127" s="1">
        <v>70</v>
      </c>
      <c r="H3127" s="1">
        <v>76</v>
      </c>
    </row>
    <row r="3128" s="1" customFormat="1" spans="1:8">
      <c r="A3128" s="1" t="s">
        <v>12</v>
      </c>
      <c r="B3128" s="1" t="s">
        <v>21</v>
      </c>
      <c r="C3128" s="1" t="str">
        <f t="shared" si="60"/>
        <v>020073</v>
      </c>
      <c r="D3128" s="1" t="str">
        <f>"112313029"</f>
        <v>112313029</v>
      </c>
      <c r="E3128" s="1">
        <v>68</v>
      </c>
      <c r="F3128" s="1">
        <v>67.5</v>
      </c>
      <c r="H3128" s="1">
        <v>67.8</v>
      </c>
    </row>
    <row r="3129" s="1" customFormat="1" spans="1:8">
      <c r="A3129" s="1" t="s">
        <v>12</v>
      </c>
      <c r="B3129" s="1" t="s">
        <v>21</v>
      </c>
      <c r="C3129" s="1" t="str">
        <f t="shared" si="60"/>
        <v>020073</v>
      </c>
      <c r="D3129" s="1" t="str">
        <f>"112313030"</f>
        <v>112313030</v>
      </c>
      <c r="E3129" s="1">
        <v>54.5</v>
      </c>
      <c r="F3129" s="1">
        <v>53.5</v>
      </c>
      <c r="H3129" s="1">
        <v>54.1</v>
      </c>
    </row>
    <row r="3130" s="1" customFormat="1" spans="1:8">
      <c r="A3130" s="1" t="s">
        <v>12</v>
      </c>
      <c r="B3130" s="1" t="s">
        <v>21</v>
      </c>
      <c r="C3130" s="1" t="str">
        <f t="shared" si="60"/>
        <v>020073</v>
      </c>
      <c r="D3130" s="1" t="str">
        <f>"112313101"</f>
        <v>112313101</v>
      </c>
      <c r="E3130" s="1">
        <v>63</v>
      </c>
      <c r="F3130" s="1">
        <v>66.5</v>
      </c>
      <c r="H3130" s="1">
        <v>64.4</v>
      </c>
    </row>
    <row r="3131" s="1" customFormat="1" spans="1:8">
      <c r="A3131" s="1" t="s">
        <v>12</v>
      </c>
      <c r="B3131" s="1" t="s">
        <v>21</v>
      </c>
      <c r="C3131" s="1" t="str">
        <f t="shared" si="60"/>
        <v>020073</v>
      </c>
      <c r="D3131" s="1" t="str">
        <f>"112313102"</f>
        <v>112313102</v>
      </c>
      <c r="E3131" s="1">
        <v>69</v>
      </c>
      <c r="F3131" s="1">
        <v>72</v>
      </c>
      <c r="H3131" s="1">
        <v>70.2</v>
      </c>
    </row>
    <row r="3132" s="1" customFormat="1" spans="1:8">
      <c r="A3132" s="1" t="s">
        <v>12</v>
      </c>
      <c r="B3132" s="1" t="s">
        <v>21</v>
      </c>
      <c r="C3132" s="1" t="str">
        <f t="shared" si="60"/>
        <v>020073</v>
      </c>
      <c r="D3132" s="1" t="str">
        <f>"112313103"</f>
        <v>112313103</v>
      </c>
      <c r="E3132" s="1">
        <v>85.5</v>
      </c>
      <c r="F3132" s="1">
        <v>65.5</v>
      </c>
      <c r="H3132" s="1">
        <v>77.5</v>
      </c>
    </row>
    <row r="3133" s="1" customFormat="1" spans="1:8">
      <c r="A3133" s="1" t="s">
        <v>8</v>
      </c>
      <c r="B3133" s="1" t="s">
        <v>22</v>
      </c>
      <c r="C3133" s="1" t="str">
        <f t="shared" ref="C3133:C3176" si="61">"020061"</f>
        <v>020061</v>
      </c>
      <c r="D3133" s="1" t="str">
        <f>"112313401"</f>
        <v>112313401</v>
      </c>
      <c r="E3133" s="1">
        <v>59</v>
      </c>
      <c r="F3133" s="1">
        <v>54.5</v>
      </c>
      <c r="H3133" s="1">
        <v>57.2</v>
      </c>
    </row>
    <row r="3134" s="1" customFormat="1" spans="1:8">
      <c r="A3134" s="1" t="s">
        <v>8</v>
      </c>
      <c r="B3134" s="1" t="s">
        <v>22</v>
      </c>
      <c r="C3134" s="1" t="str">
        <f t="shared" si="61"/>
        <v>020061</v>
      </c>
      <c r="D3134" s="1" t="str">
        <f>"112313402"</f>
        <v>112313402</v>
      </c>
      <c r="E3134" s="1">
        <v>0</v>
      </c>
      <c r="F3134" s="1">
        <v>0</v>
      </c>
      <c r="H3134" s="1">
        <v>0</v>
      </c>
    </row>
    <row r="3135" s="1" customFormat="1" spans="1:8">
      <c r="A3135" s="1" t="s">
        <v>8</v>
      </c>
      <c r="B3135" s="1" t="s">
        <v>22</v>
      </c>
      <c r="C3135" s="1" t="str">
        <f t="shared" si="61"/>
        <v>020061</v>
      </c>
      <c r="D3135" s="1" t="str">
        <f>"112313403"</f>
        <v>112313403</v>
      </c>
      <c r="E3135" s="1">
        <v>0</v>
      </c>
      <c r="F3135" s="1">
        <v>0</v>
      </c>
      <c r="H3135" s="1">
        <v>0</v>
      </c>
    </row>
    <row r="3136" s="1" customFormat="1" spans="1:8">
      <c r="A3136" s="1" t="s">
        <v>8</v>
      </c>
      <c r="B3136" s="1" t="s">
        <v>22</v>
      </c>
      <c r="C3136" s="1" t="str">
        <f t="shared" si="61"/>
        <v>020061</v>
      </c>
      <c r="D3136" s="1" t="str">
        <f>"112313404"</f>
        <v>112313404</v>
      </c>
      <c r="E3136" s="1">
        <v>0</v>
      </c>
      <c r="F3136" s="1">
        <v>0</v>
      </c>
      <c r="H3136" s="1">
        <v>0</v>
      </c>
    </row>
    <row r="3137" s="1" customFormat="1" spans="1:8">
      <c r="A3137" s="1" t="s">
        <v>8</v>
      </c>
      <c r="B3137" s="1" t="s">
        <v>22</v>
      </c>
      <c r="C3137" s="1" t="str">
        <f t="shared" si="61"/>
        <v>020061</v>
      </c>
      <c r="D3137" s="1" t="str">
        <f>"112313405"</f>
        <v>112313405</v>
      </c>
      <c r="E3137" s="1">
        <v>0</v>
      </c>
      <c r="F3137" s="1">
        <v>0</v>
      </c>
      <c r="H3137" s="1">
        <v>0</v>
      </c>
    </row>
    <row r="3138" s="1" customFormat="1" spans="1:8">
      <c r="A3138" s="1" t="s">
        <v>8</v>
      </c>
      <c r="B3138" s="1" t="s">
        <v>22</v>
      </c>
      <c r="C3138" s="1" t="str">
        <f t="shared" si="61"/>
        <v>020061</v>
      </c>
      <c r="D3138" s="1" t="str">
        <f>"112313406"</f>
        <v>112313406</v>
      </c>
      <c r="E3138" s="1">
        <v>0</v>
      </c>
      <c r="F3138" s="1">
        <v>0</v>
      </c>
      <c r="H3138" s="1">
        <v>0</v>
      </c>
    </row>
    <row r="3139" s="1" customFormat="1" spans="1:8">
      <c r="A3139" s="1" t="s">
        <v>8</v>
      </c>
      <c r="B3139" s="1" t="s">
        <v>22</v>
      </c>
      <c r="C3139" s="1" t="str">
        <f t="shared" si="61"/>
        <v>020061</v>
      </c>
      <c r="D3139" s="1" t="str">
        <f>"112313407"</f>
        <v>112313407</v>
      </c>
      <c r="E3139" s="1">
        <v>59</v>
      </c>
      <c r="F3139" s="1">
        <v>52.5</v>
      </c>
      <c r="H3139" s="1">
        <v>56.4</v>
      </c>
    </row>
    <row r="3140" s="1" customFormat="1" spans="1:8">
      <c r="A3140" s="1" t="s">
        <v>8</v>
      </c>
      <c r="B3140" s="1" t="s">
        <v>22</v>
      </c>
      <c r="C3140" s="1" t="str">
        <f t="shared" si="61"/>
        <v>020061</v>
      </c>
      <c r="D3140" s="1" t="str">
        <f>"112313408"</f>
        <v>112313408</v>
      </c>
      <c r="E3140" s="1">
        <v>0</v>
      </c>
      <c r="F3140" s="1">
        <v>0</v>
      </c>
      <c r="H3140" s="1">
        <v>0</v>
      </c>
    </row>
    <row r="3141" s="1" customFormat="1" spans="1:8">
      <c r="A3141" s="1" t="s">
        <v>8</v>
      </c>
      <c r="B3141" s="1" t="s">
        <v>22</v>
      </c>
      <c r="C3141" s="1" t="str">
        <f t="shared" si="61"/>
        <v>020061</v>
      </c>
      <c r="D3141" s="1" t="str">
        <f>"112313409"</f>
        <v>112313409</v>
      </c>
      <c r="E3141" s="1">
        <v>0</v>
      </c>
      <c r="F3141" s="1">
        <v>0</v>
      </c>
      <c r="H3141" s="1">
        <v>0</v>
      </c>
    </row>
    <row r="3142" s="1" customFormat="1" spans="1:8">
      <c r="A3142" s="1" t="s">
        <v>8</v>
      </c>
      <c r="B3142" s="1" t="s">
        <v>22</v>
      </c>
      <c r="C3142" s="1" t="str">
        <f t="shared" si="61"/>
        <v>020061</v>
      </c>
      <c r="D3142" s="1" t="str">
        <f>"112313410"</f>
        <v>112313410</v>
      </c>
      <c r="E3142" s="1">
        <v>0</v>
      </c>
      <c r="F3142" s="1">
        <v>0</v>
      </c>
      <c r="H3142" s="1">
        <v>0</v>
      </c>
    </row>
    <row r="3143" s="1" customFormat="1" spans="1:8">
      <c r="A3143" s="1" t="s">
        <v>8</v>
      </c>
      <c r="B3143" s="1" t="s">
        <v>22</v>
      </c>
      <c r="C3143" s="1" t="str">
        <f t="shared" si="61"/>
        <v>020061</v>
      </c>
      <c r="D3143" s="1" t="str">
        <f>"112313411"</f>
        <v>112313411</v>
      </c>
      <c r="E3143" s="1">
        <v>0</v>
      </c>
      <c r="F3143" s="1">
        <v>0</v>
      </c>
      <c r="H3143" s="1">
        <v>0</v>
      </c>
    </row>
    <row r="3144" s="1" customFormat="1" spans="1:8">
      <c r="A3144" s="1" t="s">
        <v>8</v>
      </c>
      <c r="B3144" s="1" t="s">
        <v>22</v>
      </c>
      <c r="C3144" s="1" t="str">
        <f t="shared" si="61"/>
        <v>020061</v>
      </c>
      <c r="D3144" s="1" t="str">
        <f>"112313412"</f>
        <v>112313412</v>
      </c>
      <c r="E3144" s="1">
        <v>0</v>
      </c>
      <c r="F3144" s="1">
        <v>0</v>
      </c>
      <c r="H3144" s="1">
        <v>0</v>
      </c>
    </row>
    <row r="3145" s="1" customFormat="1" spans="1:8">
      <c r="A3145" s="1" t="s">
        <v>8</v>
      </c>
      <c r="B3145" s="1" t="s">
        <v>22</v>
      </c>
      <c r="C3145" s="1" t="str">
        <f t="shared" si="61"/>
        <v>020061</v>
      </c>
      <c r="D3145" s="1" t="str">
        <f>"112313413"</f>
        <v>112313413</v>
      </c>
      <c r="E3145" s="1">
        <v>0</v>
      </c>
      <c r="F3145" s="1">
        <v>0</v>
      </c>
      <c r="H3145" s="1">
        <v>0</v>
      </c>
    </row>
    <row r="3146" s="1" customFormat="1" spans="1:8">
      <c r="A3146" s="1" t="s">
        <v>8</v>
      </c>
      <c r="B3146" s="1" t="s">
        <v>22</v>
      </c>
      <c r="C3146" s="1" t="str">
        <f t="shared" si="61"/>
        <v>020061</v>
      </c>
      <c r="D3146" s="1" t="str">
        <f>"112313414"</f>
        <v>112313414</v>
      </c>
      <c r="E3146" s="1">
        <v>0</v>
      </c>
      <c r="F3146" s="1">
        <v>0</v>
      </c>
      <c r="H3146" s="1">
        <v>0</v>
      </c>
    </row>
    <row r="3147" s="1" customFormat="1" spans="1:8">
      <c r="A3147" s="1" t="s">
        <v>8</v>
      </c>
      <c r="B3147" s="1" t="s">
        <v>22</v>
      </c>
      <c r="C3147" s="1" t="str">
        <f t="shared" si="61"/>
        <v>020061</v>
      </c>
      <c r="D3147" s="1" t="str">
        <f>"112313415"</f>
        <v>112313415</v>
      </c>
      <c r="E3147" s="1">
        <v>0</v>
      </c>
      <c r="F3147" s="1">
        <v>0</v>
      </c>
      <c r="H3147" s="1">
        <v>0</v>
      </c>
    </row>
    <row r="3148" s="1" customFormat="1" spans="1:8">
      <c r="A3148" s="1" t="s">
        <v>8</v>
      </c>
      <c r="B3148" s="1" t="s">
        <v>22</v>
      </c>
      <c r="C3148" s="1" t="str">
        <f t="shared" si="61"/>
        <v>020061</v>
      </c>
      <c r="D3148" s="1" t="str">
        <f>"112313416"</f>
        <v>112313416</v>
      </c>
      <c r="E3148" s="1">
        <v>54</v>
      </c>
      <c r="F3148" s="1">
        <v>50.5</v>
      </c>
      <c r="H3148" s="1">
        <v>52.6</v>
      </c>
    </row>
    <row r="3149" s="1" customFormat="1" spans="1:8">
      <c r="A3149" s="1" t="s">
        <v>8</v>
      </c>
      <c r="B3149" s="1" t="s">
        <v>22</v>
      </c>
      <c r="C3149" s="1" t="str">
        <f t="shared" si="61"/>
        <v>020061</v>
      </c>
      <c r="D3149" s="1" t="str">
        <f>"112313417"</f>
        <v>112313417</v>
      </c>
      <c r="E3149" s="1">
        <v>0</v>
      </c>
      <c r="F3149" s="1">
        <v>0</v>
      </c>
      <c r="H3149" s="1">
        <v>0</v>
      </c>
    </row>
    <row r="3150" s="1" customFormat="1" spans="1:8">
      <c r="A3150" s="1" t="s">
        <v>8</v>
      </c>
      <c r="B3150" s="1" t="s">
        <v>22</v>
      </c>
      <c r="C3150" s="1" t="str">
        <f t="shared" si="61"/>
        <v>020061</v>
      </c>
      <c r="D3150" s="1" t="str">
        <f>"112313418"</f>
        <v>112313418</v>
      </c>
      <c r="E3150" s="1">
        <v>82.5</v>
      </c>
      <c r="F3150" s="1">
        <v>80.5</v>
      </c>
      <c r="H3150" s="1">
        <v>81.7</v>
      </c>
    </row>
    <row r="3151" s="1" customFormat="1" spans="1:8">
      <c r="A3151" s="1" t="s">
        <v>8</v>
      </c>
      <c r="B3151" s="1" t="s">
        <v>22</v>
      </c>
      <c r="C3151" s="1" t="str">
        <f t="shared" si="61"/>
        <v>020061</v>
      </c>
      <c r="D3151" s="1" t="str">
        <f>"112313419"</f>
        <v>112313419</v>
      </c>
      <c r="E3151" s="1">
        <v>0</v>
      </c>
      <c r="F3151" s="1">
        <v>0</v>
      </c>
      <c r="H3151" s="1">
        <v>0</v>
      </c>
    </row>
    <row r="3152" s="1" customFormat="1" spans="1:8">
      <c r="A3152" s="1" t="s">
        <v>8</v>
      </c>
      <c r="B3152" s="1" t="s">
        <v>22</v>
      </c>
      <c r="C3152" s="1" t="str">
        <f t="shared" si="61"/>
        <v>020061</v>
      </c>
      <c r="D3152" s="1" t="str">
        <f>"112313420"</f>
        <v>112313420</v>
      </c>
      <c r="E3152" s="1">
        <v>0</v>
      </c>
      <c r="F3152" s="1">
        <v>0</v>
      </c>
      <c r="H3152" s="1">
        <v>0</v>
      </c>
    </row>
    <row r="3153" s="1" customFormat="1" spans="1:8">
      <c r="A3153" s="1" t="s">
        <v>8</v>
      </c>
      <c r="B3153" s="1" t="s">
        <v>22</v>
      </c>
      <c r="C3153" s="1" t="str">
        <f t="shared" si="61"/>
        <v>020061</v>
      </c>
      <c r="D3153" s="1" t="str">
        <f>"112313421"</f>
        <v>112313421</v>
      </c>
      <c r="E3153" s="1">
        <v>0</v>
      </c>
      <c r="F3153" s="1">
        <v>0</v>
      </c>
      <c r="H3153" s="1">
        <v>0</v>
      </c>
    </row>
    <row r="3154" s="1" customFormat="1" spans="1:8">
      <c r="A3154" s="1" t="s">
        <v>8</v>
      </c>
      <c r="B3154" s="1" t="s">
        <v>22</v>
      </c>
      <c r="C3154" s="1" t="str">
        <f t="shared" si="61"/>
        <v>020061</v>
      </c>
      <c r="D3154" s="1" t="str">
        <f>"112313422"</f>
        <v>112313422</v>
      </c>
      <c r="E3154" s="1">
        <v>0</v>
      </c>
      <c r="F3154" s="1">
        <v>0</v>
      </c>
      <c r="H3154" s="1">
        <v>0</v>
      </c>
    </row>
    <row r="3155" s="1" customFormat="1" spans="1:8">
      <c r="A3155" s="1" t="s">
        <v>8</v>
      </c>
      <c r="B3155" s="1" t="s">
        <v>22</v>
      </c>
      <c r="C3155" s="1" t="str">
        <f t="shared" si="61"/>
        <v>020061</v>
      </c>
      <c r="D3155" s="1" t="str">
        <f>"112313423"</f>
        <v>112313423</v>
      </c>
      <c r="E3155" s="1">
        <v>0</v>
      </c>
      <c r="F3155" s="1">
        <v>0</v>
      </c>
      <c r="H3155" s="1">
        <v>0</v>
      </c>
    </row>
    <row r="3156" s="1" customFormat="1" spans="1:8">
      <c r="A3156" s="1" t="s">
        <v>8</v>
      </c>
      <c r="B3156" s="1" t="s">
        <v>22</v>
      </c>
      <c r="C3156" s="1" t="str">
        <f t="shared" si="61"/>
        <v>020061</v>
      </c>
      <c r="D3156" s="1" t="str">
        <f>"112313424"</f>
        <v>112313424</v>
      </c>
      <c r="E3156" s="1">
        <v>0</v>
      </c>
      <c r="F3156" s="1">
        <v>0</v>
      </c>
      <c r="H3156" s="1">
        <v>0</v>
      </c>
    </row>
    <row r="3157" s="1" customFormat="1" spans="1:8">
      <c r="A3157" s="1" t="s">
        <v>8</v>
      </c>
      <c r="B3157" s="1" t="s">
        <v>22</v>
      </c>
      <c r="C3157" s="1" t="str">
        <f t="shared" si="61"/>
        <v>020061</v>
      </c>
      <c r="D3157" s="1" t="str">
        <f>"112313425"</f>
        <v>112313425</v>
      </c>
      <c r="E3157" s="1">
        <v>0</v>
      </c>
      <c r="F3157" s="1">
        <v>0</v>
      </c>
      <c r="H3157" s="1">
        <v>0</v>
      </c>
    </row>
    <row r="3158" s="1" customFormat="1" spans="1:8">
      <c r="A3158" s="1" t="s">
        <v>8</v>
      </c>
      <c r="B3158" s="1" t="s">
        <v>22</v>
      </c>
      <c r="C3158" s="1" t="str">
        <f t="shared" si="61"/>
        <v>020061</v>
      </c>
      <c r="D3158" s="1" t="str">
        <f>"112313426"</f>
        <v>112313426</v>
      </c>
      <c r="E3158" s="1">
        <v>50</v>
      </c>
      <c r="F3158" s="1">
        <v>50.5</v>
      </c>
      <c r="H3158" s="1">
        <v>50.2</v>
      </c>
    </row>
    <row r="3159" s="1" customFormat="1" spans="1:8">
      <c r="A3159" s="1" t="s">
        <v>8</v>
      </c>
      <c r="B3159" s="1" t="s">
        <v>22</v>
      </c>
      <c r="C3159" s="1" t="str">
        <f t="shared" si="61"/>
        <v>020061</v>
      </c>
      <c r="D3159" s="1" t="str">
        <f>"112313427"</f>
        <v>112313427</v>
      </c>
      <c r="E3159" s="1">
        <v>0</v>
      </c>
      <c r="F3159" s="1">
        <v>0</v>
      </c>
      <c r="H3159" s="1">
        <v>0</v>
      </c>
    </row>
    <row r="3160" s="1" customFormat="1" spans="1:8">
      <c r="A3160" s="1" t="s">
        <v>8</v>
      </c>
      <c r="B3160" s="1" t="s">
        <v>22</v>
      </c>
      <c r="C3160" s="1" t="str">
        <f t="shared" si="61"/>
        <v>020061</v>
      </c>
      <c r="D3160" s="1" t="str">
        <f>"112313428"</f>
        <v>112313428</v>
      </c>
      <c r="E3160" s="1">
        <v>0</v>
      </c>
      <c r="F3160" s="1">
        <v>0</v>
      </c>
      <c r="H3160" s="1">
        <v>0</v>
      </c>
    </row>
    <row r="3161" s="1" customFormat="1" spans="1:8">
      <c r="A3161" s="1" t="s">
        <v>8</v>
      </c>
      <c r="B3161" s="1" t="s">
        <v>22</v>
      </c>
      <c r="C3161" s="1" t="str">
        <f t="shared" si="61"/>
        <v>020061</v>
      </c>
      <c r="D3161" s="1" t="str">
        <f>"112313429"</f>
        <v>112313429</v>
      </c>
      <c r="E3161" s="1">
        <v>0</v>
      </c>
      <c r="F3161" s="1">
        <v>0</v>
      </c>
      <c r="H3161" s="1">
        <v>0</v>
      </c>
    </row>
    <row r="3162" s="1" customFormat="1" spans="1:8">
      <c r="A3162" s="1" t="s">
        <v>8</v>
      </c>
      <c r="B3162" s="1" t="s">
        <v>22</v>
      </c>
      <c r="C3162" s="1" t="str">
        <f t="shared" si="61"/>
        <v>020061</v>
      </c>
      <c r="D3162" s="1" t="str">
        <f>"112313430"</f>
        <v>112313430</v>
      </c>
      <c r="E3162" s="1">
        <v>0</v>
      </c>
      <c r="F3162" s="1">
        <v>0</v>
      </c>
      <c r="H3162" s="1">
        <v>0</v>
      </c>
    </row>
    <row r="3163" s="1" customFormat="1" spans="1:8">
      <c r="A3163" s="1" t="s">
        <v>8</v>
      </c>
      <c r="B3163" s="1" t="s">
        <v>22</v>
      </c>
      <c r="C3163" s="1" t="str">
        <f t="shared" si="61"/>
        <v>020061</v>
      </c>
      <c r="D3163" s="1" t="str">
        <f>"112313501"</f>
        <v>112313501</v>
      </c>
      <c r="E3163" s="1">
        <v>0</v>
      </c>
      <c r="F3163" s="1">
        <v>0</v>
      </c>
      <c r="H3163" s="1">
        <v>0</v>
      </c>
    </row>
    <row r="3164" s="1" customFormat="1" spans="1:8">
      <c r="A3164" s="1" t="s">
        <v>8</v>
      </c>
      <c r="B3164" s="1" t="s">
        <v>22</v>
      </c>
      <c r="C3164" s="1" t="str">
        <f t="shared" si="61"/>
        <v>020061</v>
      </c>
      <c r="D3164" s="1" t="str">
        <f>"112313502"</f>
        <v>112313502</v>
      </c>
      <c r="E3164" s="1">
        <v>0</v>
      </c>
      <c r="F3164" s="1">
        <v>0</v>
      </c>
      <c r="H3164" s="1">
        <v>0</v>
      </c>
    </row>
    <row r="3165" s="1" customFormat="1" spans="1:8">
      <c r="A3165" s="1" t="s">
        <v>8</v>
      </c>
      <c r="B3165" s="1" t="s">
        <v>22</v>
      </c>
      <c r="C3165" s="1" t="str">
        <f t="shared" si="61"/>
        <v>020061</v>
      </c>
      <c r="D3165" s="1" t="str">
        <f>"112313503"</f>
        <v>112313503</v>
      </c>
      <c r="E3165" s="1">
        <v>0</v>
      </c>
      <c r="F3165" s="1">
        <v>58.5</v>
      </c>
      <c r="H3165" s="1">
        <v>23.4</v>
      </c>
    </row>
    <row r="3166" s="1" customFormat="1" spans="1:8">
      <c r="A3166" s="1" t="s">
        <v>8</v>
      </c>
      <c r="B3166" s="1" t="s">
        <v>22</v>
      </c>
      <c r="C3166" s="1" t="str">
        <f t="shared" si="61"/>
        <v>020061</v>
      </c>
      <c r="D3166" s="1" t="str">
        <f>"112313504"</f>
        <v>112313504</v>
      </c>
      <c r="E3166" s="1">
        <v>0</v>
      </c>
      <c r="F3166" s="1">
        <v>0</v>
      </c>
      <c r="H3166" s="1">
        <v>0</v>
      </c>
    </row>
    <row r="3167" s="1" customFormat="1" spans="1:8">
      <c r="A3167" s="1" t="s">
        <v>8</v>
      </c>
      <c r="B3167" s="1" t="s">
        <v>22</v>
      </c>
      <c r="C3167" s="1" t="str">
        <f t="shared" si="61"/>
        <v>020061</v>
      </c>
      <c r="D3167" s="1" t="str">
        <f>"112313505"</f>
        <v>112313505</v>
      </c>
      <c r="E3167" s="1">
        <v>0</v>
      </c>
      <c r="F3167" s="1">
        <v>0</v>
      </c>
      <c r="H3167" s="1">
        <v>0</v>
      </c>
    </row>
    <row r="3168" s="1" customFormat="1" spans="1:8">
      <c r="A3168" s="1" t="s">
        <v>8</v>
      </c>
      <c r="B3168" s="1" t="s">
        <v>22</v>
      </c>
      <c r="C3168" s="1" t="str">
        <f t="shared" si="61"/>
        <v>020061</v>
      </c>
      <c r="D3168" s="1" t="str">
        <f>"112313506"</f>
        <v>112313506</v>
      </c>
      <c r="E3168" s="1">
        <v>62.5</v>
      </c>
      <c r="F3168" s="1">
        <v>63</v>
      </c>
      <c r="H3168" s="1">
        <v>62.7</v>
      </c>
    </row>
    <row r="3169" s="1" customFormat="1" spans="1:8">
      <c r="A3169" s="1" t="s">
        <v>8</v>
      </c>
      <c r="B3169" s="1" t="s">
        <v>22</v>
      </c>
      <c r="C3169" s="1" t="str">
        <f t="shared" si="61"/>
        <v>020061</v>
      </c>
      <c r="D3169" s="1" t="str">
        <f>"112313507"</f>
        <v>112313507</v>
      </c>
      <c r="E3169" s="1">
        <v>0</v>
      </c>
      <c r="F3169" s="1">
        <v>0</v>
      </c>
      <c r="H3169" s="1">
        <v>0</v>
      </c>
    </row>
    <row r="3170" s="1" customFormat="1" spans="1:8">
      <c r="A3170" s="1" t="s">
        <v>8</v>
      </c>
      <c r="B3170" s="1" t="s">
        <v>22</v>
      </c>
      <c r="C3170" s="1" t="str">
        <f t="shared" si="61"/>
        <v>020061</v>
      </c>
      <c r="D3170" s="1" t="str">
        <f>"112313508"</f>
        <v>112313508</v>
      </c>
      <c r="E3170" s="1">
        <v>0</v>
      </c>
      <c r="F3170" s="1">
        <v>0</v>
      </c>
      <c r="H3170" s="1">
        <v>0</v>
      </c>
    </row>
    <row r="3171" s="1" customFormat="1" spans="1:8">
      <c r="A3171" s="1" t="s">
        <v>8</v>
      </c>
      <c r="B3171" s="1" t="s">
        <v>22</v>
      </c>
      <c r="C3171" s="1" t="str">
        <f t="shared" si="61"/>
        <v>020061</v>
      </c>
      <c r="D3171" s="1" t="str">
        <f>"112313509"</f>
        <v>112313509</v>
      </c>
      <c r="E3171" s="1">
        <v>0</v>
      </c>
      <c r="F3171" s="1">
        <v>0</v>
      </c>
      <c r="H3171" s="1">
        <v>0</v>
      </c>
    </row>
    <row r="3172" s="1" customFormat="1" spans="1:8">
      <c r="A3172" s="1" t="s">
        <v>8</v>
      </c>
      <c r="B3172" s="1" t="s">
        <v>22</v>
      </c>
      <c r="C3172" s="1" t="str">
        <f t="shared" si="61"/>
        <v>020061</v>
      </c>
      <c r="D3172" s="1" t="str">
        <f>"112313510"</f>
        <v>112313510</v>
      </c>
      <c r="E3172" s="1">
        <v>0</v>
      </c>
      <c r="F3172" s="1">
        <v>0</v>
      </c>
      <c r="H3172" s="1">
        <v>0</v>
      </c>
    </row>
    <row r="3173" s="1" customFormat="1" spans="1:8">
      <c r="A3173" s="1" t="s">
        <v>8</v>
      </c>
      <c r="B3173" s="1" t="s">
        <v>22</v>
      </c>
      <c r="C3173" s="1" t="str">
        <f t="shared" si="61"/>
        <v>020061</v>
      </c>
      <c r="D3173" s="1" t="str">
        <f>"112313511"</f>
        <v>112313511</v>
      </c>
      <c r="E3173" s="1">
        <v>0</v>
      </c>
      <c r="F3173" s="1">
        <v>0</v>
      </c>
      <c r="H3173" s="1">
        <v>0</v>
      </c>
    </row>
    <row r="3174" s="1" customFormat="1" spans="1:8">
      <c r="A3174" s="1" t="s">
        <v>8</v>
      </c>
      <c r="B3174" s="1" t="s">
        <v>22</v>
      </c>
      <c r="C3174" s="1" t="str">
        <f t="shared" si="61"/>
        <v>020061</v>
      </c>
      <c r="D3174" s="1" t="str">
        <f>"112313512"</f>
        <v>112313512</v>
      </c>
      <c r="E3174" s="1">
        <v>0</v>
      </c>
      <c r="F3174" s="1">
        <v>0</v>
      </c>
      <c r="H3174" s="1">
        <v>0</v>
      </c>
    </row>
    <row r="3175" s="1" customFormat="1" spans="1:8">
      <c r="A3175" s="1" t="s">
        <v>8</v>
      </c>
      <c r="B3175" s="1" t="s">
        <v>22</v>
      </c>
      <c r="C3175" s="1" t="str">
        <f t="shared" si="61"/>
        <v>020061</v>
      </c>
      <c r="D3175" s="1" t="str">
        <f>"112313513"</f>
        <v>112313513</v>
      </c>
      <c r="E3175" s="1">
        <v>0</v>
      </c>
      <c r="F3175" s="1">
        <v>0</v>
      </c>
      <c r="H3175" s="1">
        <v>0</v>
      </c>
    </row>
    <row r="3176" s="1" customFormat="1" spans="1:8">
      <c r="A3176" s="1" t="s">
        <v>8</v>
      </c>
      <c r="B3176" s="1" t="s">
        <v>22</v>
      </c>
      <c r="C3176" s="1" t="str">
        <f t="shared" si="61"/>
        <v>020061</v>
      </c>
      <c r="D3176" s="1" t="str">
        <f>"112313514"</f>
        <v>112313514</v>
      </c>
      <c r="E3176" s="1">
        <v>0</v>
      </c>
      <c r="F3176" s="1">
        <v>0</v>
      </c>
      <c r="H3176" s="1">
        <v>0</v>
      </c>
    </row>
    <row r="3177" s="1" customFormat="1" spans="1:8">
      <c r="A3177" s="1" t="s">
        <v>10</v>
      </c>
      <c r="B3177" s="1" t="s">
        <v>22</v>
      </c>
      <c r="C3177" s="1" t="str">
        <f t="shared" ref="C3177:C3196" si="62">"020067"</f>
        <v>020067</v>
      </c>
      <c r="D3177" s="1" t="str">
        <f>"112313515"</f>
        <v>112313515</v>
      </c>
      <c r="E3177" s="1">
        <v>66.5</v>
      </c>
      <c r="F3177" s="1">
        <v>63.5</v>
      </c>
      <c r="H3177" s="1">
        <v>65.3</v>
      </c>
    </row>
    <row r="3178" s="1" customFormat="1" spans="1:8">
      <c r="A3178" s="1" t="s">
        <v>10</v>
      </c>
      <c r="B3178" s="1" t="s">
        <v>22</v>
      </c>
      <c r="C3178" s="1" t="str">
        <f t="shared" si="62"/>
        <v>020067</v>
      </c>
      <c r="D3178" s="1" t="str">
        <f>"112313516"</f>
        <v>112313516</v>
      </c>
      <c r="E3178" s="1">
        <v>53.5</v>
      </c>
      <c r="F3178" s="1">
        <v>48.5</v>
      </c>
      <c r="H3178" s="1">
        <v>51.5</v>
      </c>
    </row>
    <row r="3179" s="1" customFormat="1" spans="1:8">
      <c r="A3179" s="1" t="s">
        <v>10</v>
      </c>
      <c r="B3179" s="1" t="s">
        <v>22</v>
      </c>
      <c r="C3179" s="1" t="str">
        <f t="shared" si="62"/>
        <v>020067</v>
      </c>
      <c r="D3179" s="1" t="str">
        <f>"112313517"</f>
        <v>112313517</v>
      </c>
      <c r="E3179" s="1">
        <v>61</v>
      </c>
      <c r="F3179" s="1">
        <v>59.5</v>
      </c>
      <c r="H3179" s="1">
        <v>60.4</v>
      </c>
    </row>
    <row r="3180" s="1" customFormat="1" spans="1:8">
      <c r="A3180" s="1" t="s">
        <v>10</v>
      </c>
      <c r="B3180" s="1" t="s">
        <v>22</v>
      </c>
      <c r="C3180" s="1" t="str">
        <f t="shared" si="62"/>
        <v>020067</v>
      </c>
      <c r="D3180" s="1" t="str">
        <f>"112313518"</f>
        <v>112313518</v>
      </c>
      <c r="E3180" s="1">
        <v>0</v>
      </c>
      <c r="F3180" s="1">
        <v>0</v>
      </c>
      <c r="H3180" s="1">
        <v>0</v>
      </c>
    </row>
    <row r="3181" s="1" customFormat="1" spans="1:8">
      <c r="A3181" s="1" t="s">
        <v>10</v>
      </c>
      <c r="B3181" s="1" t="s">
        <v>22</v>
      </c>
      <c r="C3181" s="1" t="str">
        <f t="shared" si="62"/>
        <v>020067</v>
      </c>
      <c r="D3181" s="1" t="str">
        <f>"112313519"</f>
        <v>112313519</v>
      </c>
      <c r="E3181" s="1">
        <v>0</v>
      </c>
      <c r="F3181" s="1">
        <v>0</v>
      </c>
      <c r="H3181" s="1">
        <v>0</v>
      </c>
    </row>
    <row r="3182" s="1" customFormat="1" spans="1:8">
      <c r="A3182" s="1" t="s">
        <v>10</v>
      </c>
      <c r="B3182" s="1" t="s">
        <v>22</v>
      </c>
      <c r="C3182" s="1" t="str">
        <f t="shared" si="62"/>
        <v>020067</v>
      </c>
      <c r="D3182" s="1" t="str">
        <f>"112313520"</f>
        <v>112313520</v>
      </c>
      <c r="E3182" s="1">
        <v>0</v>
      </c>
      <c r="F3182" s="1">
        <v>0</v>
      </c>
      <c r="H3182" s="1">
        <v>0</v>
      </c>
    </row>
    <row r="3183" s="1" customFormat="1" spans="1:8">
      <c r="A3183" s="1" t="s">
        <v>10</v>
      </c>
      <c r="B3183" s="1" t="s">
        <v>22</v>
      </c>
      <c r="C3183" s="1" t="str">
        <f t="shared" si="62"/>
        <v>020067</v>
      </c>
      <c r="D3183" s="1" t="str">
        <f>"112313521"</f>
        <v>112313521</v>
      </c>
      <c r="E3183" s="1">
        <v>64.5</v>
      </c>
      <c r="F3183" s="1">
        <v>48</v>
      </c>
      <c r="H3183" s="1">
        <v>57.9</v>
      </c>
    </row>
    <row r="3184" s="1" customFormat="1" spans="1:8">
      <c r="A3184" s="1" t="s">
        <v>10</v>
      </c>
      <c r="B3184" s="1" t="s">
        <v>22</v>
      </c>
      <c r="C3184" s="1" t="str">
        <f t="shared" si="62"/>
        <v>020067</v>
      </c>
      <c r="D3184" s="1" t="str">
        <f>"112313522"</f>
        <v>112313522</v>
      </c>
      <c r="E3184" s="1">
        <v>71.5</v>
      </c>
      <c r="F3184" s="1">
        <v>78</v>
      </c>
      <c r="H3184" s="1">
        <v>74.1</v>
      </c>
    </row>
    <row r="3185" s="1" customFormat="1" spans="1:8">
      <c r="A3185" s="1" t="s">
        <v>10</v>
      </c>
      <c r="B3185" s="1" t="s">
        <v>22</v>
      </c>
      <c r="C3185" s="1" t="str">
        <f t="shared" si="62"/>
        <v>020067</v>
      </c>
      <c r="D3185" s="1" t="str">
        <f>"112313523"</f>
        <v>112313523</v>
      </c>
      <c r="E3185" s="1">
        <v>52.5</v>
      </c>
      <c r="F3185" s="1">
        <v>72</v>
      </c>
      <c r="H3185" s="1">
        <v>60.3</v>
      </c>
    </row>
    <row r="3186" s="1" customFormat="1" spans="1:8">
      <c r="A3186" s="1" t="s">
        <v>10</v>
      </c>
      <c r="B3186" s="1" t="s">
        <v>22</v>
      </c>
      <c r="C3186" s="1" t="str">
        <f t="shared" si="62"/>
        <v>020067</v>
      </c>
      <c r="D3186" s="1" t="str">
        <f>"112313524"</f>
        <v>112313524</v>
      </c>
      <c r="E3186" s="1">
        <v>68.5</v>
      </c>
      <c r="F3186" s="1">
        <v>75.5</v>
      </c>
      <c r="H3186" s="1">
        <v>71.3</v>
      </c>
    </row>
    <row r="3187" s="1" customFormat="1" spans="1:8">
      <c r="A3187" s="1" t="s">
        <v>10</v>
      </c>
      <c r="B3187" s="1" t="s">
        <v>22</v>
      </c>
      <c r="C3187" s="1" t="str">
        <f t="shared" si="62"/>
        <v>020067</v>
      </c>
      <c r="D3187" s="1" t="str">
        <f>"112313525"</f>
        <v>112313525</v>
      </c>
      <c r="E3187" s="1">
        <v>71.5</v>
      </c>
      <c r="F3187" s="1">
        <v>75.5</v>
      </c>
      <c r="H3187" s="1">
        <v>73.1</v>
      </c>
    </row>
    <row r="3188" s="1" customFormat="1" spans="1:8">
      <c r="A3188" s="1" t="s">
        <v>10</v>
      </c>
      <c r="B3188" s="1" t="s">
        <v>22</v>
      </c>
      <c r="C3188" s="1" t="str">
        <f t="shared" si="62"/>
        <v>020067</v>
      </c>
      <c r="D3188" s="1" t="str">
        <f>"112313526"</f>
        <v>112313526</v>
      </c>
      <c r="E3188" s="1">
        <v>61</v>
      </c>
      <c r="F3188" s="1">
        <v>65.5</v>
      </c>
      <c r="H3188" s="1">
        <v>62.8</v>
      </c>
    </row>
    <row r="3189" s="1" customFormat="1" spans="1:8">
      <c r="A3189" s="1" t="s">
        <v>10</v>
      </c>
      <c r="B3189" s="1" t="s">
        <v>22</v>
      </c>
      <c r="C3189" s="1" t="str">
        <f t="shared" si="62"/>
        <v>020067</v>
      </c>
      <c r="D3189" s="1" t="str">
        <f>"112313527"</f>
        <v>112313527</v>
      </c>
      <c r="E3189" s="1">
        <v>62.5</v>
      </c>
      <c r="F3189" s="1">
        <v>82</v>
      </c>
      <c r="H3189" s="1">
        <v>70.3</v>
      </c>
    </row>
    <row r="3190" s="1" customFormat="1" spans="1:8">
      <c r="A3190" s="1" t="s">
        <v>10</v>
      </c>
      <c r="B3190" s="1" t="s">
        <v>22</v>
      </c>
      <c r="C3190" s="1" t="str">
        <f t="shared" si="62"/>
        <v>020067</v>
      </c>
      <c r="D3190" s="1" t="str">
        <f>"112313528"</f>
        <v>112313528</v>
      </c>
      <c r="E3190" s="1">
        <v>63</v>
      </c>
      <c r="F3190" s="1">
        <v>63.5</v>
      </c>
      <c r="H3190" s="1">
        <v>63.2</v>
      </c>
    </row>
    <row r="3191" s="1" customFormat="1" spans="1:8">
      <c r="A3191" s="1" t="s">
        <v>10</v>
      </c>
      <c r="B3191" s="1" t="s">
        <v>22</v>
      </c>
      <c r="C3191" s="1" t="str">
        <f t="shared" si="62"/>
        <v>020067</v>
      </c>
      <c r="D3191" s="1" t="str">
        <f>"112313529"</f>
        <v>112313529</v>
      </c>
      <c r="E3191" s="1">
        <v>70.5</v>
      </c>
      <c r="F3191" s="1">
        <v>68.5</v>
      </c>
      <c r="H3191" s="1">
        <v>69.7</v>
      </c>
    </row>
    <row r="3192" s="1" customFormat="1" spans="1:8">
      <c r="A3192" s="1" t="s">
        <v>10</v>
      </c>
      <c r="B3192" s="1" t="s">
        <v>22</v>
      </c>
      <c r="C3192" s="1" t="str">
        <f t="shared" si="62"/>
        <v>020067</v>
      </c>
      <c r="D3192" s="1" t="str">
        <f>"112313530"</f>
        <v>112313530</v>
      </c>
      <c r="E3192" s="1">
        <v>60.5</v>
      </c>
      <c r="F3192" s="1">
        <v>61</v>
      </c>
      <c r="H3192" s="1">
        <v>60.7</v>
      </c>
    </row>
    <row r="3193" s="1" customFormat="1" spans="1:8">
      <c r="A3193" s="1" t="s">
        <v>10</v>
      </c>
      <c r="B3193" s="1" t="s">
        <v>22</v>
      </c>
      <c r="C3193" s="1" t="str">
        <f t="shared" si="62"/>
        <v>020067</v>
      </c>
      <c r="D3193" s="1" t="str">
        <f>"112313601"</f>
        <v>112313601</v>
      </c>
      <c r="E3193" s="1">
        <v>0</v>
      </c>
      <c r="F3193" s="1">
        <v>0</v>
      </c>
      <c r="H3193" s="1">
        <v>0</v>
      </c>
    </row>
    <row r="3194" s="1" customFormat="1" spans="1:8">
      <c r="A3194" s="1" t="s">
        <v>10</v>
      </c>
      <c r="B3194" s="1" t="s">
        <v>22</v>
      </c>
      <c r="C3194" s="1" t="str">
        <f t="shared" si="62"/>
        <v>020067</v>
      </c>
      <c r="D3194" s="1" t="str">
        <f>"112313602"</f>
        <v>112313602</v>
      </c>
      <c r="E3194" s="1">
        <v>69</v>
      </c>
      <c r="F3194" s="1">
        <v>0</v>
      </c>
      <c r="H3194" s="1">
        <v>41.4</v>
      </c>
    </row>
    <row r="3195" s="1" customFormat="1" spans="1:8">
      <c r="A3195" s="1" t="s">
        <v>10</v>
      </c>
      <c r="B3195" s="1" t="s">
        <v>22</v>
      </c>
      <c r="C3195" s="1" t="str">
        <f t="shared" si="62"/>
        <v>020067</v>
      </c>
      <c r="D3195" s="1" t="str">
        <f>"112313603"</f>
        <v>112313603</v>
      </c>
      <c r="E3195" s="1">
        <v>53.5</v>
      </c>
      <c r="F3195" s="1">
        <v>68.5</v>
      </c>
      <c r="H3195" s="1">
        <v>59.5</v>
      </c>
    </row>
    <row r="3196" s="1" customFormat="1" spans="1:8">
      <c r="A3196" s="1" t="s">
        <v>10</v>
      </c>
      <c r="B3196" s="1" t="s">
        <v>22</v>
      </c>
      <c r="C3196" s="1" t="str">
        <f t="shared" si="62"/>
        <v>020067</v>
      </c>
      <c r="D3196" s="1" t="str">
        <f>"112313604"</f>
        <v>112313604</v>
      </c>
      <c r="E3196" s="1">
        <v>65.5</v>
      </c>
      <c r="F3196" s="1">
        <v>54.5</v>
      </c>
      <c r="H3196" s="1">
        <v>61.1</v>
      </c>
    </row>
    <row r="3197" s="1" customFormat="1" spans="1:8">
      <c r="A3197" s="1" t="s">
        <v>12</v>
      </c>
      <c r="B3197" s="1" t="s">
        <v>22</v>
      </c>
      <c r="C3197" s="1" t="str">
        <f t="shared" ref="C3197:C3218" si="63">"020076"</f>
        <v>020076</v>
      </c>
      <c r="D3197" s="1" t="str">
        <f>"112313605"</f>
        <v>112313605</v>
      </c>
      <c r="E3197" s="1">
        <v>71</v>
      </c>
      <c r="F3197" s="1">
        <v>72.5</v>
      </c>
      <c r="H3197" s="1">
        <v>71.6</v>
      </c>
    </row>
    <row r="3198" s="1" customFormat="1" spans="1:8">
      <c r="A3198" s="1" t="s">
        <v>12</v>
      </c>
      <c r="B3198" s="1" t="s">
        <v>22</v>
      </c>
      <c r="C3198" s="1" t="str">
        <f t="shared" si="63"/>
        <v>020076</v>
      </c>
      <c r="D3198" s="1" t="str">
        <f>"112313606"</f>
        <v>112313606</v>
      </c>
      <c r="E3198" s="1">
        <v>79</v>
      </c>
      <c r="F3198" s="1">
        <v>89.5</v>
      </c>
      <c r="H3198" s="1">
        <v>83.2</v>
      </c>
    </row>
    <row r="3199" s="1" customFormat="1" spans="1:8">
      <c r="A3199" s="1" t="s">
        <v>12</v>
      </c>
      <c r="B3199" s="1" t="s">
        <v>22</v>
      </c>
      <c r="C3199" s="1" t="str">
        <f t="shared" si="63"/>
        <v>020076</v>
      </c>
      <c r="D3199" s="1" t="str">
        <f>"112313607"</f>
        <v>112313607</v>
      </c>
      <c r="E3199" s="1">
        <v>0</v>
      </c>
      <c r="F3199" s="1">
        <v>0</v>
      </c>
      <c r="H3199" s="1">
        <v>0</v>
      </c>
    </row>
    <row r="3200" s="1" customFormat="1" spans="1:8">
      <c r="A3200" s="1" t="s">
        <v>12</v>
      </c>
      <c r="B3200" s="1" t="s">
        <v>22</v>
      </c>
      <c r="C3200" s="1" t="str">
        <f t="shared" si="63"/>
        <v>020076</v>
      </c>
      <c r="D3200" s="1" t="str">
        <f>"112313608"</f>
        <v>112313608</v>
      </c>
      <c r="E3200" s="1">
        <v>72</v>
      </c>
      <c r="F3200" s="1">
        <v>62.5</v>
      </c>
      <c r="H3200" s="1">
        <v>68.2</v>
      </c>
    </row>
    <row r="3201" s="1" customFormat="1" spans="1:8">
      <c r="A3201" s="1" t="s">
        <v>12</v>
      </c>
      <c r="B3201" s="1" t="s">
        <v>22</v>
      </c>
      <c r="C3201" s="1" t="str">
        <f t="shared" si="63"/>
        <v>020076</v>
      </c>
      <c r="D3201" s="1" t="str">
        <f>"112313609"</f>
        <v>112313609</v>
      </c>
      <c r="E3201" s="1">
        <v>57.5</v>
      </c>
      <c r="F3201" s="1">
        <v>62.5</v>
      </c>
      <c r="H3201" s="1">
        <v>59.5</v>
      </c>
    </row>
    <row r="3202" s="1" customFormat="1" spans="1:8">
      <c r="A3202" s="1" t="s">
        <v>12</v>
      </c>
      <c r="B3202" s="1" t="s">
        <v>22</v>
      </c>
      <c r="C3202" s="1" t="str">
        <f t="shared" si="63"/>
        <v>020076</v>
      </c>
      <c r="D3202" s="1" t="str">
        <f>"112313610"</f>
        <v>112313610</v>
      </c>
      <c r="E3202" s="1">
        <v>0</v>
      </c>
      <c r="F3202" s="1">
        <v>0</v>
      </c>
      <c r="H3202" s="1">
        <v>0</v>
      </c>
    </row>
    <row r="3203" s="1" customFormat="1" spans="1:8">
      <c r="A3203" s="1" t="s">
        <v>12</v>
      </c>
      <c r="B3203" s="1" t="s">
        <v>22</v>
      </c>
      <c r="C3203" s="1" t="str">
        <f t="shared" si="63"/>
        <v>020076</v>
      </c>
      <c r="D3203" s="1" t="str">
        <f>"112313611"</f>
        <v>112313611</v>
      </c>
      <c r="E3203" s="1">
        <v>85.5</v>
      </c>
      <c r="F3203" s="1">
        <v>78</v>
      </c>
      <c r="H3203" s="1">
        <v>82.5</v>
      </c>
    </row>
    <row r="3204" s="1" customFormat="1" spans="1:8">
      <c r="A3204" s="1" t="s">
        <v>12</v>
      </c>
      <c r="B3204" s="1" t="s">
        <v>22</v>
      </c>
      <c r="C3204" s="1" t="str">
        <f t="shared" si="63"/>
        <v>020076</v>
      </c>
      <c r="D3204" s="1" t="str">
        <f>"112313612"</f>
        <v>112313612</v>
      </c>
      <c r="E3204" s="1">
        <v>69</v>
      </c>
      <c r="F3204" s="1">
        <v>64</v>
      </c>
      <c r="H3204" s="1">
        <v>67</v>
      </c>
    </row>
    <row r="3205" s="1" customFormat="1" spans="1:8">
      <c r="A3205" s="1" t="s">
        <v>12</v>
      </c>
      <c r="B3205" s="1" t="s">
        <v>22</v>
      </c>
      <c r="C3205" s="1" t="str">
        <f t="shared" si="63"/>
        <v>020076</v>
      </c>
      <c r="D3205" s="1" t="str">
        <f>"112313613"</f>
        <v>112313613</v>
      </c>
      <c r="E3205" s="1">
        <v>70</v>
      </c>
      <c r="F3205" s="1">
        <v>51</v>
      </c>
      <c r="H3205" s="1">
        <v>62.4</v>
      </c>
    </row>
    <row r="3206" s="1" customFormat="1" spans="1:8">
      <c r="A3206" s="1" t="s">
        <v>12</v>
      </c>
      <c r="B3206" s="1" t="s">
        <v>22</v>
      </c>
      <c r="C3206" s="1" t="str">
        <f t="shared" si="63"/>
        <v>020076</v>
      </c>
      <c r="D3206" s="1" t="str">
        <f>"112313614"</f>
        <v>112313614</v>
      </c>
      <c r="E3206" s="1">
        <v>0</v>
      </c>
      <c r="F3206" s="1">
        <v>0</v>
      </c>
      <c r="H3206" s="1">
        <v>0</v>
      </c>
    </row>
    <row r="3207" s="1" customFormat="1" spans="1:8">
      <c r="A3207" s="1" t="s">
        <v>12</v>
      </c>
      <c r="B3207" s="1" t="s">
        <v>22</v>
      </c>
      <c r="C3207" s="1" t="str">
        <f t="shared" si="63"/>
        <v>020076</v>
      </c>
      <c r="D3207" s="1" t="str">
        <f>"112313615"</f>
        <v>112313615</v>
      </c>
      <c r="E3207" s="1">
        <v>85.5</v>
      </c>
      <c r="F3207" s="1">
        <v>94.5</v>
      </c>
      <c r="H3207" s="1">
        <v>89.1</v>
      </c>
    </row>
    <row r="3208" s="1" customFormat="1" spans="1:8">
      <c r="A3208" s="1" t="s">
        <v>12</v>
      </c>
      <c r="B3208" s="1" t="s">
        <v>22</v>
      </c>
      <c r="C3208" s="1" t="str">
        <f t="shared" si="63"/>
        <v>020076</v>
      </c>
      <c r="D3208" s="1" t="str">
        <f>"112313616"</f>
        <v>112313616</v>
      </c>
      <c r="E3208" s="1">
        <v>0</v>
      </c>
      <c r="F3208" s="1">
        <v>0</v>
      </c>
      <c r="H3208" s="1">
        <v>0</v>
      </c>
    </row>
    <row r="3209" s="1" customFormat="1" spans="1:8">
      <c r="A3209" s="1" t="s">
        <v>12</v>
      </c>
      <c r="B3209" s="1" t="s">
        <v>22</v>
      </c>
      <c r="C3209" s="1" t="str">
        <f t="shared" si="63"/>
        <v>020076</v>
      </c>
      <c r="D3209" s="1" t="str">
        <f>"112313617"</f>
        <v>112313617</v>
      </c>
      <c r="E3209" s="1">
        <v>0</v>
      </c>
      <c r="F3209" s="1">
        <v>0</v>
      </c>
      <c r="H3209" s="1">
        <v>0</v>
      </c>
    </row>
    <row r="3210" s="1" customFormat="1" spans="1:8">
      <c r="A3210" s="1" t="s">
        <v>12</v>
      </c>
      <c r="B3210" s="1" t="s">
        <v>22</v>
      </c>
      <c r="C3210" s="1" t="str">
        <f t="shared" si="63"/>
        <v>020076</v>
      </c>
      <c r="D3210" s="1" t="str">
        <f>"112313618"</f>
        <v>112313618</v>
      </c>
      <c r="E3210" s="1">
        <v>65.5</v>
      </c>
      <c r="F3210" s="1">
        <v>54</v>
      </c>
      <c r="H3210" s="1">
        <v>60.9</v>
      </c>
    </row>
    <row r="3211" s="1" customFormat="1" spans="1:8">
      <c r="A3211" s="1" t="s">
        <v>12</v>
      </c>
      <c r="B3211" s="1" t="s">
        <v>22</v>
      </c>
      <c r="C3211" s="1" t="str">
        <f t="shared" si="63"/>
        <v>020076</v>
      </c>
      <c r="D3211" s="1" t="str">
        <f>"112313619"</f>
        <v>112313619</v>
      </c>
      <c r="E3211" s="1">
        <v>0</v>
      </c>
      <c r="F3211" s="1">
        <v>0</v>
      </c>
      <c r="H3211" s="1">
        <v>0</v>
      </c>
    </row>
    <row r="3212" s="1" customFormat="1" spans="1:8">
      <c r="A3212" s="1" t="s">
        <v>12</v>
      </c>
      <c r="B3212" s="1" t="s">
        <v>22</v>
      </c>
      <c r="C3212" s="1" t="str">
        <f t="shared" si="63"/>
        <v>020076</v>
      </c>
      <c r="D3212" s="1" t="str">
        <f>"112313620"</f>
        <v>112313620</v>
      </c>
      <c r="E3212" s="1">
        <v>0</v>
      </c>
      <c r="F3212" s="1">
        <v>0</v>
      </c>
      <c r="H3212" s="1">
        <v>0</v>
      </c>
    </row>
    <row r="3213" s="1" customFormat="1" spans="1:8">
      <c r="A3213" s="1" t="s">
        <v>12</v>
      </c>
      <c r="B3213" s="1" t="s">
        <v>22</v>
      </c>
      <c r="C3213" s="1" t="str">
        <f t="shared" si="63"/>
        <v>020076</v>
      </c>
      <c r="D3213" s="1" t="str">
        <f>"112313621"</f>
        <v>112313621</v>
      </c>
      <c r="E3213" s="1">
        <v>0</v>
      </c>
      <c r="F3213" s="1">
        <v>0</v>
      </c>
      <c r="H3213" s="1">
        <v>0</v>
      </c>
    </row>
    <row r="3214" s="1" customFormat="1" spans="1:8">
      <c r="A3214" s="1" t="s">
        <v>12</v>
      </c>
      <c r="B3214" s="1" t="s">
        <v>22</v>
      </c>
      <c r="C3214" s="1" t="str">
        <f t="shared" si="63"/>
        <v>020076</v>
      </c>
      <c r="D3214" s="1" t="str">
        <f>"112313622"</f>
        <v>112313622</v>
      </c>
      <c r="E3214" s="1">
        <v>0</v>
      </c>
      <c r="F3214" s="1">
        <v>0</v>
      </c>
      <c r="H3214" s="1">
        <v>0</v>
      </c>
    </row>
    <row r="3215" s="1" customFormat="1" spans="1:8">
      <c r="A3215" s="1" t="s">
        <v>12</v>
      </c>
      <c r="B3215" s="1" t="s">
        <v>22</v>
      </c>
      <c r="C3215" s="1" t="str">
        <f t="shared" si="63"/>
        <v>020076</v>
      </c>
      <c r="D3215" s="1" t="str">
        <f>"112313623"</f>
        <v>112313623</v>
      </c>
      <c r="E3215" s="1">
        <v>0</v>
      </c>
      <c r="F3215" s="1">
        <v>0</v>
      </c>
      <c r="H3215" s="1">
        <v>0</v>
      </c>
    </row>
    <row r="3216" s="1" customFormat="1" spans="1:8">
      <c r="A3216" s="1" t="s">
        <v>12</v>
      </c>
      <c r="B3216" s="1" t="s">
        <v>22</v>
      </c>
      <c r="C3216" s="1" t="str">
        <f t="shared" si="63"/>
        <v>020076</v>
      </c>
      <c r="D3216" s="1" t="str">
        <f>"112313624"</f>
        <v>112313624</v>
      </c>
      <c r="E3216" s="1">
        <v>86.5</v>
      </c>
      <c r="F3216" s="1">
        <v>76.5</v>
      </c>
      <c r="H3216" s="1">
        <v>82.5</v>
      </c>
    </row>
    <row r="3217" s="1" customFormat="1" spans="1:8">
      <c r="A3217" s="1" t="s">
        <v>12</v>
      </c>
      <c r="B3217" s="1" t="s">
        <v>22</v>
      </c>
      <c r="C3217" s="1" t="str">
        <f t="shared" si="63"/>
        <v>020076</v>
      </c>
      <c r="D3217" s="1" t="str">
        <f>"112313625"</f>
        <v>112313625</v>
      </c>
      <c r="E3217" s="1">
        <v>58.5</v>
      </c>
      <c r="F3217" s="1">
        <v>63</v>
      </c>
      <c r="H3217" s="1">
        <v>60.3</v>
      </c>
    </row>
    <row r="3218" s="1" customFormat="1" spans="1:8">
      <c r="A3218" s="1" t="s">
        <v>12</v>
      </c>
      <c r="B3218" s="1" t="s">
        <v>22</v>
      </c>
      <c r="C3218" s="1" t="str">
        <f t="shared" si="63"/>
        <v>020076</v>
      </c>
      <c r="D3218" s="1" t="str">
        <f>"112313626"</f>
        <v>112313626</v>
      </c>
      <c r="E3218" s="1">
        <v>0</v>
      </c>
      <c r="F3218" s="1">
        <v>0</v>
      </c>
      <c r="H3218" s="1">
        <v>0</v>
      </c>
    </row>
    <row r="3219" s="1" customFormat="1" spans="1:8">
      <c r="A3219" s="1" t="s">
        <v>14</v>
      </c>
      <c r="B3219" s="1" t="s">
        <v>22</v>
      </c>
      <c r="C3219" s="1" t="str">
        <f t="shared" ref="C3219:C3282" si="64">"020084"</f>
        <v>020084</v>
      </c>
      <c r="D3219" s="1" t="str">
        <f>"112313627"</f>
        <v>112313627</v>
      </c>
      <c r="E3219" s="1">
        <v>54</v>
      </c>
      <c r="F3219" s="1">
        <v>0</v>
      </c>
      <c r="H3219" s="1">
        <v>32.4</v>
      </c>
    </row>
    <row r="3220" s="1" customFormat="1" spans="1:8">
      <c r="A3220" s="1" t="s">
        <v>14</v>
      </c>
      <c r="B3220" s="1" t="s">
        <v>22</v>
      </c>
      <c r="C3220" s="1" t="str">
        <f t="shared" si="64"/>
        <v>020084</v>
      </c>
      <c r="D3220" s="1" t="str">
        <f>"112313628"</f>
        <v>112313628</v>
      </c>
      <c r="E3220" s="1">
        <v>56</v>
      </c>
      <c r="F3220" s="1">
        <v>56</v>
      </c>
      <c r="H3220" s="1">
        <v>56</v>
      </c>
    </row>
    <row r="3221" s="1" customFormat="1" spans="1:8">
      <c r="A3221" s="1" t="s">
        <v>14</v>
      </c>
      <c r="B3221" s="1" t="s">
        <v>22</v>
      </c>
      <c r="C3221" s="1" t="str">
        <f t="shared" si="64"/>
        <v>020084</v>
      </c>
      <c r="D3221" s="1" t="str">
        <f>"112313629"</f>
        <v>112313629</v>
      </c>
      <c r="E3221" s="1">
        <v>64.5</v>
      </c>
      <c r="F3221" s="1">
        <v>56</v>
      </c>
      <c r="H3221" s="1">
        <v>61.1</v>
      </c>
    </row>
    <row r="3222" s="1" customFormat="1" spans="1:8">
      <c r="A3222" s="1" t="s">
        <v>14</v>
      </c>
      <c r="B3222" s="1" t="s">
        <v>22</v>
      </c>
      <c r="C3222" s="1" t="str">
        <f t="shared" si="64"/>
        <v>020084</v>
      </c>
      <c r="D3222" s="1" t="str">
        <f>"112313630"</f>
        <v>112313630</v>
      </c>
      <c r="E3222" s="1">
        <v>69.5</v>
      </c>
      <c r="F3222" s="1">
        <v>57.5</v>
      </c>
      <c r="H3222" s="1">
        <v>64.7</v>
      </c>
    </row>
    <row r="3223" s="1" customFormat="1" spans="1:8">
      <c r="A3223" s="1" t="s">
        <v>14</v>
      </c>
      <c r="B3223" s="1" t="s">
        <v>22</v>
      </c>
      <c r="C3223" s="1" t="str">
        <f t="shared" si="64"/>
        <v>020084</v>
      </c>
      <c r="D3223" s="1" t="str">
        <f>"112313701"</f>
        <v>112313701</v>
      </c>
      <c r="E3223" s="1">
        <v>82</v>
      </c>
      <c r="F3223" s="1">
        <v>90.5</v>
      </c>
      <c r="H3223" s="1">
        <v>85.4</v>
      </c>
    </row>
    <row r="3224" s="1" customFormat="1" spans="1:8">
      <c r="A3224" s="1" t="s">
        <v>14</v>
      </c>
      <c r="B3224" s="1" t="s">
        <v>22</v>
      </c>
      <c r="C3224" s="1" t="str">
        <f t="shared" si="64"/>
        <v>020084</v>
      </c>
      <c r="D3224" s="1" t="str">
        <f>"112313702"</f>
        <v>112313702</v>
      </c>
      <c r="E3224" s="1">
        <v>95.5</v>
      </c>
      <c r="F3224" s="1">
        <v>89.5</v>
      </c>
      <c r="H3224" s="1">
        <v>93.1</v>
      </c>
    </row>
    <row r="3225" s="1" customFormat="1" spans="1:8">
      <c r="A3225" s="1" t="s">
        <v>14</v>
      </c>
      <c r="B3225" s="1" t="s">
        <v>22</v>
      </c>
      <c r="C3225" s="1" t="str">
        <f t="shared" si="64"/>
        <v>020084</v>
      </c>
      <c r="D3225" s="1" t="str">
        <f>"112313703"</f>
        <v>112313703</v>
      </c>
      <c r="E3225" s="1">
        <v>57.5</v>
      </c>
      <c r="F3225" s="1">
        <v>49</v>
      </c>
      <c r="H3225" s="1">
        <v>54.1</v>
      </c>
    </row>
    <row r="3226" s="1" customFormat="1" spans="1:8">
      <c r="A3226" s="1" t="s">
        <v>14</v>
      </c>
      <c r="B3226" s="1" t="s">
        <v>22</v>
      </c>
      <c r="C3226" s="1" t="str">
        <f t="shared" si="64"/>
        <v>020084</v>
      </c>
      <c r="D3226" s="1" t="str">
        <f>"112313704"</f>
        <v>112313704</v>
      </c>
      <c r="E3226" s="1">
        <v>0</v>
      </c>
      <c r="F3226" s="1">
        <v>0</v>
      </c>
      <c r="H3226" s="1">
        <v>0</v>
      </c>
    </row>
    <row r="3227" s="1" customFormat="1" spans="1:8">
      <c r="A3227" s="1" t="s">
        <v>14</v>
      </c>
      <c r="B3227" s="1" t="s">
        <v>22</v>
      </c>
      <c r="C3227" s="1" t="str">
        <f t="shared" si="64"/>
        <v>020084</v>
      </c>
      <c r="D3227" s="1" t="str">
        <f>"112313705"</f>
        <v>112313705</v>
      </c>
      <c r="E3227" s="1">
        <v>68.5</v>
      </c>
      <c r="F3227" s="1">
        <v>79.5</v>
      </c>
      <c r="H3227" s="1">
        <v>72.9</v>
      </c>
    </row>
    <row r="3228" s="1" customFormat="1" spans="1:8">
      <c r="A3228" s="1" t="s">
        <v>14</v>
      </c>
      <c r="B3228" s="1" t="s">
        <v>22</v>
      </c>
      <c r="C3228" s="1" t="str">
        <f t="shared" si="64"/>
        <v>020084</v>
      </c>
      <c r="D3228" s="1" t="str">
        <f>"112313706"</f>
        <v>112313706</v>
      </c>
      <c r="E3228" s="1">
        <v>0</v>
      </c>
      <c r="F3228" s="1">
        <v>0</v>
      </c>
      <c r="H3228" s="1">
        <v>0</v>
      </c>
    </row>
    <row r="3229" s="1" customFormat="1" spans="1:8">
      <c r="A3229" s="1" t="s">
        <v>14</v>
      </c>
      <c r="B3229" s="1" t="s">
        <v>22</v>
      </c>
      <c r="C3229" s="1" t="str">
        <f t="shared" si="64"/>
        <v>020084</v>
      </c>
      <c r="D3229" s="1" t="str">
        <f>"112313707"</f>
        <v>112313707</v>
      </c>
      <c r="E3229" s="1">
        <v>0</v>
      </c>
      <c r="F3229" s="1">
        <v>0</v>
      </c>
      <c r="H3229" s="1">
        <v>0</v>
      </c>
    </row>
    <row r="3230" s="1" customFormat="1" spans="1:8">
      <c r="A3230" s="1" t="s">
        <v>14</v>
      </c>
      <c r="B3230" s="1" t="s">
        <v>22</v>
      </c>
      <c r="C3230" s="1" t="str">
        <f t="shared" si="64"/>
        <v>020084</v>
      </c>
      <c r="D3230" s="1" t="str">
        <f>"112313708"</f>
        <v>112313708</v>
      </c>
      <c r="E3230" s="1">
        <v>70</v>
      </c>
      <c r="F3230" s="1">
        <v>65</v>
      </c>
      <c r="H3230" s="1">
        <v>68</v>
      </c>
    </row>
    <row r="3231" s="1" customFormat="1" spans="1:8">
      <c r="A3231" s="1" t="s">
        <v>14</v>
      </c>
      <c r="B3231" s="1" t="s">
        <v>22</v>
      </c>
      <c r="C3231" s="1" t="str">
        <f t="shared" si="64"/>
        <v>020084</v>
      </c>
      <c r="D3231" s="1" t="str">
        <f>"112313709"</f>
        <v>112313709</v>
      </c>
      <c r="E3231" s="1">
        <v>71.5</v>
      </c>
      <c r="F3231" s="1">
        <v>88.5</v>
      </c>
      <c r="H3231" s="1">
        <v>78.3</v>
      </c>
    </row>
    <row r="3232" s="1" customFormat="1" spans="1:8">
      <c r="A3232" s="1" t="s">
        <v>14</v>
      </c>
      <c r="B3232" s="1" t="s">
        <v>22</v>
      </c>
      <c r="C3232" s="1" t="str">
        <f t="shared" si="64"/>
        <v>020084</v>
      </c>
      <c r="D3232" s="1" t="str">
        <f>"112313710"</f>
        <v>112313710</v>
      </c>
      <c r="E3232" s="1">
        <v>61.5</v>
      </c>
      <c r="F3232" s="1">
        <v>60</v>
      </c>
      <c r="G3232" s="1">
        <v>2</v>
      </c>
      <c r="H3232" s="1">
        <v>62.9</v>
      </c>
    </row>
    <row r="3233" s="1" customFormat="1" spans="1:8">
      <c r="A3233" s="1" t="s">
        <v>14</v>
      </c>
      <c r="B3233" s="1" t="s">
        <v>22</v>
      </c>
      <c r="C3233" s="1" t="str">
        <f t="shared" si="64"/>
        <v>020084</v>
      </c>
      <c r="D3233" s="1" t="str">
        <f>"112313711"</f>
        <v>112313711</v>
      </c>
      <c r="E3233" s="1">
        <v>0</v>
      </c>
      <c r="F3233" s="1">
        <v>0</v>
      </c>
      <c r="H3233" s="1">
        <v>0</v>
      </c>
    </row>
    <row r="3234" s="1" customFormat="1" spans="1:8">
      <c r="A3234" s="1" t="s">
        <v>14</v>
      </c>
      <c r="B3234" s="1" t="s">
        <v>22</v>
      </c>
      <c r="C3234" s="1" t="str">
        <f t="shared" si="64"/>
        <v>020084</v>
      </c>
      <c r="D3234" s="1" t="str">
        <f>"112313712"</f>
        <v>112313712</v>
      </c>
      <c r="E3234" s="1">
        <v>0</v>
      </c>
      <c r="F3234" s="1">
        <v>0</v>
      </c>
      <c r="H3234" s="1">
        <v>0</v>
      </c>
    </row>
    <row r="3235" s="1" customFormat="1" spans="1:8">
      <c r="A3235" s="1" t="s">
        <v>14</v>
      </c>
      <c r="B3235" s="1" t="s">
        <v>22</v>
      </c>
      <c r="C3235" s="1" t="str">
        <f t="shared" si="64"/>
        <v>020084</v>
      </c>
      <c r="D3235" s="1" t="str">
        <f>"112313713"</f>
        <v>112313713</v>
      </c>
      <c r="E3235" s="1">
        <v>56.5</v>
      </c>
      <c r="F3235" s="1">
        <v>58.5</v>
      </c>
      <c r="H3235" s="1">
        <v>57.3</v>
      </c>
    </row>
    <row r="3236" s="1" customFormat="1" spans="1:8">
      <c r="A3236" s="1" t="s">
        <v>14</v>
      </c>
      <c r="B3236" s="1" t="s">
        <v>22</v>
      </c>
      <c r="C3236" s="1" t="str">
        <f t="shared" si="64"/>
        <v>020084</v>
      </c>
      <c r="D3236" s="1" t="str">
        <f>"112313714"</f>
        <v>112313714</v>
      </c>
      <c r="E3236" s="1">
        <v>67.5</v>
      </c>
      <c r="F3236" s="1">
        <v>62</v>
      </c>
      <c r="H3236" s="1">
        <v>65.3</v>
      </c>
    </row>
    <row r="3237" s="1" customFormat="1" spans="1:8">
      <c r="A3237" s="1" t="s">
        <v>14</v>
      </c>
      <c r="B3237" s="1" t="s">
        <v>22</v>
      </c>
      <c r="C3237" s="1" t="str">
        <f t="shared" si="64"/>
        <v>020084</v>
      </c>
      <c r="D3237" s="1" t="str">
        <f>"112313715"</f>
        <v>112313715</v>
      </c>
      <c r="E3237" s="1">
        <v>67</v>
      </c>
      <c r="F3237" s="1">
        <v>70.5</v>
      </c>
      <c r="H3237" s="1">
        <v>68.4</v>
      </c>
    </row>
    <row r="3238" s="1" customFormat="1" spans="1:8">
      <c r="A3238" s="1" t="s">
        <v>14</v>
      </c>
      <c r="B3238" s="1" t="s">
        <v>22</v>
      </c>
      <c r="C3238" s="1" t="str">
        <f t="shared" si="64"/>
        <v>020084</v>
      </c>
      <c r="D3238" s="1" t="str">
        <f>"112313716"</f>
        <v>112313716</v>
      </c>
      <c r="E3238" s="1">
        <v>56</v>
      </c>
      <c r="F3238" s="1">
        <v>61</v>
      </c>
      <c r="H3238" s="1">
        <v>58</v>
      </c>
    </row>
    <row r="3239" s="1" customFormat="1" spans="1:8">
      <c r="A3239" s="1" t="s">
        <v>14</v>
      </c>
      <c r="B3239" s="1" t="s">
        <v>22</v>
      </c>
      <c r="C3239" s="1" t="str">
        <f t="shared" si="64"/>
        <v>020084</v>
      </c>
      <c r="D3239" s="1" t="str">
        <f>"112313717"</f>
        <v>112313717</v>
      </c>
      <c r="E3239" s="1">
        <v>73</v>
      </c>
      <c r="F3239" s="1">
        <v>81.5</v>
      </c>
      <c r="H3239" s="1">
        <v>76.4</v>
      </c>
    </row>
    <row r="3240" s="1" customFormat="1" spans="1:8">
      <c r="A3240" s="1" t="s">
        <v>14</v>
      </c>
      <c r="B3240" s="1" t="s">
        <v>22</v>
      </c>
      <c r="C3240" s="1" t="str">
        <f t="shared" si="64"/>
        <v>020084</v>
      </c>
      <c r="D3240" s="1" t="str">
        <f>"112313718"</f>
        <v>112313718</v>
      </c>
      <c r="E3240" s="1">
        <v>93</v>
      </c>
      <c r="F3240" s="1">
        <v>99</v>
      </c>
      <c r="H3240" s="1">
        <v>95.4</v>
      </c>
    </row>
    <row r="3241" s="1" customFormat="1" spans="1:8">
      <c r="A3241" s="1" t="s">
        <v>14</v>
      </c>
      <c r="B3241" s="1" t="s">
        <v>22</v>
      </c>
      <c r="C3241" s="1" t="str">
        <f t="shared" si="64"/>
        <v>020084</v>
      </c>
      <c r="D3241" s="1" t="str">
        <f>"112313719"</f>
        <v>112313719</v>
      </c>
      <c r="E3241" s="1">
        <v>82</v>
      </c>
      <c r="F3241" s="1">
        <v>85</v>
      </c>
      <c r="H3241" s="1">
        <v>83.2</v>
      </c>
    </row>
    <row r="3242" s="1" customFormat="1" spans="1:8">
      <c r="A3242" s="1" t="s">
        <v>14</v>
      </c>
      <c r="B3242" s="1" t="s">
        <v>22</v>
      </c>
      <c r="C3242" s="1" t="str">
        <f t="shared" si="64"/>
        <v>020084</v>
      </c>
      <c r="D3242" s="1" t="str">
        <f>"112313720"</f>
        <v>112313720</v>
      </c>
      <c r="E3242" s="1">
        <v>74</v>
      </c>
      <c r="F3242" s="1">
        <v>72</v>
      </c>
      <c r="H3242" s="1">
        <v>73.2</v>
      </c>
    </row>
    <row r="3243" s="1" customFormat="1" spans="1:8">
      <c r="A3243" s="1" t="s">
        <v>14</v>
      </c>
      <c r="B3243" s="1" t="s">
        <v>22</v>
      </c>
      <c r="C3243" s="1" t="str">
        <f t="shared" si="64"/>
        <v>020084</v>
      </c>
      <c r="D3243" s="1" t="str">
        <f>"112313721"</f>
        <v>112313721</v>
      </c>
      <c r="E3243" s="1">
        <v>87</v>
      </c>
      <c r="F3243" s="1">
        <v>76</v>
      </c>
      <c r="H3243" s="1">
        <v>82.6</v>
      </c>
    </row>
    <row r="3244" s="1" customFormat="1" spans="1:8">
      <c r="A3244" s="1" t="s">
        <v>14</v>
      </c>
      <c r="B3244" s="1" t="s">
        <v>22</v>
      </c>
      <c r="C3244" s="1" t="str">
        <f t="shared" si="64"/>
        <v>020084</v>
      </c>
      <c r="D3244" s="1" t="str">
        <f>"112313722"</f>
        <v>112313722</v>
      </c>
      <c r="E3244" s="1">
        <v>73.5</v>
      </c>
      <c r="F3244" s="1">
        <v>82</v>
      </c>
      <c r="H3244" s="1">
        <v>76.9</v>
      </c>
    </row>
    <row r="3245" s="1" customFormat="1" spans="1:8">
      <c r="A3245" s="1" t="s">
        <v>14</v>
      </c>
      <c r="B3245" s="1" t="s">
        <v>22</v>
      </c>
      <c r="C3245" s="1" t="str">
        <f t="shared" si="64"/>
        <v>020084</v>
      </c>
      <c r="D3245" s="1" t="str">
        <f>"112313723"</f>
        <v>112313723</v>
      </c>
      <c r="E3245" s="1">
        <v>0</v>
      </c>
      <c r="F3245" s="1">
        <v>0</v>
      </c>
      <c r="H3245" s="1">
        <v>0</v>
      </c>
    </row>
    <row r="3246" s="1" customFormat="1" spans="1:8">
      <c r="A3246" s="1" t="s">
        <v>14</v>
      </c>
      <c r="B3246" s="1" t="s">
        <v>22</v>
      </c>
      <c r="C3246" s="1" t="str">
        <f t="shared" si="64"/>
        <v>020084</v>
      </c>
      <c r="D3246" s="1" t="str">
        <f>"112313724"</f>
        <v>112313724</v>
      </c>
      <c r="E3246" s="1">
        <v>79</v>
      </c>
      <c r="F3246" s="1">
        <v>92</v>
      </c>
      <c r="H3246" s="1">
        <v>84.2</v>
      </c>
    </row>
    <row r="3247" s="1" customFormat="1" spans="1:8">
      <c r="A3247" s="1" t="s">
        <v>14</v>
      </c>
      <c r="B3247" s="1" t="s">
        <v>22</v>
      </c>
      <c r="C3247" s="1" t="str">
        <f t="shared" si="64"/>
        <v>020084</v>
      </c>
      <c r="D3247" s="1" t="str">
        <f>"112313725"</f>
        <v>112313725</v>
      </c>
      <c r="E3247" s="1">
        <v>71.5</v>
      </c>
      <c r="F3247" s="1">
        <v>60.5</v>
      </c>
      <c r="H3247" s="1">
        <v>67.1</v>
      </c>
    </row>
    <row r="3248" s="1" customFormat="1" spans="1:8">
      <c r="A3248" s="1" t="s">
        <v>14</v>
      </c>
      <c r="B3248" s="1" t="s">
        <v>22</v>
      </c>
      <c r="C3248" s="1" t="str">
        <f t="shared" si="64"/>
        <v>020084</v>
      </c>
      <c r="D3248" s="1" t="str">
        <f>"112313726"</f>
        <v>112313726</v>
      </c>
      <c r="E3248" s="1">
        <v>0</v>
      </c>
      <c r="F3248" s="1">
        <v>0</v>
      </c>
      <c r="H3248" s="1">
        <v>0</v>
      </c>
    </row>
    <row r="3249" s="1" customFormat="1" spans="1:8">
      <c r="A3249" s="1" t="s">
        <v>14</v>
      </c>
      <c r="B3249" s="1" t="s">
        <v>22</v>
      </c>
      <c r="C3249" s="1" t="str">
        <f t="shared" si="64"/>
        <v>020084</v>
      </c>
      <c r="D3249" s="1" t="str">
        <f>"112313727"</f>
        <v>112313727</v>
      </c>
      <c r="E3249" s="1">
        <v>70.5</v>
      </c>
      <c r="F3249" s="1">
        <v>55</v>
      </c>
      <c r="H3249" s="1">
        <v>64.3</v>
      </c>
    </row>
    <row r="3250" s="1" customFormat="1" spans="1:8">
      <c r="A3250" s="1" t="s">
        <v>14</v>
      </c>
      <c r="B3250" s="1" t="s">
        <v>22</v>
      </c>
      <c r="C3250" s="1" t="str">
        <f t="shared" si="64"/>
        <v>020084</v>
      </c>
      <c r="D3250" s="1" t="str">
        <f>"112313728"</f>
        <v>112313728</v>
      </c>
      <c r="E3250" s="1">
        <v>46.5</v>
      </c>
      <c r="F3250" s="1">
        <v>48</v>
      </c>
      <c r="H3250" s="1">
        <v>47.1</v>
      </c>
    </row>
    <row r="3251" s="1" customFormat="1" spans="1:8">
      <c r="A3251" s="1" t="s">
        <v>14</v>
      </c>
      <c r="B3251" s="1" t="s">
        <v>22</v>
      </c>
      <c r="C3251" s="1" t="str">
        <f t="shared" si="64"/>
        <v>020084</v>
      </c>
      <c r="D3251" s="1" t="str">
        <f>"112313729"</f>
        <v>112313729</v>
      </c>
      <c r="E3251" s="1">
        <v>0</v>
      </c>
      <c r="F3251" s="1">
        <v>0</v>
      </c>
      <c r="H3251" s="1">
        <v>0</v>
      </c>
    </row>
    <row r="3252" s="1" customFormat="1" spans="1:8">
      <c r="A3252" s="1" t="s">
        <v>14</v>
      </c>
      <c r="B3252" s="1" t="s">
        <v>22</v>
      </c>
      <c r="C3252" s="1" t="str">
        <f t="shared" si="64"/>
        <v>020084</v>
      </c>
      <c r="D3252" s="1" t="str">
        <f>"112313730"</f>
        <v>112313730</v>
      </c>
      <c r="E3252" s="1">
        <v>66</v>
      </c>
      <c r="F3252" s="1">
        <v>79</v>
      </c>
      <c r="H3252" s="1">
        <v>71.2</v>
      </c>
    </row>
    <row r="3253" s="1" customFormat="1" spans="1:8">
      <c r="A3253" s="1" t="s">
        <v>14</v>
      </c>
      <c r="B3253" s="1" t="s">
        <v>22</v>
      </c>
      <c r="C3253" s="1" t="str">
        <f t="shared" si="64"/>
        <v>020084</v>
      </c>
      <c r="D3253" s="1" t="str">
        <f>"112313801"</f>
        <v>112313801</v>
      </c>
      <c r="E3253" s="1">
        <v>54.5</v>
      </c>
      <c r="F3253" s="1">
        <v>54</v>
      </c>
      <c r="H3253" s="1">
        <v>54.3</v>
      </c>
    </row>
    <row r="3254" s="1" customFormat="1" spans="1:8">
      <c r="A3254" s="1" t="s">
        <v>14</v>
      </c>
      <c r="B3254" s="1" t="s">
        <v>22</v>
      </c>
      <c r="C3254" s="1" t="str">
        <f t="shared" si="64"/>
        <v>020084</v>
      </c>
      <c r="D3254" s="1" t="str">
        <f>"112313802"</f>
        <v>112313802</v>
      </c>
      <c r="E3254" s="1">
        <v>0</v>
      </c>
      <c r="F3254" s="1">
        <v>0</v>
      </c>
      <c r="H3254" s="1">
        <v>0</v>
      </c>
    </row>
    <row r="3255" s="1" customFormat="1" spans="1:8">
      <c r="A3255" s="1" t="s">
        <v>14</v>
      </c>
      <c r="B3255" s="1" t="s">
        <v>22</v>
      </c>
      <c r="C3255" s="1" t="str">
        <f t="shared" si="64"/>
        <v>020084</v>
      </c>
      <c r="D3255" s="1" t="str">
        <f>"112313803"</f>
        <v>112313803</v>
      </c>
      <c r="E3255" s="1">
        <v>71</v>
      </c>
      <c r="F3255" s="1">
        <v>61.5</v>
      </c>
      <c r="G3255" s="1">
        <v>2</v>
      </c>
      <c r="H3255" s="1">
        <v>69.2</v>
      </c>
    </row>
    <row r="3256" s="1" customFormat="1" spans="1:8">
      <c r="A3256" s="1" t="s">
        <v>14</v>
      </c>
      <c r="B3256" s="1" t="s">
        <v>22</v>
      </c>
      <c r="C3256" s="1" t="str">
        <f t="shared" si="64"/>
        <v>020084</v>
      </c>
      <c r="D3256" s="1" t="str">
        <f>"112313804"</f>
        <v>112313804</v>
      </c>
      <c r="E3256" s="1">
        <v>64.5</v>
      </c>
      <c r="F3256" s="1">
        <v>58</v>
      </c>
      <c r="H3256" s="1">
        <v>61.9</v>
      </c>
    </row>
    <row r="3257" s="1" customFormat="1" spans="1:8">
      <c r="A3257" s="1" t="s">
        <v>14</v>
      </c>
      <c r="B3257" s="1" t="s">
        <v>22</v>
      </c>
      <c r="C3257" s="1" t="str">
        <f t="shared" si="64"/>
        <v>020084</v>
      </c>
      <c r="D3257" s="1" t="str">
        <f>"112313805"</f>
        <v>112313805</v>
      </c>
      <c r="E3257" s="1">
        <v>0</v>
      </c>
      <c r="F3257" s="1">
        <v>0</v>
      </c>
      <c r="H3257" s="1">
        <v>0</v>
      </c>
    </row>
    <row r="3258" s="1" customFormat="1" spans="1:8">
      <c r="A3258" s="1" t="s">
        <v>14</v>
      </c>
      <c r="B3258" s="1" t="s">
        <v>22</v>
      </c>
      <c r="C3258" s="1" t="str">
        <f t="shared" si="64"/>
        <v>020084</v>
      </c>
      <c r="D3258" s="1" t="str">
        <f>"112313806"</f>
        <v>112313806</v>
      </c>
      <c r="E3258" s="1">
        <v>75</v>
      </c>
      <c r="F3258" s="1">
        <v>76.5</v>
      </c>
      <c r="H3258" s="1">
        <v>75.6</v>
      </c>
    </row>
    <row r="3259" s="1" customFormat="1" spans="1:8">
      <c r="A3259" s="1" t="s">
        <v>14</v>
      </c>
      <c r="B3259" s="1" t="s">
        <v>22</v>
      </c>
      <c r="C3259" s="1" t="str">
        <f t="shared" si="64"/>
        <v>020084</v>
      </c>
      <c r="D3259" s="1" t="str">
        <f>"112313807"</f>
        <v>112313807</v>
      </c>
      <c r="E3259" s="1">
        <v>0</v>
      </c>
      <c r="F3259" s="1">
        <v>0</v>
      </c>
      <c r="H3259" s="1">
        <v>0</v>
      </c>
    </row>
    <row r="3260" s="1" customFormat="1" spans="1:8">
      <c r="A3260" s="1" t="s">
        <v>14</v>
      </c>
      <c r="B3260" s="1" t="s">
        <v>22</v>
      </c>
      <c r="C3260" s="1" t="str">
        <f t="shared" si="64"/>
        <v>020084</v>
      </c>
      <c r="D3260" s="1" t="str">
        <f>"112313808"</f>
        <v>112313808</v>
      </c>
      <c r="E3260" s="1">
        <v>0</v>
      </c>
      <c r="F3260" s="1">
        <v>0</v>
      </c>
      <c r="H3260" s="1">
        <v>0</v>
      </c>
    </row>
    <row r="3261" s="1" customFormat="1" spans="1:8">
      <c r="A3261" s="1" t="s">
        <v>14</v>
      </c>
      <c r="B3261" s="1" t="s">
        <v>22</v>
      </c>
      <c r="C3261" s="1" t="str">
        <f t="shared" si="64"/>
        <v>020084</v>
      </c>
      <c r="D3261" s="1" t="str">
        <f>"112313809"</f>
        <v>112313809</v>
      </c>
      <c r="E3261" s="1">
        <v>59.5</v>
      </c>
      <c r="F3261" s="1">
        <v>51.5</v>
      </c>
      <c r="H3261" s="1">
        <v>56.3</v>
      </c>
    </row>
    <row r="3262" s="1" customFormat="1" spans="1:8">
      <c r="A3262" s="1" t="s">
        <v>14</v>
      </c>
      <c r="B3262" s="1" t="s">
        <v>22</v>
      </c>
      <c r="C3262" s="1" t="str">
        <f t="shared" si="64"/>
        <v>020084</v>
      </c>
      <c r="D3262" s="1" t="str">
        <f>"112313810"</f>
        <v>112313810</v>
      </c>
      <c r="E3262" s="1">
        <v>49.5</v>
      </c>
      <c r="F3262" s="1">
        <v>73</v>
      </c>
      <c r="H3262" s="1">
        <v>58.9</v>
      </c>
    </row>
    <row r="3263" s="1" customFormat="1" spans="1:8">
      <c r="A3263" s="1" t="s">
        <v>14</v>
      </c>
      <c r="B3263" s="1" t="s">
        <v>22</v>
      </c>
      <c r="C3263" s="1" t="str">
        <f t="shared" si="64"/>
        <v>020084</v>
      </c>
      <c r="D3263" s="1" t="str">
        <f>"112313811"</f>
        <v>112313811</v>
      </c>
      <c r="E3263" s="1">
        <v>74</v>
      </c>
      <c r="F3263" s="1">
        <v>59</v>
      </c>
      <c r="H3263" s="1">
        <v>68</v>
      </c>
    </row>
    <row r="3264" s="1" customFormat="1" spans="1:8">
      <c r="A3264" s="1" t="s">
        <v>14</v>
      </c>
      <c r="B3264" s="1" t="s">
        <v>22</v>
      </c>
      <c r="C3264" s="1" t="str">
        <f t="shared" si="64"/>
        <v>020084</v>
      </c>
      <c r="D3264" s="1" t="str">
        <f>"112313812"</f>
        <v>112313812</v>
      </c>
      <c r="E3264" s="1">
        <v>46</v>
      </c>
      <c r="F3264" s="1">
        <v>59</v>
      </c>
      <c r="H3264" s="1">
        <v>51.2</v>
      </c>
    </row>
    <row r="3265" s="1" customFormat="1" spans="1:8">
      <c r="A3265" s="1" t="s">
        <v>14</v>
      </c>
      <c r="B3265" s="1" t="s">
        <v>22</v>
      </c>
      <c r="C3265" s="1" t="str">
        <f t="shared" si="64"/>
        <v>020084</v>
      </c>
      <c r="D3265" s="1" t="str">
        <f>"112313813"</f>
        <v>112313813</v>
      </c>
      <c r="E3265" s="1">
        <v>63.5</v>
      </c>
      <c r="F3265" s="1">
        <v>49.5</v>
      </c>
      <c r="H3265" s="1">
        <v>57.9</v>
      </c>
    </row>
    <row r="3266" s="1" customFormat="1" spans="1:8">
      <c r="A3266" s="1" t="s">
        <v>14</v>
      </c>
      <c r="B3266" s="1" t="s">
        <v>22</v>
      </c>
      <c r="C3266" s="1" t="str">
        <f t="shared" si="64"/>
        <v>020084</v>
      </c>
      <c r="D3266" s="1" t="str">
        <f>"112313814"</f>
        <v>112313814</v>
      </c>
      <c r="E3266" s="1">
        <v>70</v>
      </c>
      <c r="F3266" s="1">
        <v>87</v>
      </c>
      <c r="H3266" s="1">
        <v>76.8</v>
      </c>
    </row>
    <row r="3267" s="1" customFormat="1" spans="1:8">
      <c r="A3267" s="1" t="s">
        <v>14</v>
      </c>
      <c r="B3267" s="1" t="s">
        <v>22</v>
      </c>
      <c r="C3267" s="1" t="str">
        <f t="shared" si="64"/>
        <v>020084</v>
      </c>
      <c r="D3267" s="1" t="str">
        <f>"112313815"</f>
        <v>112313815</v>
      </c>
      <c r="E3267" s="1">
        <v>56</v>
      </c>
      <c r="F3267" s="1">
        <v>53.5</v>
      </c>
      <c r="H3267" s="1">
        <v>55</v>
      </c>
    </row>
    <row r="3268" s="1" customFormat="1" spans="1:8">
      <c r="A3268" s="1" t="s">
        <v>14</v>
      </c>
      <c r="B3268" s="1" t="s">
        <v>22</v>
      </c>
      <c r="C3268" s="1" t="str">
        <f t="shared" si="64"/>
        <v>020084</v>
      </c>
      <c r="D3268" s="1" t="str">
        <f>"112313816"</f>
        <v>112313816</v>
      </c>
      <c r="E3268" s="1">
        <v>83</v>
      </c>
      <c r="F3268" s="1">
        <v>85</v>
      </c>
      <c r="H3268" s="1">
        <v>83.8</v>
      </c>
    </row>
    <row r="3269" s="1" customFormat="1" spans="1:8">
      <c r="A3269" s="1" t="s">
        <v>14</v>
      </c>
      <c r="B3269" s="1" t="s">
        <v>22</v>
      </c>
      <c r="C3269" s="1" t="str">
        <f t="shared" si="64"/>
        <v>020084</v>
      </c>
      <c r="D3269" s="1" t="str">
        <f>"112313817"</f>
        <v>112313817</v>
      </c>
      <c r="E3269" s="1">
        <v>87</v>
      </c>
      <c r="F3269" s="1">
        <v>96.5</v>
      </c>
      <c r="H3269" s="1">
        <v>90.8</v>
      </c>
    </row>
    <row r="3270" s="1" customFormat="1" spans="1:8">
      <c r="A3270" s="1" t="s">
        <v>14</v>
      </c>
      <c r="B3270" s="1" t="s">
        <v>22</v>
      </c>
      <c r="C3270" s="1" t="str">
        <f t="shared" si="64"/>
        <v>020084</v>
      </c>
      <c r="D3270" s="1" t="str">
        <f>"112313818"</f>
        <v>112313818</v>
      </c>
      <c r="E3270" s="1">
        <v>70.5</v>
      </c>
      <c r="F3270" s="1">
        <v>60.5</v>
      </c>
      <c r="H3270" s="1">
        <v>66.5</v>
      </c>
    </row>
    <row r="3271" s="1" customFormat="1" spans="1:8">
      <c r="A3271" s="1" t="s">
        <v>14</v>
      </c>
      <c r="B3271" s="1" t="s">
        <v>22</v>
      </c>
      <c r="C3271" s="1" t="str">
        <f t="shared" si="64"/>
        <v>020084</v>
      </c>
      <c r="D3271" s="1" t="str">
        <f>"112313819"</f>
        <v>112313819</v>
      </c>
      <c r="E3271" s="1">
        <v>87.5</v>
      </c>
      <c r="F3271" s="1">
        <v>80.5</v>
      </c>
      <c r="H3271" s="1">
        <v>84.7</v>
      </c>
    </row>
    <row r="3272" s="1" customFormat="1" spans="1:8">
      <c r="A3272" s="1" t="s">
        <v>14</v>
      </c>
      <c r="B3272" s="1" t="s">
        <v>22</v>
      </c>
      <c r="C3272" s="1" t="str">
        <f t="shared" si="64"/>
        <v>020084</v>
      </c>
      <c r="D3272" s="1" t="str">
        <f>"112313820"</f>
        <v>112313820</v>
      </c>
      <c r="E3272" s="1">
        <v>0</v>
      </c>
      <c r="F3272" s="1">
        <v>0</v>
      </c>
      <c r="H3272" s="1">
        <v>0</v>
      </c>
    </row>
    <row r="3273" s="1" customFormat="1" spans="1:8">
      <c r="A3273" s="1" t="s">
        <v>14</v>
      </c>
      <c r="B3273" s="1" t="s">
        <v>22</v>
      </c>
      <c r="C3273" s="1" t="str">
        <f t="shared" si="64"/>
        <v>020084</v>
      </c>
      <c r="D3273" s="1" t="str">
        <f>"112313821"</f>
        <v>112313821</v>
      </c>
      <c r="E3273" s="1">
        <v>67.5</v>
      </c>
      <c r="F3273" s="1">
        <v>62.5</v>
      </c>
      <c r="H3273" s="1">
        <v>65.5</v>
      </c>
    </row>
    <row r="3274" s="1" customFormat="1" spans="1:8">
      <c r="A3274" s="1" t="s">
        <v>14</v>
      </c>
      <c r="B3274" s="1" t="s">
        <v>22</v>
      </c>
      <c r="C3274" s="1" t="str">
        <f t="shared" si="64"/>
        <v>020084</v>
      </c>
      <c r="D3274" s="1" t="str">
        <f>"112313822"</f>
        <v>112313822</v>
      </c>
      <c r="E3274" s="1">
        <v>75</v>
      </c>
      <c r="F3274" s="1">
        <v>73</v>
      </c>
      <c r="H3274" s="1">
        <v>74.2</v>
      </c>
    </row>
    <row r="3275" s="1" customFormat="1" spans="1:8">
      <c r="A3275" s="1" t="s">
        <v>14</v>
      </c>
      <c r="B3275" s="1" t="s">
        <v>22</v>
      </c>
      <c r="C3275" s="1" t="str">
        <f t="shared" si="64"/>
        <v>020084</v>
      </c>
      <c r="D3275" s="1" t="str">
        <f>"112313823"</f>
        <v>112313823</v>
      </c>
      <c r="E3275" s="1">
        <v>48</v>
      </c>
      <c r="F3275" s="1">
        <v>73</v>
      </c>
      <c r="H3275" s="1">
        <v>58</v>
      </c>
    </row>
    <row r="3276" s="1" customFormat="1" spans="1:8">
      <c r="A3276" s="1" t="s">
        <v>14</v>
      </c>
      <c r="B3276" s="1" t="s">
        <v>22</v>
      </c>
      <c r="C3276" s="1" t="str">
        <f t="shared" si="64"/>
        <v>020084</v>
      </c>
      <c r="D3276" s="1" t="str">
        <f>"112313824"</f>
        <v>112313824</v>
      </c>
      <c r="E3276" s="1">
        <v>81.5</v>
      </c>
      <c r="F3276" s="1">
        <v>86.5</v>
      </c>
      <c r="H3276" s="1">
        <v>83.5</v>
      </c>
    </row>
    <row r="3277" s="1" customFormat="1" spans="1:8">
      <c r="A3277" s="1" t="s">
        <v>14</v>
      </c>
      <c r="B3277" s="1" t="s">
        <v>22</v>
      </c>
      <c r="C3277" s="1" t="str">
        <f t="shared" si="64"/>
        <v>020084</v>
      </c>
      <c r="D3277" s="1" t="str">
        <f>"112313825"</f>
        <v>112313825</v>
      </c>
      <c r="E3277" s="1">
        <v>58</v>
      </c>
      <c r="F3277" s="1">
        <v>65</v>
      </c>
      <c r="H3277" s="1">
        <v>60.8</v>
      </c>
    </row>
    <row r="3278" s="1" customFormat="1" spans="1:8">
      <c r="A3278" s="1" t="s">
        <v>14</v>
      </c>
      <c r="B3278" s="1" t="s">
        <v>22</v>
      </c>
      <c r="C3278" s="1" t="str">
        <f t="shared" si="64"/>
        <v>020084</v>
      </c>
      <c r="D3278" s="1" t="str">
        <f>"112313826"</f>
        <v>112313826</v>
      </c>
      <c r="E3278" s="1">
        <v>63.5</v>
      </c>
      <c r="F3278" s="1">
        <v>64</v>
      </c>
      <c r="H3278" s="1">
        <v>63.7</v>
      </c>
    </row>
    <row r="3279" s="1" customFormat="1" spans="1:8">
      <c r="A3279" s="1" t="s">
        <v>14</v>
      </c>
      <c r="B3279" s="1" t="s">
        <v>22</v>
      </c>
      <c r="C3279" s="1" t="str">
        <f t="shared" si="64"/>
        <v>020084</v>
      </c>
      <c r="D3279" s="1" t="str">
        <f>"112313827"</f>
        <v>112313827</v>
      </c>
      <c r="E3279" s="1">
        <v>80.5</v>
      </c>
      <c r="F3279" s="1">
        <v>67.5</v>
      </c>
      <c r="H3279" s="1">
        <v>75.3</v>
      </c>
    </row>
    <row r="3280" s="1" customFormat="1" spans="1:8">
      <c r="A3280" s="1" t="s">
        <v>14</v>
      </c>
      <c r="B3280" s="1" t="s">
        <v>22</v>
      </c>
      <c r="C3280" s="1" t="str">
        <f t="shared" si="64"/>
        <v>020084</v>
      </c>
      <c r="D3280" s="1" t="str">
        <f>"112313828"</f>
        <v>112313828</v>
      </c>
      <c r="E3280" s="1">
        <v>78.5</v>
      </c>
      <c r="F3280" s="1">
        <v>84</v>
      </c>
      <c r="G3280" s="1">
        <v>2</v>
      </c>
      <c r="H3280" s="1">
        <v>82.7</v>
      </c>
    </row>
    <row r="3281" s="1" customFormat="1" spans="1:8">
      <c r="A3281" s="1" t="s">
        <v>14</v>
      </c>
      <c r="B3281" s="1" t="s">
        <v>22</v>
      </c>
      <c r="C3281" s="1" t="str">
        <f t="shared" si="64"/>
        <v>020084</v>
      </c>
      <c r="D3281" s="1" t="str">
        <f>"112313829"</f>
        <v>112313829</v>
      </c>
      <c r="E3281" s="1">
        <v>79.5</v>
      </c>
      <c r="F3281" s="1">
        <v>66</v>
      </c>
      <c r="H3281" s="1">
        <v>74.1</v>
      </c>
    </row>
    <row r="3282" s="1" customFormat="1" spans="1:8">
      <c r="A3282" s="1" t="s">
        <v>14</v>
      </c>
      <c r="B3282" s="1" t="s">
        <v>22</v>
      </c>
      <c r="C3282" s="1" t="str">
        <f t="shared" si="64"/>
        <v>020084</v>
      </c>
      <c r="D3282" s="1" t="str">
        <f>"112313830"</f>
        <v>112313830</v>
      </c>
      <c r="E3282" s="1">
        <v>0</v>
      </c>
      <c r="F3282" s="1">
        <v>0</v>
      </c>
      <c r="H3282" s="1">
        <v>0</v>
      </c>
    </row>
    <row r="3283" s="1" customFormat="1" spans="1:8">
      <c r="A3283" s="1" t="s">
        <v>14</v>
      </c>
      <c r="B3283" s="1" t="s">
        <v>22</v>
      </c>
      <c r="C3283" s="1" t="str">
        <f t="shared" ref="C3283:C3306" si="65">"020084"</f>
        <v>020084</v>
      </c>
      <c r="D3283" s="1" t="str">
        <f>"112313901"</f>
        <v>112313901</v>
      </c>
      <c r="E3283" s="1">
        <v>60.5</v>
      </c>
      <c r="F3283" s="1">
        <v>70</v>
      </c>
      <c r="H3283" s="1">
        <v>64.3</v>
      </c>
    </row>
    <row r="3284" s="1" customFormat="1" spans="1:8">
      <c r="A3284" s="1" t="s">
        <v>14</v>
      </c>
      <c r="B3284" s="1" t="s">
        <v>22</v>
      </c>
      <c r="C3284" s="1" t="str">
        <f t="shared" si="65"/>
        <v>020084</v>
      </c>
      <c r="D3284" s="1" t="str">
        <f>"112313902"</f>
        <v>112313902</v>
      </c>
      <c r="E3284" s="1">
        <v>66.5</v>
      </c>
      <c r="F3284" s="1">
        <v>61</v>
      </c>
      <c r="H3284" s="1">
        <v>64.3</v>
      </c>
    </row>
    <row r="3285" s="1" customFormat="1" spans="1:8">
      <c r="A3285" s="1" t="s">
        <v>14</v>
      </c>
      <c r="B3285" s="1" t="s">
        <v>22</v>
      </c>
      <c r="C3285" s="1" t="str">
        <f t="shared" si="65"/>
        <v>020084</v>
      </c>
      <c r="D3285" s="1" t="str">
        <f>"112313903"</f>
        <v>112313903</v>
      </c>
      <c r="E3285" s="1">
        <v>0</v>
      </c>
      <c r="F3285" s="1">
        <v>0</v>
      </c>
      <c r="H3285" s="1">
        <v>0</v>
      </c>
    </row>
    <row r="3286" s="1" customFormat="1" spans="1:8">
      <c r="A3286" s="1" t="s">
        <v>14</v>
      </c>
      <c r="B3286" s="1" t="s">
        <v>22</v>
      </c>
      <c r="C3286" s="1" t="str">
        <f t="shared" si="65"/>
        <v>020084</v>
      </c>
      <c r="D3286" s="1" t="str">
        <f>"112313904"</f>
        <v>112313904</v>
      </c>
      <c r="E3286" s="1">
        <v>81.5</v>
      </c>
      <c r="F3286" s="1">
        <v>88</v>
      </c>
      <c r="H3286" s="1">
        <v>84.1</v>
      </c>
    </row>
    <row r="3287" s="1" customFormat="1" spans="1:8">
      <c r="A3287" s="1" t="s">
        <v>14</v>
      </c>
      <c r="B3287" s="1" t="s">
        <v>22</v>
      </c>
      <c r="C3287" s="1" t="str">
        <f t="shared" si="65"/>
        <v>020084</v>
      </c>
      <c r="D3287" s="1" t="str">
        <f>"112313905"</f>
        <v>112313905</v>
      </c>
      <c r="E3287" s="1">
        <v>62</v>
      </c>
      <c r="F3287" s="1">
        <v>78</v>
      </c>
      <c r="H3287" s="1">
        <v>68.4</v>
      </c>
    </row>
    <row r="3288" s="1" customFormat="1" spans="1:8">
      <c r="A3288" s="1" t="s">
        <v>14</v>
      </c>
      <c r="B3288" s="1" t="s">
        <v>22</v>
      </c>
      <c r="C3288" s="1" t="str">
        <f t="shared" si="65"/>
        <v>020084</v>
      </c>
      <c r="D3288" s="1" t="str">
        <f>"112313906"</f>
        <v>112313906</v>
      </c>
      <c r="E3288" s="1">
        <v>51</v>
      </c>
      <c r="F3288" s="1">
        <v>48.5</v>
      </c>
      <c r="H3288" s="1">
        <v>50</v>
      </c>
    </row>
    <row r="3289" s="1" customFormat="1" spans="1:8">
      <c r="A3289" s="1" t="s">
        <v>14</v>
      </c>
      <c r="B3289" s="1" t="s">
        <v>22</v>
      </c>
      <c r="C3289" s="1" t="str">
        <f t="shared" si="65"/>
        <v>020084</v>
      </c>
      <c r="D3289" s="1" t="str">
        <f>"112313907"</f>
        <v>112313907</v>
      </c>
      <c r="E3289" s="1">
        <v>77.5</v>
      </c>
      <c r="F3289" s="1">
        <v>83</v>
      </c>
      <c r="H3289" s="1">
        <v>79.7</v>
      </c>
    </row>
    <row r="3290" s="1" customFormat="1" spans="1:8">
      <c r="A3290" s="1" t="s">
        <v>14</v>
      </c>
      <c r="B3290" s="1" t="s">
        <v>22</v>
      </c>
      <c r="C3290" s="1" t="str">
        <f t="shared" si="65"/>
        <v>020084</v>
      </c>
      <c r="D3290" s="1" t="str">
        <f>"112313908"</f>
        <v>112313908</v>
      </c>
      <c r="E3290" s="1">
        <v>0</v>
      </c>
      <c r="F3290" s="1">
        <v>0</v>
      </c>
      <c r="H3290" s="1">
        <v>0</v>
      </c>
    </row>
    <row r="3291" s="1" customFormat="1" spans="1:8">
      <c r="A3291" s="1" t="s">
        <v>14</v>
      </c>
      <c r="B3291" s="1" t="s">
        <v>22</v>
      </c>
      <c r="C3291" s="1" t="str">
        <f t="shared" si="65"/>
        <v>020084</v>
      </c>
      <c r="D3291" s="1" t="str">
        <f>"112313909"</f>
        <v>112313909</v>
      </c>
      <c r="E3291" s="1">
        <v>63</v>
      </c>
      <c r="F3291" s="1">
        <v>57</v>
      </c>
      <c r="H3291" s="1">
        <v>60.6</v>
      </c>
    </row>
    <row r="3292" s="1" customFormat="1" spans="1:8">
      <c r="A3292" s="1" t="s">
        <v>14</v>
      </c>
      <c r="B3292" s="1" t="s">
        <v>22</v>
      </c>
      <c r="C3292" s="1" t="str">
        <f t="shared" si="65"/>
        <v>020084</v>
      </c>
      <c r="D3292" s="1" t="str">
        <f>"112313910"</f>
        <v>112313910</v>
      </c>
      <c r="E3292" s="1">
        <v>0</v>
      </c>
      <c r="F3292" s="1">
        <v>0</v>
      </c>
      <c r="H3292" s="1">
        <v>0</v>
      </c>
    </row>
    <row r="3293" s="1" customFormat="1" spans="1:8">
      <c r="A3293" s="1" t="s">
        <v>14</v>
      </c>
      <c r="B3293" s="1" t="s">
        <v>22</v>
      </c>
      <c r="C3293" s="1" t="str">
        <f t="shared" si="65"/>
        <v>020084</v>
      </c>
      <c r="D3293" s="1" t="str">
        <f>"112313911"</f>
        <v>112313911</v>
      </c>
      <c r="E3293" s="1">
        <v>61</v>
      </c>
      <c r="F3293" s="1">
        <v>75</v>
      </c>
      <c r="H3293" s="1">
        <v>66.6</v>
      </c>
    </row>
    <row r="3294" s="1" customFormat="1" spans="1:8">
      <c r="A3294" s="1" t="s">
        <v>14</v>
      </c>
      <c r="B3294" s="1" t="s">
        <v>22</v>
      </c>
      <c r="C3294" s="1" t="str">
        <f t="shared" si="65"/>
        <v>020084</v>
      </c>
      <c r="D3294" s="1" t="str">
        <f>"112313912"</f>
        <v>112313912</v>
      </c>
      <c r="E3294" s="1">
        <v>0</v>
      </c>
      <c r="F3294" s="1">
        <v>0</v>
      </c>
      <c r="H3294" s="1">
        <v>0</v>
      </c>
    </row>
    <row r="3295" s="1" customFormat="1" spans="1:8">
      <c r="A3295" s="1" t="s">
        <v>14</v>
      </c>
      <c r="B3295" s="1" t="s">
        <v>22</v>
      </c>
      <c r="C3295" s="1" t="str">
        <f t="shared" si="65"/>
        <v>020084</v>
      </c>
      <c r="D3295" s="1" t="str">
        <f>"112313913"</f>
        <v>112313913</v>
      </c>
      <c r="E3295" s="1">
        <v>36</v>
      </c>
      <c r="F3295" s="1">
        <v>0</v>
      </c>
      <c r="H3295" s="1">
        <v>21.6</v>
      </c>
    </row>
    <row r="3296" s="1" customFormat="1" spans="1:8">
      <c r="A3296" s="1" t="s">
        <v>14</v>
      </c>
      <c r="B3296" s="1" t="s">
        <v>22</v>
      </c>
      <c r="C3296" s="1" t="str">
        <f t="shared" si="65"/>
        <v>020084</v>
      </c>
      <c r="D3296" s="1" t="str">
        <f>"112313914"</f>
        <v>112313914</v>
      </c>
      <c r="E3296" s="1">
        <v>0</v>
      </c>
      <c r="F3296" s="1">
        <v>0</v>
      </c>
      <c r="H3296" s="1">
        <v>0</v>
      </c>
    </row>
    <row r="3297" s="1" customFormat="1" spans="1:8">
      <c r="A3297" s="1" t="s">
        <v>14</v>
      </c>
      <c r="B3297" s="1" t="s">
        <v>22</v>
      </c>
      <c r="C3297" s="1" t="str">
        <f t="shared" si="65"/>
        <v>020084</v>
      </c>
      <c r="D3297" s="1" t="str">
        <f>"112313915"</f>
        <v>112313915</v>
      </c>
      <c r="E3297" s="1">
        <v>72</v>
      </c>
      <c r="F3297" s="1">
        <v>86</v>
      </c>
      <c r="H3297" s="1">
        <v>77.6</v>
      </c>
    </row>
    <row r="3298" s="1" customFormat="1" spans="1:8">
      <c r="A3298" s="1" t="s">
        <v>14</v>
      </c>
      <c r="B3298" s="1" t="s">
        <v>22</v>
      </c>
      <c r="C3298" s="1" t="str">
        <f t="shared" si="65"/>
        <v>020084</v>
      </c>
      <c r="D3298" s="1" t="str">
        <f>"112313916"</f>
        <v>112313916</v>
      </c>
      <c r="E3298" s="1">
        <v>84</v>
      </c>
      <c r="F3298" s="1">
        <v>74</v>
      </c>
      <c r="H3298" s="1">
        <v>80</v>
      </c>
    </row>
    <row r="3299" s="1" customFormat="1" spans="1:8">
      <c r="A3299" s="1" t="s">
        <v>14</v>
      </c>
      <c r="B3299" s="1" t="s">
        <v>22</v>
      </c>
      <c r="C3299" s="1" t="str">
        <f t="shared" si="65"/>
        <v>020084</v>
      </c>
      <c r="D3299" s="1" t="str">
        <f>"112313917"</f>
        <v>112313917</v>
      </c>
      <c r="E3299" s="1">
        <v>49.5</v>
      </c>
      <c r="F3299" s="1">
        <v>47</v>
      </c>
      <c r="H3299" s="1">
        <v>48.5</v>
      </c>
    </row>
    <row r="3300" s="1" customFormat="1" spans="1:8">
      <c r="A3300" s="1" t="s">
        <v>14</v>
      </c>
      <c r="B3300" s="1" t="s">
        <v>22</v>
      </c>
      <c r="C3300" s="1" t="str">
        <f t="shared" si="65"/>
        <v>020084</v>
      </c>
      <c r="D3300" s="1" t="str">
        <f>"112313918"</f>
        <v>112313918</v>
      </c>
      <c r="E3300" s="1">
        <v>0</v>
      </c>
      <c r="F3300" s="1">
        <v>0</v>
      </c>
      <c r="H3300" s="1">
        <v>0</v>
      </c>
    </row>
    <row r="3301" s="1" customFormat="1" spans="1:8">
      <c r="A3301" s="1" t="s">
        <v>14</v>
      </c>
      <c r="B3301" s="1" t="s">
        <v>22</v>
      </c>
      <c r="C3301" s="1" t="str">
        <f t="shared" si="65"/>
        <v>020084</v>
      </c>
      <c r="D3301" s="1" t="str">
        <f>"112313919"</f>
        <v>112313919</v>
      </c>
      <c r="E3301" s="1">
        <v>0</v>
      </c>
      <c r="F3301" s="1">
        <v>0</v>
      </c>
      <c r="H3301" s="1">
        <v>0</v>
      </c>
    </row>
    <row r="3302" s="1" customFormat="1" spans="1:8">
      <c r="A3302" s="1" t="s">
        <v>14</v>
      </c>
      <c r="B3302" s="1" t="s">
        <v>22</v>
      </c>
      <c r="C3302" s="1" t="str">
        <f t="shared" si="65"/>
        <v>020084</v>
      </c>
      <c r="D3302" s="1" t="str">
        <f>"112313920"</f>
        <v>112313920</v>
      </c>
      <c r="E3302" s="1">
        <v>91</v>
      </c>
      <c r="F3302" s="1">
        <v>86</v>
      </c>
      <c r="H3302" s="1">
        <v>89</v>
      </c>
    </row>
    <row r="3303" s="1" customFormat="1" spans="1:8">
      <c r="A3303" s="1" t="s">
        <v>14</v>
      </c>
      <c r="B3303" s="1" t="s">
        <v>22</v>
      </c>
      <c r="C3303" s="1" t="str">
        <f t="shared" si="65"/>
        <v>020084</v>
      </c>
      <c r="D3303" s="1" t="str">
        <f>"112313921"</f>
        <v>112313921</v>
      </c>
      <c r="E3303" s="1">
        <v>60</v>
      </c>
      <c r="F3303" s="1">
        <v>57.5</v>
      </c>
      <c r="H3303" s="1">
        <v>59</v>
      </c>
    </row>
    <row r="3304" s="1" customFormat="1" spans="1:8">
      <c r="A3304" s="1" t="s">
        <v>14</v>
      </c>
      <c r="B3304" s="1" t="s">
        <v>22</v>
      </c>
      <c r="C3304" s="1" t="str">
        <f t="shared" si="65"/>
        <v>020084</v>
      </c>
      <c r="D3304" s="1" t="str">
        <f>"112313922"</f>
        <v>112313922</v>
      </c>
      <c r="E3304" s="1">
        <v>59</v>
      </c>
      <c r="F3304" s="1">
        <v>70</v>
      </c>
      <c r="H3304" s="1">
        <v>63.4</v>
      </c>
    </row>
    <row r="3305" s="1" customFormat="1" spans="1:8">
      <c r="A3305" s="1" t="s">
        <v>14</v>
      </c>
      <c r="B3305" s="1" t="s">
        <v>22</v>
      </c>
      <c r="C3305" s="1" t="str">
        <f t="shared" si="65"/>
        <v>020084</v>
      </c>
      <c r="D3305" s="1" t="str">
        <f>"112313923"</f>
        <v>112313923</v>
      </c>
      <c r="E3305" s="1">
        <v>76</v>
      </c>
      <c r="F3305" s="1">
        <v>73.5</v>
      </c>
      <c r="H3305" s="1">
        <v>75</v>
      </c>
    </row>
    <row r="3306" s="1" customFormat="1" spans="1:8">
      <c r="A3306" s="1" t="s">
        <v>14</v>
      </c>
      <c r="B3306" s="1" t="s">
        <v>22</v>
      </c>
      <c r="C3306" s="1" t="str">
        <f t="shared" si="65"/>
        <v>020084</v>
      </c>
      <c r="D3306" s="1" t="str">
        <f>"112313924"</f>
        <v>112313924</v>
      </c>
      <c r="E3306" s="1">
        <v>72.5</v>
      </c>
      <c r="F3306" s="1">
        <v>83.5</v>
      </c>
      <c r="H3306" s="1">
        <v>76.9</v>
      </c>
    </row>
    <row r="3307" s="1" customFormat="1" spans="1:8">
      <c r="A3307" s="1" t="s">
        <v>15</v>
      </c>
      <c r="B3307" s="1" t="s">
        <v>22</v>
      </c>
      <c r="C3307" s="1" t="str">
        <f t="shared" ref="C3307:C3344" si="66">"020087"</f>
        <v>020087</v>
      </c>
      <c r="D3307" s="1" t="str">
        <f>"112313925"</f>
        <v>112313925</v>
      </c>
      <c r="E3307" s="1">
        <v>65</v>
      </c>
      <c r="F3307" s="1">
        <v>50</v>
      </c>
      <c r="H3307" s="1">
        <v>59</v>
      </c>
    </row>
    <row r="3308" s="1" customFormat="1" spans="1:8">
      <c r="A3308" s="1" t="s">
        <v>15</v>
      </c>
      <c r="B3308" s="1" t="s">
        <v>22</v>
      </c>
      <c r="C3308" s="1" t="str">
        <f t="shared" si="66"/>
        <v>020087</v>
      </c>
      <c r="D3308" s="1" t="str">
        <f>"112313926"</f>
        <v>112313926</v>
      </c>
      <c r="E3308" s="1">
        <v>0</v>
      </c>
      <c r="F3308" s="1">
        <v>0</v>
      </c>
      <c r="H3308" s="1">
        <v>0</v>
      </c>
    </row>
    <row r="3309" s="1" customFormat="1" spans="1:8">
      <c r="A3309" s="1" t="s">
        <v>15</v>
      </c>
      <c r="B3309" s="1" t="s">
        <v>22</v>
      </c>
      <c r="C3309" s="1" t="str">
        <f t="shared" si="66"/>
        <v>020087</v>
      </c>
      <c r="D3309" s="1" t="str">
        <f>"112313927"</f>
        <v>112313927</v>
      </c>
      <c r="E3309" s="1">
        <v>0</v>
      </c>
      <c r="F3309" s="1">
        <v>0</v>
      </c>
      <c r="H3309" s="1">
        <v>0</v>
      </c>
    </row>
    <row r="3310" s="1" customFormat="1" spans="1:8">
      <c r="A3310" s="1" t="s">
        <v>15</v>
      </c>
      <c r="B3310" s="1" t="s">
        <v>22</v>
      </c>
      <c r="C3310" s="1" t="str">
        <f t="shared" si="66"/>
        <v>020087</v>
      </c>
      <c r="D3310" s="1" t="str">
        <f>"112313928"</f>
        <v>112313928</v>
      </c>
      <c r="E3310" s="1">
        <v>0</v>
      </c>
      <c r="F3310" s="1">
        <v>0</v>
      </c>
      <c r="H3310" s="1">
        <v>0</v>
      </c>
    </row>
    <row r="3311" s="1" customFormat="1" spans="1:8">
      <c r="A3311" s="1" t="s">
        <v>15</v>
      </c>
      <c r="B3311" s="1" t="s">
        <v>22</v>
      </c>
      <c r="C3311" s="1" t="str">
        <f t="shared" si="66"/>
        <v>020087</v>
      </c>
      <c r="D3311" s="1" t="str">
        <f>"112313929"</f>
        <v>112313929</v>
      </c>
      <c r="E3311" s="1">
        <v>47</v>
      </c>
      <c r="F3311" s="1">
        <v>48</v>
      </c>
      <c r="H3311" s="1">
        <v>47.4</v>
      </c>
    </row>
    <row r="3312" s="1" customFormat="1" spans="1:8">
      <c r="A3312" s="1" t="s">
        <v>15</v>
      </c>
      <c r="B3312" s="1" t="s">
        <v>22</v>
      </c>
      <c r="C3312" s="1" t="str">
        <f t="shared" si="66"/>
        <v>020087</v>
      </c>
      <c r="D3312" s="1" t="str">
        <f>"112313930"</f>
        <v>112313930</v>
      </c>
      <c r="E3312" s="1">
        <v>62</v>
      </c>
      <c r="F3312" s="1">
        <v>75</v>
      </c>
      <c r="H3312" s="1">
        <v>67.2</v>
      </c>
    </row>
    <row r="3313" s="1" customFormat="1" spans="1:8">
      <c r="A3313" s="1" t="s">
        <v>15</v>
      </c>
      <c r="B3313" s="1" t="s">
        <v>22</v>
      </c>
      <c r="C3313" s="1" t="str">
        <f t="shared" si="66"/>
        <v>020087</v>
      </c>
      <c r="D3313" s="1" t="str">
        <f>"112314001"</f>
        <v>112314001</v>
      </c>
      <c r="E3313" s="1">
        <v>0</v>
      </c>
      <c r="F3313" s="1">
        <v>0</v>
      </c>
      <c r="H3313" s="1">
        <v>0</v>
      </c>
    </row>
    <row r="3314" s="1" customFormat="1" spans="1:8">
      <c r="A3314" s="1" t="s">
        <v>15</v>
      </c>
      <c r="B3314" s="1" t="s">
        <v>22</v>
      </c>
      <c r="C3314" s="1" t="str">
        <f t="shared" si="66"/>
        <v>020087</v>
      </c>
      <c r="D3314" s="1" t="str">
        <f>"112314002"</f>
        <v>112314002</v>
      </c>
      <c r="E3314" s="1">
        <v>0</v>
      </c>
      <c r="F3314" s="1">
        <v>0</v>
      </c>
      <c r="H3314" s="1">
        <v>0</v>
      </c>
    </row>
    <row r="3315" s="1" customFormat="1" spans="1:8">
      <c r="A3315" s="1" t="s">
        <v>15</v>
      </c>
      <c r="B3315" s="1" t="s">
        <v>22</v>
      </c>
      <c r="C3315" s="1" t="str">
        <f t="shared" si="66"/>
        <v>020087</v>
      </c>
      <c r="D3315" s="1" t="str">
        <f>"112314003"</f>
        <v>112314003</v>
      </c>
      <c r="E3315" s="1">
        <v>0</v>
      </c>
      <c r="F3315" s="1">
        <v>0</v>
      </c>
      <c r="H3315" s="1">
        <v>0</v>
      </c>
    </row>
    <row r="3316" s="1" customFormat="1" spans="1:8">
      <c r="A3316" s="1" t="s">
        <v>15</v>
      </c>
      <c r="B3316" s="1" t="s">
        <v>22</v>
      </c>
      <c r="C3316" s="1" t="str">
        <f t="shared" si="66"/>
        <v>020087</v>
      </c>
      <c r="D3316" s="1" t="str">
        <f>"112314004"</f>
        <v>112314004</v>
      </c>
      <c r="E3316" s="1">
        <v>0</v>
      </c>
      <c r="F3316" s="1">
        <v>0</v>
      </c>
      <c r="H3316" s="1">
        <v>0</v>
      </c>
    </row>
    <row r="3317" s="1" customFormat="1" spans="1:8">
      <c r="A3317" s="1" t="s">
        <v>15</v>
      </c>
      <c r="B3317" s="1" t="s">
        <v>22</v>
      </c>
      <c r="C3317" s="1" t="str">
        <f t="shared" si="66"/>
        <v>020087</v>
      </c>
      <c r="D3317" s="1" t="str">
        <f>"112314005"</f>
        <v>112314005</v>
      </c>
      <c r="E3317" s="1">
        <v>0</v>
      </c>
      <c r="F3317" s="1">
        <v>0</v>
      </c>
      <c r="H3317" s="1">
        <v>0</v>
      </c>
    </row>
    <row r="3318" s="1" customFormat="1" spans="1:8">
      <c r="A3318" s="1" t="s">
        <v>15</v>
      </c>
      <c r="B3318" s="1" t="s">
        <v>22</v>
      </c>
      <c r="C3318" s="1" t="str">
        <f t="shared" si="66"/>
        <v>020087</v>
      </c>
      <c r="D3318" s="1" t="str">
        <f>"112314006"</f>
        <v>112314006</v>
      </c>
      <c r="E3318" s="1">
        <v>0</v>
      </c>
      <c r="F3318" s="1">
        <v>0</v>
      </c>
      <c r="H3318" s="1">
        <v>0</v>
      </c>
    </row>
    <row r="3319" s="1" customFormat="1" spans="1:8">
      <c r="A3319" s="1" t="s">
        <v>15</v>
      </c>
      <c r="B3319" s="1" t="s">
        <v>22</v>
      </c>
      <c r="C3319" s="1" t="str">
        <f t="shared" si="66"/>
        <v>020087</v>
      </c>
      <c r="D3319" s="1" t="str">
        <f>"112314007"</f>
        <v>112314007</v>
      </c>
      <c r="E3319" s="1">
        <v>58.5</v>
      </c>
      <c r="F3319" s="1">
        <v>59</v>
      </c>
      <c r="H3319" s="1">
        <v>58.7</v>
      </c>
    </row>
    <row r="3320" s="1" customFormat="1" spans="1:8">
      <c r="A3320" s="1" t="s">
        <v>15</v>
      </c>
      <c r="B3320" s="1" t="s">
        <v>22</v>
      </c>
      <c r="C3320" s="1" t="str">
        <f t="shared" si="66"/>
        <v>020087</v>
      </c>
      <c r="D3320" s="1" t="str">
        <f>"112314008"</f>
        <v>112314008</v>
      </c>
      <c r="E3320" s="1">
        <v>0</v>
      </c>
      <c r="F3320" s="1">
        <v>0</v>
      </c>
      <c r="H3320" s="1">
        <v>0</v>
      </c>
    </row>
    <row r="3321" s="1" customFormat="1" spans="1:8">
      <c r="A3321" s="1" t="s">
        <v>15</v>
      </c>
      <c r="B3321" s="1" t="s">
        <v>22</v>
      </c>
      <c r="C3321" s="1" t="str">
        <f t="shared" si="66"/>
        <v>020087</v>
      </c>
      <c r="D3321" s="1" t="str">
        <f>"112314009"</f>
        <v>112314009</v>
      </c>
      <c r="E3321" s="1">
        <v>0</v>
      </c>
      <c r="F3321" s="1">
        <v>0</v>
      </c>
      <c r="H3321" s="1">
        <v>0</v>
      </c>
    </row>
    <row r="3322" s="1" customFormat="1" spans="1:8">
      <c r="A3322" s="1" t="s">
        <v>15</v>
      </c>
      <c r="B3322" s="1" t="s">
        <v>22</v>
      </c>
      <c r="C3322" s="1" t="str">
        <f t="shared" si="66"/>
        <v>020087</v>
      </c>
      <c r="D3322" s="1" t="str">
        <f>"112314010"</f>
        <v>112314010</v>
      </c>
      <c r="E3322" s="1">
        <v>67</v>
      </c>
      <c r="F3322" s="1">
        <v>77.5</v>
      </c>
      <c r="H3322" s="1">
        <v>71.2</v>
      </c>
    </row>
    <row r="3323" s="1" customFormat="1" spans="1:8">
      <c r="A3323" s="1" t="s">
        <v>15</v>
      </c>
      <c r="B3323" s="1" t="s">
        <v>22</v>
      </c>
      <c r="C3323" s="1" t="str">
        <f t="shared" si="66"/>
        <v>020087</v>
      </c>
      <c r="D3323" s="1" t="str">
        <f>"112314011"</f>
        <v>112314011</v>
      </c>
      <c r="E3323" s="1">
        <v>0</v>
      </c>
      <c r="F3323" s="1">
        <v>0</v>
      </c>
      <c r="H3323" s="1">
        <v>0</v>
      </c>
    </row>
    <row r="3324" s="1" customFormat="1" spans="1:8">
      <c r="A3324" s="1" t="s">
        <v>15</v>
      </c>
      <c r="B3324" s="1" t="s">
        <v>22</v>
      </c>
      <c r="C3324" s="1" t="str">
        <f t="shared" si="66"/>
        <v>020087</v>
      </c>
      <c r="D3324" s="1" t="str">
        <f>"112314012"</f>
        <v>112314012</v>
      </c>
      <c r="E3324" s="1">
        <v>0</v>
      </c>
      <c r="F3324" s="1">
        <v>0</v>
      </c>
      <c r="H3324" s="1">
        <v>0</v>
      </c>
    </row>
    <row r="3325" s="1" customFormat="1" spans="1:8">
      <c r="A3325" s="1" t="s">
        <v>15</v>
      </c>
      <c r="B3325" s="1" t="s">
        <v>22</v>
      </c>
      <c r="C3325" s="1" t="str">
        <f t="shared" si="66"/>
        <v>020087</v>
      </c>
      <c r="D3325" s="1" t="str">
        <f>"112314013"</f>
        <v>112314013</v>
      </c>
      <c r="E3325" s="1">
        <v>0</v>
      </c>
      <c r="F3325" s="1">
        <v>0</v>
      </c>
      <c r="H3325" s="1">
        <v>0</v>
      </c>
    </row>
    <row r="3326" s="1" customFormat="1" spans="1:8">
      <c r="A3326" s="1" t="s">
        <v>15</v>
      </c>
      <c r="B3326" s="1" t="s">
        <v>22</v>
      </c>
      <c r="C3326" s="1" t="str">
        <f t="shared" si="66"/>
        <v>020087</v>
      </c>
      <c r="D3326" s="1" t="str">
        <f>"112314014"</f>
        <v>112314014</v>
      </c>
      <c r="E3326" s="1">
        <v>47.5</v>
      </c>
      <c r="F3326" s="1">
        <v>53</v>
      </c>
      <c r="H3326" s="1">
        <v>49.7</v>
      </c>
    </row>
    <row r="3327" s="1" customFormat="1" spans="1:8">
      <c r="A3327" s="1" t="s">
        <v>15</v>
      </c>
      <c r="B3327" s="1" t="s">
        <v>22</v>
      </c>
      <c r="C3327" s="1" t="str">
        <f t="shared" si="66"/>
        <v>020087</v>
      </c>
      <c r="D3327" s="1" t="str">
        <f>"112314015"</f>
        <v>112314015</v>
      </c>
      <c r="E3327" s="1">
        <v>89</v>
      </c>
      <c r="F3327" s="1">
        <v>93.5</v>
      </c>
      <c r="H3327" s="1">
        <v>90.8</v>
      </c>
    </row>
    <row r="3328" s="1" customFormat="1" spans="1:8">
      <c r="A3328" s="1" t="s">
        <v>15</v>
      </c>
      <c r="B3328" s="1" t="s">
        <v>22</v>
      </c>
      <c r="C3328" s="1" t="str">
        <f t="shared" si="66"/>
        <v>020087</v>
      </c>
      <c r="D3328" s="1" t="str">
        <f>"112314016"</f>
        <v>112314016</v>
      </c>
      <c r="E3328" s="1">
        <v>84</v>
      </c>
      <c r="F3328" s="1">
        <v>87</v>
      </c>
      <c r="H3328" s="1">
        <v>85.2</v>
      </c>
    </row>
    <row r="3329" s="1" customFormat="1" spans="1:8">
      <c r="A3329" s="1" t="s">
        <v>15</v>
      </c>
      <c r="B3329" s="1" t="s">
        <v>22</v>
      </c>
      <c r="C3329" s="1" t="str">
        <f t="shared" si="66"/>
        <v>020087</v>
      </c>
      <c r="D3329" s="1" t="str">
        <f>"112314017"</f>
        <v>112314017</v>
      </c>
      <c r="E3329" s="1">
        <v>0</v>
      </c>
      <c r="F3329" s="1">
        <v>0</v>
      </c>
      <c r="H3329" s="1">
        <v>0</v>
      </c>
    </row>
    <row r="3330" s="1" customFormat="1" spans="1:8">
      <c r="A3330" s="1" t="s">
        <v>15</v>
      </c>
      <c r="B3330" s="1" t="s">
        <v>22</v>
      </c>
      <c r="C3330" s="1" t="str">
        <f t="shared" si="66"/>
        <v>020087</v>
      </c>
      <c r="D3330" s="1" t="str">
        <f>"112314018"</f>
        <v>112314018</v>
      </c>
      <c r="E3330" s="1">
        <v>0</v>
      </c>
      <c r="F3330" s="1">
        <v>0</v>
      </c>
      <c r="H3330" s="1">
        <v>0</v>
      </c>
    </row>
    <row r="3331" s="1" customFormat="1" spans="1:8">
      <c r="A3331" s="1" t="s">
        <v>15</v>
      </c>
      <c r="B3331" s="1" t="s">
        <v>22</v>
      </c>
      <c r="C3331" s="1" t="str">
        <f t="shared" si="66"/>
        <v>020087</v>
      </c>
      <c r="D3331" s="1" t="str">
        <f>"112314019"</f>
        <v>112314019</v>
      </c>
      <c r="E3331" s="1">
        <v>0</v>
      </c>
      <c r="F3331" s="1">
        <v>0</v>
      </c>
      <c r="H3331" s="1">
        <v>0</v>
      </c>
    </row>
    <row r="3332" s="1" customFormat="1" spans="1:8">
      <c r="A3332" s="1" t="s">
        <v>15</v>
      </c>
      <c r="B3332" s="1" t="s">
        <v>22</v>
      </c>
      <c r="C3332" s="1" t="str">
        <f t="shared" si="66"/>
        <v>020087</v>
      </c>
      <c r="D3332" s="1" t="str">
        <f>"112314020"</f>
        <v>112314020</v>
      </c>
      <c r="E3332" s="1">
        <v>0</v>
      </c>
      <c r="F3332" s="1">
        <v>0</v>
      </c>
      <c r="H3332" s="1">
        <v>0</v>
      </c>
    </row>
    <row r="3333" s="1" customFormat="1" spans="1:8">
      <c r="A3333" s="1" t="s">
        <v>15</v>
      </c>
      <c r="B3333" s="1" t="s">
        <v>22</v>
      </c>
      <c r="C3333" s="1" t="str">
        <f t="shared" si="66"/>
        <v>020087</v>
      </c>
      <c r="D3333" s="1" t="str">
        <f>"112314021"</f>
        <v>112314021</v>
      </c>
      <c r="E3333" s="1">
        <v>0</v>
      </c>
      <c r="F3333" s="1">
        <v>0</v>
      </c>
      <c r="H3333" s="1">
        <v>0</v>
      </c>
    </row>
    <row r="3334" s="1" customFormat="1" spans="1:8">
      <c r="A3334" s="1" t="s">
        <v>15</v>
      </c>
      <c r="B3334" s="1" t="s">
        <v>22</v>
      </c>
      <c r="C3334" s="1" t="str">
        <f t="shared" si="66"/>
        <v>020087</v>
      </c>
      <c r="D3334" s="1" t="str">
        <f>"112314022"</f>
        <v>112314022</v>
      </c>
      <c r="E3334" s="1">
        <v>0</v>
      </c>
      <c r="F3334" s="1">
        <v>0</v>
      </c>
      <c r="H3334" s="1">
        <v>0</v>
      </c>
    </row>
    <row r="3335" s="1" customFormat="1" spans="1:8">
      <c r="A3335" s="1" t="s">
        <v>15</v>
      </c>
      <c r="B3335" s="1" t="s">
        <v>22</v>
      </c>
      <c r="C3335" s="1" t="str">
        <f t="shared" si="66"/>
        <v>020087</v>
      </c>
      <c r="D3335" s="1" t="str">
        <f>"112314023"</f>
        <v>112314023</v>
      </c>
      <c r="E3335" s="1">
        <v>60.5</v>
      </c>
      <c r="F3335" s="1">
        <v>54</v>
      </c>
      <c r="H3335" s="1">
        <v>57.9</v>
      </c>
    </row>
    <row r="3336" s="1" customFormat="1" spans="1:8">
      <c r="A3336" s="1" t="s">
        <v>15</v>
      </c>
      <c r="B3336" s="1" t="s">
        <v>22</v>
      </c>
      <c r="C3336" s="1" t="str">
        <f t="shared" si="66"/>
        <v>020087</v>
      </c>
      <c r="D3336" s="1" t="str">
        <f>"112314024"</f>
        <v>112314024</v>
      </c>
      <c r="E3336" s="1">
        <v>0</v>
      </c>
      <c r="F3336" s="1">
        <v>0</v>
      </c>
      <c r="H3336" s="1">
        <v>0</v>
      </c>
    </row>
    <row r="3337" s="1" customFormat="1" spans="1:8">
      <c r="A3337" s="1" t="s">
        <v>15</v>
      </c>
      <c r="B3337" s="1" t="s">
        <v>22</v>
      </c>
      <c r="C3337" s="1" t="str">
        <f t="shared" si="66"/>
        <v>020087</v>
      </c>
      <c r="D3337" s="1" t="str">
        <f>"112314025"</f>
        <v>112314025</v>
      </c>
      <c r="E3337" s="1">
        <v>0</v>
      </c>
      <c r="F3337" s="1">
        <v>0</v>
      </c>
      <c r="H3337" s="1">
        <v>0</v>
      </c>
    </row>
    <row r="3338" s="1" customFormat="1" spans="1:8">
      <c r="A3338" s="1" t="s">
        <v>15</v>
      </c>
      <c r="B3338" s="1" t="s">
        <v>22</v>
      </c>
      <c r="C3338" s="1" t="str">
        <f t="shared" si="66"/>
        <v>020087</v>
      </c>
      <c r="D3338" s="1" t="str">
        <f>"112314026"</f>
        <v>112314026</v>
      </c>
      <c r="E3338" s="1">
        <v>70</v>
      </c>
      <c r="F3338" s="1">
        <v>64.5</v>
      </c>
      <c r="H3338" s="1">
        <v>67.8</v>
      </c>
    </row>
    <row r="3339" s="1" customFormat="1" spans="1:8">
      <c r="A3339" s="1" t="s">
        <v>15</v>
      </c>
      <c r="B3339" s="1" t="s">
        <v>22</v>
      </c>
      <c r="C3339" s="1" t="str">
        <f t="shared" si="66"/>
        <v>020087</v>
      </c>
      <c r="D3339" s="1" t="str">
        <f>"112314027"</f>
        <v>112314027</v>
      </c>
      <c r="E3339" s="1">
        <v>0</v>
      </c>
      <c r="F3339" s="1">
        <v>0</v>
      </c>
      <c r="H3339" s="1">
        <v>0</v>
      </c>
    </row>
    <row r="3340" s="1" customFormat="1" spans="1:8">
      <c r="A3340" s="1" t="s">
        <v>15</v>
      </c>
      <c r="B3340" s="1" t="s">
        <v>22</v>
      </c>
      <c r="C3340" s="1" t="str">
        <f t="shared" si="66"/>
        <v>020087</v>
      </c>
      <c r="D3340" s="1" t="str">
        <f>"112314028"</f>
        <v>112314028</v>
      </c>
      <c r="E3340" s="1">
        <v>0</v>
      </c>
      <c r="F3340" s="1">
        <v>0</v>
      </c>
      <c r="H3340" s="1">
        <v>0</v>
      </c>
    </row>
    <row r="3341" s="1" customFormat="1" spans="1:8">
      <c r="A3341" s="1" t="s">
        <v>15</v>
      </c>
      <c r="B3341" s="1" t="s">
        <v>22</v>
      </c>
      <c r="C3341" s="1" t="str">
        <f t="shared" si="66"/>
        <v>020087</v>
      </c>
      <c r="D3341" s="1" t="str">
        <f>"112314029"</f>
        <v>112314029</v>
      </c>
      <c r="E3341" s="1">
        <v>0</v>
      </c>
      <c r="F3341" s="1">
        <v>0</v>
      </c>
      <c r="H3341" s="1">
        <v>0</v>
      </c>
    </row>
    <row r="3342" s="1" customFormat="1" spans="1:8">
      <c r="A3342" s="1" t="s">
        <v>15</v>
      </c>
      <c r="B3342" s="1" t="s">
        <v>22</v>
      </c>
      <c r="C3342" s="1" t="str">
        <f t="shared" si="66"/>
        <v>020087</v>
      </c>
      <c r="D3342" s="1" t="str">
        <f>"112314030"</f>
        <v>112314030</v>
      </c>
      <c r="E3342" s="1">
        <v>62.5</v>
      </c>
      <c r="F3342" s="1">
        <v>57</v>
      </c>
      <c r="H3342" s="1">
        <v>60.3</v>
      </c>
    </row>
    <row r="3343" s="1" customFormat="1" spans="1:8">
      <c r="A3343" s="1" t="s">
        <v>15</v>
      </c>
      <c r="B3343" s="1" t="s">
        <v>22</v>
      </c>
      <c r="C3343" s="1" t="str">
        <f t="shared" si="66"/>
        <v>020087</v>
      </c>
      <c r="D3343" s="1" t="str">
        <f>"112314101"</f>
        <v>112314101</v>
      </c>
      <c r="E3343" s="1">
        <v>0</v>
      </c>
      <c r="F3343" s="1">
        <v>0</v>
      </c>
      <c r="H3343" s="1">
        <v>0</v>
      </c>
    </row>
    <row r="3344" s="1" customFormat="1" spans="1:8">
      <c r="A3344" s="1" t="s">
        <v>15</v>
      </c>
      <c r="B3344" s="1" t="s">
        <v>22</v>
      </c>
      <c r="C3344" s="1" t="str">
        <f t="shared" si="66"/>
        <v>020087</v>
      </c>
      <c r="D3344" s="1" t="str">
        <f>"112314102"</f>
        <v>112314102</v>
      </c>
      <c r="E3344" s="1">
        <v>74.5</v>
      </c>
      <c r="F3344" s="1">
        <v>64</v>
      </c>
      <c r="H3344" s="1">
        <v>70.3</v>
      </c>
    </row>
    <row r="3345" s="1" customFormat="1" spans="1:8">
      <c r="A3345" s="1" t="s">
        <v>17</v>
      </c>
      <c r="B3345" s="1" t="s">
        <v>22</v>
      </c>
      <c r="C3345" s="1" t="str">
        <f t="shared" ref="C3345:C3384" si="67">"020093"</f>
        <v>020093</v>
      </c>
      <c r="D3345" s="1" t="str">
        <f>"112314103"</f>
        <v>112314103</v>
      </c>
      <c r="E3345" s="1">
        <v>0</v>
      </c>
      <c r="F3345" s="1">
        <v>0</v>
      </c>
      <c r="H3345" s="1">
        <v>0</v>
      </c>
    </row>
    <row r="3346" s="1" customFormat="1" spans="1:8">
      <c r="A3346" s="1" t="s">
        <v>17</v>
      </c>
      <c r="B3346" s="1" t="s">
        <v>22</v>
      </c>
      <c r="C3346" s="1" t="str">
        <f t="shared" si="67"/>
        <v>020093</v>
      </c>
      <c r="D3346" s="1" t="str">
        <f>"112314104"</f>
        <v>112314104</v>
      </c>
      <c r="E3346" s="1">
        <v>61</v>
      </c>
      <c r="F3346" s="1">
        <v>74.5</v>
      </c>
      <c r="H3346" s="1">
        <v>66.4</v>
      </c>
    </row>
    <row r="3347" s="1" customFormat="1" spans="1:8">
      <c r="A3347" s="1" t="s">
        <v>17</v>
      </c>
      <c r="B3347" s="1" t="s">
        <v>22</v>
      </c>
      <c r="C3347" s="1" t="str">
        <f t="shared" si="67"/>
        <v>020093</v>
      </c>
      <c r="D3347" s="1" t="str">
        <f>"112314105"</f>
        <v>112314105</v>
      </c>
      <c r="E3347" s="1">
        <v>54.5</v>
      </c>
      <c r="F3347" s="1">
        <v>57</v>
      </c>
      <c r="H3347" s="1">
        <v>55.5</v>
      </c>
    </row>
    <row r="3348" s="1" customFormat="1" spans="1:8">
      <c r="A3348" s="1" t="s">
        <v>17</v>
      </c>
      <c r="B3348" s="1" t="s">
        <v>22</v>
      </c>
      <c r="C3348" s="1" t="str">
        <f t="shared" si="67"/>
        <v>020093</v>
      </c>
      <c r="D3348" s="1" t="str">
        <f>"112314106"</f>
        <v>112314106</v>
      </c>
      <c r="E3348" s="1">
        <v>50.5</v>
      </c>
      <c r="F3348" s="1">
        <v>59</v>
      </c>
      <c r="H3348" s="1">
        <v>53.9</v>
      </c>
    </row>
    <row r="3349" s="1" customFormat="1" spans="1:8">
      <c r="A3349" s="1" t="s">
        <v>17</v>
      </c>
      <c r="B3349" s="1" t="s">
        <v>22</v>
      </c>
      <c r="C3349" s="1" t="str">
        <f t="shared" si="67"/>
        <v>020093</v>
      </c>
      <c r="D3349" s="1" t="str">
        <f>"112314107"</f>
        <v>112314107</v>
      </c>
      <c r="E3349" s="1">
        <v>58.5</v>
      </c>
      <c r="F3349" s="1">
        <v>59.5</v>
      </c>
      <c r="H3349" s="1">
        <v>58.9</v>
      </c>
    </row>
    <row r="3350" s="1" customFormat="1" spans="1:8">
      <c r="A3350" s="1" t="s">
        <v>17</v>
      </c>
      <c r="B3350" s="1" t="s">
        <v>22</v>
      </c>
      <c r="C3350" s="1" t="str">
        <f t="shared" si="67"/>
        <v>020093</v>
      </c>
      <c r="D3350" s="1" t="str">
        <f>"112314108"</f>
        <v>112314108</v>
      </c>
      <c r="E3350" s="1">
        <v>0</v>
      </c>
      <c r="F3350" s="1">
        <v>0</v>
      </c>
      <c r="H3350" s="1">
        <v>0</v>
      </c>
    </row>
    <row r="3351" s="1" customFormat="1" spans="1:8">
      <c r="A3351" s="1" t="s">
        <v>17</v>
      </c>
      <c r="B3351" s="1" t="s">
        <v>22</v>
      </c>
      <c r="C3351" s="1" t="str">
        <f t="shared" si="67"/>
        <v>020093</v>
      </c>
      <c r="D3351" s="1" t="str">
        <f>"112314109"</f>
        <v>112314109</v>
      </c>
      <c r="E3351" s="1">
        <v>56</v>
      </c>
      <c r="F3351" s="1">
        <v>58.5</v>
      </c>
      <c r="H3351" s="1">
        <v>57</v>
      </c>
    </row>
    <row r="3352" s="1" customFormat="1" spans="1:8">
      <c r="A3352" s="1" t="s">
        <v>17</v>
      </c>
      <c r="B3352" s="1" t="s">
        <v>22</v>
      </c>
      <c r="C3352" s="1" t="str">
        <f t="shared" si="67"/>
        <v>020093</v>
      </c>
      <c r="D3352" s="1" t="str">
        <f>"112314110"</f>
        <v>112314110</v>
      </c>
      <c r="E3352" s="1">
        <v>51.5</v>
      </c>
      <c r="F3352" s="1">
        <v>53</v>
      </c>
      <c r="H3352" s="1">
        <v>52.1</v>
      </c>
    </row>
    <row r="3353" s="1" customFormat="1" spans="1:8">
      <c r="A3353" s="1" t="s">
        <v>17</v>
      </c>
      <c r="B3353" s="1" t="s">
        <v>22</v>
      </c>
      <c r="C3353" s="1" t="str">
        <f t="shared" si="67"/>
        <v>020093</v>
      </c>
      <c r="D3353" s="1" t="str">
        <f>"112314111"</f>
        <v>112314111</v>
      </c>
      <c r="E3353" s="1">
        <v>68</v>
      </c>
      <c r="F3353" s="1">
        <v>68.5</v>
      </c>
      <c r="G3353" s="1">
        <v>2</v>
      </c>
      <c r="H3353" s="1">
        <v>70.2</v>
      </c>
    </row>
    <row r="3354" s="1" customFormat="1" spans="1:8">
      <c r="A3354" s="1" t="s">
        <v>17</v>
      </c>
      <c r="B3354" s="1" t="s">
        <v>22</v>
      </c>
      <c r="C3354" s="1" t="str">
        <f t="shared" si="67"/>
        <v>020093</v>
      </c>
      <c r="D3354" s="1" t="str">
        <f>"112314112"</f>
        <v>112314112</v>
      </c>
      <c r="E3354" s="1">
        <v>0</v>
      </c>
      <c r="F3354" s="1">
        <v>0</v>
      </c>
      <c r="H3354" s="1">
        <v>0</v>
      </c>
    </row>
    <row r="3355" s="1" customFormat="1" spans="1:8">
      <c r="A3355" s="1" t="s">
        <v>17</v>
      </c>
      <c r="B3355" s="1" t="s">
        <v>22</v>
      </c>
      <c r="C3355" s="1" t="str">
        <f t="shared" si="67"/>
        <v>020093</v>
      </c>
      <c r="D3355" s="1" t="str">
        <f>"112314113"</f>
        <v>112314113</v>
      </c>
      <c r="E3355" s="1">
        <v>65.5</v>
      </c>
      <c r="F3355" s="1">
        <v>59.5</v>
      </c>
      <c r="H3355" s="1">
        <v>63.1</v>
      </c>
    </row>
    <row r="3356" s="1" customFormat="1" spans="1:8">
      <c r="A3356" s="1" t="s">
        <v>17</v>
      </c>
      <c r="B3356" s="1" t="s">
        <v>22</v>
      </c>
      <c r="C3356" s="1" t="str">
        <f t="shared" si="67"/>
        <v>020093</v>
      </c>
      <c r="D3356" s="1" t="str">
        <f>"112314114"</f>
        <v>112314114</v>
      </c>
      <c r="E3356" s="1">
        <v>68</v>
      </c>
      <c r="F3356" s="1">
        <v>52.5</v>
      </c>
      <c r="H3356" s="1">
        <v>61.8</v>
      </c>
    </row>
    <row r="3357" s="1" customFormat="1" spans="1:8">
      <c r="A3357" s="1" t="s">
        <v>17</v>
      </c>
      <c r="B3357" s="1" t="s">
        <v>22</v>
      </c>
      <c r="C3357" s="1" t="str">
        <f t="shared" si="67"/>
        <v>020093</v>
      </c>
      <c r="D3357" s="1" t="str">
        <f>"112314115"</f>
        <v>112314115</v>
      </c>
      <c r="E3357" s="1">
        <v>60</v>
      </c>
      <c r="F3357" s="1">
        <v>59.5</v>
      </c>
      <c r="H3357" s="1">
        <v>59.8</v>
      </c>
    </row>
    <row r="3358" s="1" customFormat="1" spans="1:8">
      <c r="A3358" s="1" t="s">
        <v>17</v>
      </c>
      <c r="B3358" s="1" t="s">
        <v>22</v>
      </c>
      <c r="C3358" s="1" t="str">
        <f t="shared" si="67"/>
        <v>020093</v>
      </c>
      <c r="D3358" s="1" t="str">
        <f>"112314116"</f>
        <v>112314116</v>
      </c>
      <c r="E3358" s="1">
        <v>89</v>
      </c>
      <c r="F3358" s="1">
        <v>96.5</v>
      </c>
      <c r="H3358" s="1">
        <v>92</v>
      </c>
    </row>
    <row r="3359" s="1" customFormat="1" spans="1:8">
      <c r="A3359" s="1" t="s">
        <v>17</v>
      </c>
      <c r="B3359" s="1" t="s">
        <v>22</v>
      </c>
      <c r="C3359" s="1" t="str">
        <f t="shared" si="67"/>
        <v>020093</v>
      </c>
      <c r="D3359" s="1" t="str">
        <f>"112314117"</f>
        <v>112314117</v>
      </c>
      <c r="E3359" s="1">
        <v>0</v>
      </c>
      <c r="F3359" s="1">
        <v>0</v>
      </c>
      <c r="H3359" s="1">
        <v>0</v>
      </c>
    </row>
    <row r="3360" s="1" customFormat="1" spans="1:8">
      <c r="A3360" s="1" t="s">
        <v>17</v>
      </c>
      <c r="B3360" s="1" t="s">
        <v>22</v>
      </c>
      <c r="C3360" s="1" t="str">
        <f t="shared" si="67"/>
        <v>020093</v>
      </c>
      <c r="D3360" s="1" t="str">
        <f>"112314118"</f>
        <v>112314118</v>
      </c>
      <c r="E3360" s="1">
        <v>62</v>
      </c>
      <c r="F3360" s="1">
        <v>49</v>
      </c>
      <c r="H3360" s="1">
        <v>56.8</v>
      </c>
    </row>
    <row r="3361" s="1" customFormat="1" spans="1:8">
      <c r="A3361" s="1" t="s">
        <v>17</v>
      </c>
      <c r="B3361" s="1" t="s">
        <v>22</v>
      </c>
      <c r="C3361" s="1" t="str">
        <f t="shared" si="67"/>
        <v>020093</v>
      </c>
      <c r="D3361" s="1" t="str">
        <f>"112314119"</f>
        <v>112314119</v>
      </c>
      <c r="E3361" s="1">
        <v>77.5</v>
      </c>
      <c r="F3361" s="1">
        <v>60</v>
      </c>
      <c r="H3361" s="1">
        <v>70.5</v>
      </c>
    </row>
    <row r="3362" s="1" customFormat="1" spans="1:8">
      <c r="A3362" s="1" t="s">
        <v>17</v>
      </c>
      <c r="B3362" s="1" t="s">
        <v>22</v>
      </c>
      <c r="C3362" s="1" t="str">
        <f t="shared" si="67"/>
        <v>020093</v>
      </c>
      <c r="D3362" s="1" t="str">
        <f>"112314120"</f>
        <v>112314120</v>
      </c>
      <c r="E3362" s="1">
        <v>53</v>
      </c>
      <c r="F3362" s="1">
        <v>57.5</v>
      </c>
      <c r="H3362" s="1">
        <v>54.8</v>
      </c>
    </row>
    <row r="3363" s="1" customFormat="1" spans="1:8">
      <c r="A3363" s="1" t="s">
        <v>17</v>
      </c>
      <c r="B3363" s="1" t="s">
        <v>22</v>
      </c>
      <c r="C3363" s="1" t="str">
        <f t="shared" si="67"/>
        <v>020093</v>
      </c>
      <c r="D3363" s="1" t="str">
        <f>"112314121"</f>
        <v>112314121</v>
      </c>
      <c r="E3363" s="1">
        <v>72</v>
      </c>
      <c r="F3363" s="1">
        <v>81.5</v>
      </c>
      <c r="H3363" s="1">
        <v>75.8</v>
      </c>
    </row>
    <row r="3364" s="1" customFormat="1" spans="1:8">
      <c r="A3364" s="1" t="s">
        <v>17</v>
      </c>
      <c r="B3364" s="1" t="s">
        <v>22</v>
      </c>
      <c r="C3364" s="1" t="str">
        <f t="shared" si="67"/>
        <v>020093</v>
      </c>
      <c r="D3364" s="1" t="str">
        <f>"112314122"</f>
        <v>112314122</v>
      </c>
      <c r="E3364" s="1">
        <v>61</v>
      </c>
      <c r="F3364" s="1">
        <v>51.5</v>
      </c>
      <c r="H3364" s="1">
        <v>57.2</v>
      </c>
    </row>
    <row r="3365" s="1" customFormat="1" spans="1:8">
      <c r="A3365" s="1" t="s">
        <v>17</v>
      </c>
      <c r="B3365" s="1" t="s">
        <v>22</v>
      </c>
      <c r="C3365" s="1" t="str">
        <f t="shared" si="67"/>
        <v>020093</v>
      </c>
      <c r="D3365" s="1" t="str">
        <f>"112314123"</f>
        <v>112314123</v>
      </c>
      <c r="E3365" s="1">
        <v>52</v>
      </c>
      <c r="F3365" s="1">
        <v>47</v>
      </c>
      <c r="H3365" s="1">
        <v>50</v>
      </c>
    </row>
    <row r="3366" s="1" customFormat="1" spans="1:8">
      <c r="A3366" s="1" t="s">
        <v>17</v>
      </c>
      <c r="B3366" s="1" t="s">
        <v>22</v>
      </c>
      <c r="C3366" s="1" t="str">
        <f t="shared" si="67"/>
        <v>020093</v>
      </c>
      <c r="D3366" s="1" t="str">
        <f>"112314124"</f>
        <v>112314124</v>
      </c>
      <c r="E3366" s="1">
        <v>50.5</v>
      </c>
      <c r="F3366" s="1">
        <v>70</v>
      </c>
      <c r="H3366" s="1">
        <v>58.3</v>
      </c>
    </row>
    <row r="3367" s="1" customFormat="1" spans="1:8">
      <c r="A3367" s="1" t="s">
        <v>17</v>
      </c>
      <c r="B3367" s="1" t="s">
        <v>22</v>
      </c>
      <c r="C3367" s="1" t="str">
        <f t="shared" si="67"/>
        <v>020093</v>
      </c>
      <c r="D3367" s="1" t="str">
        <f>"112314125"</f>
        <v>112314125</v>
      </c>
      <c r="E3367" s="1">
        <v>60.5</v>
      </c>
      <c r="F3367" s="1">
        <v>51</v>
      </c>
      <c r="H3367" s="1">
        <v>56.7</v>
      </c>
    </row>
    <row r="3368" s="1" customFormat="1" spans="1:8">
      <c r="A3368" s="1" t="s">
        <v>17</v>
      </c>
      <c r="B3368" s="1" t="s">
        <v>22</v>
      </c>
      <c r="C3368" s="1" t="str">
        <f t="shared" si="67"/>
        <v>020093</v>
      </c>
      <c r="D3368" s="1" t="str">
        <f>"112314126"</f>
        <v>112314126</v>
      </c>
      <c r="E3368" s="1">
        <v>58.5</v>
      </c>
      <c r="F3368" s="1">
        <v>60.5</v>
      </c>
      <c r="H3368" s="1">
        <v>59.3</v>
      </c>
    </row>
    <row r="3369" s="1" customFormat="1" spans="1:8">
      <c r="A3369" s="1" t="s">
        <v>17</v>
      </c>
      <c r="B3369" s="1" t="s">
        <v>22</v>
      </c>
      <c r="C3369" s="1" t="str">
        <f t="shared" si="67"/>
        <v>020093</v>
      </c>
      <c r="D3369" s="1" t="str">
        <f>"112314127"</f>
        <v>112314127</v>
      </c>
      <c r="E3369" s="1">
        <v>68.5</v>
      </c>
      <c r="F3369" s="1">
        <v>68</v>
      </c>
      <c r="H3369" s="1">
        <v>68.3</v>
      </c>
    </row>
    <row r="3370" s="1" customFormat="1" spans="1:8">
      <c r="A3370" s="1" t="s">
        <v>17</v>
      </c>
      <c r="B3370" s="1" t="s">
        <v>22</v>
      </c>
      <c r="C3370" s="1" t="str">
        <f t="shared" si="67"/>
        <v>020093</v>
      </c>
      <c r="D3370" s="1" t="str">
        <f>"112314128"</f>
        <v>112314128</v>
      </c>
      <c r="E3370" s="1">
        <v>0</v>
      </c>
      <c r="F3370" s="1">
        <v>0</v>
      </c>
      <c r="H3370" s="1">
        <v>0</v>
      </c>
    </row>
    <row r="3371" s="1" customFormat="1" spans="1:8">
      <c r="A3371" s="1" t="s">
        <v>17</v>
      </c>
      <c r="B3371" s="1" t="s">
        <v>22</v>
      </c>
      <c r="C3371" s="1" t="str">
        <f t="shared" si="67"/>
        <v>020093</v>
      </c>
      <c r="D3371" s="1" t="str">
        <f>"112314129"</f>
        <v>112314129</v>
      </c>
      <c r="E3371" s="1">
        <v>52.5</v>
      </c>
      <c r="F3371" s="1">
        <v>45.5</v>
      </c>
      <c r="H3371" s="1">
        <v>49.7</v>
      </c>
    </row>
    <row r="3372" s="1" customFormat="1" spans="1:8">
      <c r="A3372" s="1" t="s">
        <v>17</v>
      </c>
      <c r="B3372" s="1" t="s">
        <v>22</v>
      </c>
      <c r="C3372" s="1" t="str">
        <f t="shared" si="67"/>
        <v>020093</v>
      </c>
      <c r="D3372" s="1" t="str">
        <f>"112314130"</f>
        <v>112314130</v>
      </c>
      <c r="E3372" s="1">
        <v>72</v>
      </c>
      <c r="F3372" s="1">
        <v>67</v>
      </c>
      <c r="H3372" s="1">
        <v>70</v>
      </c>
    </row>
    <row r="3373" s="1" customFormat="1" spans="1:8">
      <c r="A3373" s="1" t="s">
        <v>17</v>
      </c>
      <c r="B3373" s="1" t="s">
        <v>22</v>
      </c>
      <c r="C3373" s="1" t="str">
        <f t="shared" si="67"/>
        <v>020093</v>
      </c>
      <c r="D3373" s="1" t="str">
        <f>"112314201"</f>
        <v>112314201</v>
      </c>
      <c r="E3373" s="1">
        <v>61</v>
      </c>
      <c r="F3373" s="1">
        <v>82</v>
      </c>
      <c r="H3373" s="1">
        <v>69.4</v>
      </c>
    </row>
    <row r="3374" s="1" customFormat="1" spans="1:8">
      <c r="A3374" s="1" t="s">
        <v>17</v>
      </c>
      <c r="B3374" s="1" t="s">
        <v>22</v>
      </c>
      <c r="C3374" s="1" t="str">
        <f t="shared" si="67"/>
        <v>020093</v>
      </c>
      <c r="D3374" s="1" t="str">
        <f>"112314202"</f>
        <v>112314202</v>
      </c>
      <c r="E3374" s="1">
        <v>72.5</v>
      </c>
      <c r="F3374" s="1">
        <v>80.5</v>
      </c>
      <c r="H3374" s="1">
        <v>75.7</v>
      </c>
    </row>
    <row r="3375" s="1" customFormat="1" spans="1:8">
      <c r="A3375" s="1" t="s">
        <v>17</v>
      </c>
      <c r="B3375" s="1" t="s">
        <v>22</v>
      </c>
      <c r="C3375" s="1" t="str">
        <f t="shared" si="67"/>
        <v>020093</v>
      </c>
      <c r="D3375" s="1" t="str">
        <f>"112314203"</f>
        <v>112314203</v>
      </c>
      <c r="E3375" s="1">
        <v>67</v>
      </c>
      <c r="F3375" s="1">
        <v>65.5</v>
      </c>
      <c r="H3375" s="1">
        <v>66.4</v>
      </c>
    </row>
    <row r="3376" s="1" customFormat="1" spans="1:8">
      <c r="A3376" s="1" t="s">
        <v>17</v>
      </c>
      <c r="B3376" s="1" t="s">
        <v>22</v>
      </c>
      <c r="C3376" s="1" t="str">
        <f t="shared" si="67"/>
        <v>020093</v>
      </c>
      <c r="D3376" s="1" t="str">
        <f>"112314204"</f>
        <v>112314204</v>
      </c>
      <c r="E3376" s="1">
        <v>60</v>
      </c>
      <c r="F3376" s="1">
        <v>55</v>
      </c>
      <c r="H3376" s="1">
        <v>58</v>
      </c>
    </row>
    <row r="3377" s="1" customFormat="1" spans="1:8">
      <c r="A3377" s="1" t="s">
        <v>17</v>
      </c>
      <c r="B3377" s="1" t="s">
        <v>22</v>
      </c>
      <c r="C3377" s="1" t="str">
        <f t="shared" si="67"/>
        <v>020093</v>
      </c>
      <c r="D3377" s="1" t="str">
        <f>"112314205"</f>
        <v>112314205</v>
      </c>
      <c r="E3377" s="1">
        <v>77</v>
      </c>
      <c r="F3377" s="1">
        <v>80</v>
      </c>
      <c r="H3377" s="1">
        <v>78.2</v>
      </c>
    </row>
    <row r="3378" s="1" customFormat="1" spans="1:8">
      <c r="A3378" s="1" t="s">
        <v>17</v>
      </c>
      <c r="B3378" s="1" t="s">
        <v>22</v>
      </c>
      <c r="C3378" s="1" t="str">
        <f t="shared" si="67"/>
        <v>020093</v>
      </c>
      <c r="D3378" s="1" t="str">
        <f>"112314206"</f>
        <v>112314206</v>
      </c>
      <c r="E3378" s="1">
        <v>59</v>
      </c>
      <c r="F3378" s="1">
        <v>62</v>
      </c>
      <c r="H3378" s="1">
        <v>60.2</v>
      </c>
    </row>
    <row r="3379" s="1" customFormat="1" spans="1:8">
      <c r="A3379" s="1" t="s">
        <v>17</v>
      </c>
      <c r="B3379" s="1" t="s">
        <v>22</v>
      </c>
      <c r="C3379" s="1" t="str">
        <f t="shared" si="67"/>
        <v>020093</v>
      </c>
      <c r="D3379" s="1" t="str">
        <f>"112314207"</f>
        <v>112314207</v>
      </c>
      <c r="E3379" s="1">
        <v>62.5</v>
      </c>
      <c r="F3379" s="1">
        <v>68</v>
      </c>
      <c r="H3379" s="1">
        <v>64.7</v>
      </c>
    </row>
    <row r="3380" s="1" customFormat="1" spans="1:8">
      <c r="A3380" s="1" t="s">
        <v>17</v>
      </c>
      <c r="B3380" s="1" t="s">
        <v>22</v>
      </c>
      <c r="C3380" s="1" t="str">
        <f t="shared" si="67"/>
        <v>020093</v>
      </c>
      <c r="D3380" s="1" t="str">
        <f>"112314208"</f>
        <v>112314208</v>
      </c>
      <c r="E3380" s="1">
        <v>93.5</v>
      </c>
      <c r="F3380" s="1">
        <v>89</v>
      </c>
      <c r="H3380" s="1">
        <v>91.7</v>
      </c>
    </row>
    <row r="3381" s="1" customFormat="1" spans="1:8">
      <c r="A3381" s="1" t="s">
        <v>17</v>
      </c>
      <c r="B3381" s="1" t="s">
        <v>22</v>
      </c>
      <c r="C3381" s="1" t="str">
        <f t="shared" si="67"/>
        <v>020093</v>
      </c>
      <c r="D3381" s="1" t="str">
        <f>"112314209"</f>
        <v>112314209</v>
      </c>
      <c r="E3381" s="1">
        <v>0</v>
      </c>
      <c r="F3381" s="1">
        <v>0</v>
      </c>
      <c r="H3381" s="1">
        <v>0</v>
      </c>
    </row>
    <row r="3382" s="1" customFormat="1" spans="1:8">
      <c r="A3382" s="1" t="s">
        <v>17</v>
      </c>
      <c r="B3382" s="1" t="s">
        <v>22</v>
      </c>
      <c r="C3382" s="1" t="str">
        <f t="shared" si="67"/>
        <v>020093</v>
      </c>
      <c r="D3382" s="1" t="str">
        <f>"112314210"</f>
        <v>112314210</v>
      </c>
      <c r="E3382" s="1">
        <v>65</v>
      </c>
      <c r="F3382" s="1">
        <v>72</v>
      </c>
      <c r="H3382" s="1">
        <v>67.8</v>
      </c>
    </row>
    <row r="3383" s="1" customFormat="1" spans="1:8">
      <c r="A3383" s="1" t="s">
        <v>17</v>
      </c>
      <c r="B3383" s="1" t="s">
        <v>22</v>
      </c>
      <c r="C3383" s="1" t="str">
        <f t="shared" si="67"/>
        <v>020093</v>
      </c>
      <c r="D3383" s="1" t="str">
        <f>"112314211"</f>
        <v>112314211</v>
      </c>
      <c r="E3383" s="1">
        <v>62</v>
      </c>
      <c r="F3383" s="1">
        <v>78</v>
      </c>
      <c r="H3383" s="1">
        <v>68.4</v>
      </c>
    </row>
    <row r="3384" s="1" customFormat="1" spans="1:8">
      <c r="A3384" s="1" t="s">
        <v>17</v>
      </c>
      <c r="B3384" s="1" t="s">
        <v>22</v>
      </c>
      <c r="C3384" s="1" t="str">
        <f t="shared" si="67"/>
        <v>020093</v>
      </c>
      <c r="D3384" s="1" t="str">
        <f>"112314212"</f>
        <v>112314212</v>
      </c>
      <c r="E3384" s="1">
        <v>97</v>
      </c>
      <c r="F3384" s="1">
        <v>93</v>
      </c>
      <c r="H3384" s="1">
        <v>95.4</v>
      </c>
    </row>
    <row r="3385" s="1" customFormat="1" spans="1:8">
      <c r="A3385" s="1" t="s">
        <v>10</v>
      </c>
      <c r="B3385" s="1" t="s">
        <v>23</v>
      </c>
      <c r="C3385" s="1" t="str">
        <f t="shared" ref="C3385:C3430" si="68">"020066"</f>
        <v>020066</v>
      </c>
      <c r="D3385" s="1" t="str">
        <f>"112314401"</f>
        <v>112314401</v>
      </c>
      <c r="E3385" s="1">
        <v>87</v>
      </c>
      <c r="F3385" s="1">
        <v>96</v>
      </c>
      <c r="H3385" s="1">
        <v>90.6</v>
      </c>
    </row>
    <row r="3386" s="1" customFormat="1" spans="1:8">
      <c r="A3386" s="1" t="s">
        <v>10</v>
      </c>
      <c r="B3386" s="1" t="s">
        <v>23</v>
      </c>
      <c r="C3386" s="1" t="str">
        <f t="shared" si="68"/>
        <v>020066</v>
      </c>
      <c r="D3386" s="1" t="str">
        <f>"112314402"</f>
        <v>112314402</v>
      </c>
      <c r="E3386" s="1">
        <v>54.5</v>
      </c>
      <c r="F3386" s="1">
        <v>32</v>
      </c>
      <c r="H3386" s="1">
        <v>45.5</v>
      </c>
    </row>
    <row r="3387" s="1" customFormat="1" spans="1:8">
      <c r="A3387" s="1" t="s">
        <v>10</v>
      </c>
      <c r="B3387" s="1" t="s">
        <v>23</v>
      </c>
      <c r="C3387" s="1" t="str">
        <f t="shared" si="68"/>
        <v>020066</v>
      </c>
      <c r="D3387" s="1" t="str">
        <f>"112314403"</f>
        <v>112314403</v>
      </c>
      <c r="E3387" s="1">
        <v>47</v>
      </c>
      <c r="F3387" s="1">
        <v>63</v>
      </c>
      <c r="H3387" s="1">
        <v>53.4</v>
      </c>
    </row>
    <row r="3388" s="1" customFormat="1" spans="1:8">
      <c r="A3388" s="1" t="s">
        <v>10</v>
      </c>
      <c r="B3388" s="1" t="s">
        <v>23</v>
      </c>
      <c r="C3388" s="1" t="str">
        <f t="shared" si="68"/>
        <v>020066</v>
      </c>
      <c r="D3388" s="1" t="str">
        <f>"112314404"</f>
        <v>112314404</v>
      </c>
      <c r="E3388" s="1">
        <v>41.5</v>
      </c>
      <c r="F3388" s="1">
        <v>59</v>
      </c>
      <c r="H3388" s="1">
        <v>48.5</v>
      </c>
    </row>
    <row r="3389" s="1" customFormat="1" spans="1:8">
      <c r="A3389" s="1" t="s">
        <v>10</v>
      </c>
      <c r="B3389" s="1" t="s">
        <v>23</v>
      </c>
      <c r="C3389" s="1" t="str">
        <f t="shared" si="68"/>
        <v>020066</v>
      </c>
      <c r="D3389" s="1" t="str">
        <f>"112314405"</f>
        <v>112314405</v>
      </c>
      <c r="E3389" s="1">
        <v>0</v>
      </c>
      <c r="F3389" s="1">
        <v>58.5</v>
      </c>
      <c r="H3389" s="1">
        <v>23.4</v>
      </c>
    </row>
    <row r="3390" s="1" customFormat="1" spans="1:8">
      <c r="A3390" s="1" t="s">
        <v>10</v>
      </c>
      <c r="B3390" s="1" t="s">
        <v>23</v>
      </c>
      <c r="C3390" s="1" t="str">
        <f t="shared" si="68"/>
        <v>020066</v>
      </c>
      <c r="D3390" s="1" t="str">
        <f>"112314406"</f>
        <v>112314406</v>
      </c>
      <c r="E3390" s="1">
        <v>49</v>
      </c>
      <c r="F3390" s="1">
        <v>41</v>
      </c>
      <c r="H3390" s="1">
        <v>45.8</v>
      </c>
    </row>
    <row r="3391" s="1" customFormat="1" spans="1:8">
      <c r="A3391" s="1" t="s">
        <v>10</v>
      </c>
      <c r="B3391" s="1" t="s">
        <v>23</v>
      </c>
      <c r="C3391" s="1" t="str">
        <f t="shared" si="68"/>
        <v>020066</v>
      </c>
      <c r="D3391" s="1" t="str">
        <f>"112314407"</f>
        <v>112314407</v>
      </c>
      <c r="E3391" s="1">
        <v>58.5</v>
      </c>
      <c r="F3391" s="1">
        <v>49</v>
      </c>
      <c r="H3391" s="1">
        <v>54.7</v>
      </c>
    </row>
    <row r="3392" s="1" customFormat="1" spans="1:8">
      <c r="A3392" s="1" t="s">
        <v>10</v>
      </c>
      <c r="B3392" s="1" t="s">
        <v>23</v>
      </c>
      <c r="C3392" s="1" t="str">
        <f t="shared" si="68"/>
        <v>020066</v>
      </c>
      <c r="D3392" s="1" t="str">
        <f>"112314408"</f>
        <v>112314408</v>
      </c>
      <c r="E3392" s="1">
        <v>0</v>
      </c>
      <c r="F3392" s="1">
        <v>0</v>
      </c>
      <c r="H3392" s="1">
        <v>0</v>
      </c>
    </row>
    <row r="3393" s="1" customFormat="1" spans="1:8">
      <c r="A3393" s="1" t="s">
        <v>10</v>
      </c>
      <c r="B3393" s="1" t="s">
        <v>23</v>
      </c>
      <c r="C3393" s="1" t="str">
        <f t="shared" si="68"/>
        <v>020066</v>
      </c>
      <c r="D3393" s="1" t="str">
        <f>"112314409"</f>
        <v>112314409</v>
      </c>
      <c r="E3393" s="1">
        <v>49.5</v>
      </c>
      <c r="F3393" s="1">
        <v>62.5</v>
      </c>
      <c r="H3393" s="1">
        <v>54.7</v>
      </c>
    </row>
    <row r="3394" s="1" customFormat="1" spans="1:8">
      <c r="A3394" s="1" t="s">
        <v>10</v>
      </c>
      <c r="B3394" s="1" t="s">
        <v>23</v>
      </c>
      <c r="C3394" s="1" t="str">
        <f t="shared" si="68"/>
        <v>020066</v>
      </c>
      <c r="D3394" s="1" t="str">
        <f>"112314410"</f>
        <v>112314410</v>
      </c>
      <c r="E3394" s="1">
        <v>61</v>
      </c>
      <c r="F3394" s="1">
        <v>58.5</v>
      </c>
      <c r="H3394" s="1">
        <v>60</v>
      </c>
    </row>
    <row r="3395" s="1" customFormat="1" spans="1:8">
      <c r="A3395" s="1" t="s">
        <v>10</v>
      </c>
      <c r="B3395" s="1" t="s">
        <v>23</v>
      </c>
      <c r="C3395" s="1" t="str">
        <f t="shared" si="68"/>
        <v>020066</v>
      </c>
      <c r="D3395" s="1" t="str">
        <f>"112314411"</f>
        <v>112314411</v>
      </c>
      <c r="E3395" s="1">
        <v>66.5</v>
      </c>
      <c r="F3395" s="1">
        <v>58</v>
      </c>
      <c r="H3395" s="1">
        <v>63.1</v>
      </c>
    </row>
    <row r="3396" s="1" customFormat="1" spans="1:8">
      <c r="A3396" s="1" t="s">
        <v>10</v>
      </c>
      <c r="B3396" s="1" t="s">
        <v>23</v>
      </c>
      <c r="C3396" s="1" t="str">
        <f t="shared" si="68"/>
        <v>020066</v>
      </c>
      <c r="D3396" s="1" t="str">
        <f>"112314412"</f>
        <v>112314412</v>
      </c>
      <c r="E3396" s="1">
        <v>66</v>
      </c>
      <c r="F3396" s="1">
        <v>62.5</v>
      </c>
      <c r="H3396" s="1">
        <v>64.6</v>
      </c>
    </row>
    <row r="3397" s="1" customFormat="1" spans="1:8">
      <c r="A3397" s="1" t="s">
        <v>10</v>
      </c>
      <c r="B3397" s="1" t="s">
        <v>23</v>
      </c>
      <c r="C3397" s="1" t="str">
        <f t="shared" si="68"/>
        <v>020066</v>
      </c>
      <c r="D3397" s="1" t="str">
        <f>"112314413"</f>
        <v>112314413</v>
      </c>
      <c r="E3397" s="1">
        <v>67</v>
      </c>
      <c r="F3397" s="1">
        <v>63.5</v>
      </c>
      <c r="H3397" s="1">
        <v>65.6</v>
      </c>
    </row>
    <row r="3398" s="1" customFormat="1" spans="1:8">
      <c r="A3398" s="1" t="s">
        <v>10</v>
      </c>
      <c r="B3398" s="1" t="s">
        <v>23</v>
      </c>
      <c r="C3398" s="1" t="str">
        <f t="shared" si="68"/>
        <v>020066</v>
      </c>
      <c r="D3398" s="1" t="str">
        <f>"112314414"</f>
        <v>112314414</v>
      </c>
      <c r="E3398" s="1">
        <v>83.5</v>
      </c>
      <c r="F3398" s="1">
        <v>0</v>
      </c>
      <c r="H3398" s="1">
        <v>50.1</v>
      </c>
    </row>
    <row r="3399" s="1" customFormat="1" spans="1:8">
      <c r="A3399" s="1" t="s">
        <v>10</v>
      </c>
      <c r="B3399" s="1" t="s">
        <v>23</v>
      </c>
      <c r="C3399" s="1" t="str">
        <f t="shared" si="68"/>
        <v>020066</v>
      </c>
      <c r="D3399" s="1" t="str">
        <f>"112314415"</f>
        <v>112314415</v>
      </c>
      <c r="E3399" s="1">
        <v>89.5</v>
      </c>
      <c r="F3399" s="1">
        <v>84.5</v>
      </c>
      <c r="H3399" s="1">
        <v>87.5</v>
      </c>
    </row>
    <row r="3400" s="1" customFormat="1" spans="1:8">
      <c r="A3400" s="1" t="s">
        <v>10</v>
      </c>
      <c r="B3400" s="1" t="s">
        <v>23</v>
      </c>
      <c r="C3400" s="1" t="str">
        <f t="shared" si="68"/>
        <v>020066</v>
      </c>
      <c r="D3400" s="1" t="str">
        <f>"112314416"</f>
        <v>112314416</v>
      </c>
      <c r="E3400" s="1">
        <v>64</v>
      </c>
      <c r="F3400" s="1">
        <v>57</v>
      </c>
      <c r="H3400" s="1">
        <v>61.2</v>
      </c>
    </row>
    <row r="3401" s="1" customFormat="1" spans="1:8">
      <c r="A3401" s="1" t="s">
        <v>10</v>
      </c>
      <c r="B3401" s="1" t="s">
        <v>23</v>
      </c>
      <c r="C3401" s="1" t="str">
        <f t="shared" si="68"/>
        <v>020066</v>
      </c>
      <c r="D3401" s="1" t="str">
        <f>"112314417"</f>
        <v>112314417</v>
      </c>
      <c r="E3401" s="1">
        <v>61</v>
      </c>
      <c r="F3401" s="1">
        <v>45</v>
      </c>
      <c r="H3401" s="1">
        <v>54.6</v>
      </c>
    </row>
    <row r="3402" s="1" customFormat="1" spans="1:8">
      <c r="A3402" s="1" t="s">
        <v>10</v>
      </c>
      <c r="B3402" s="1" t="s">
        <v>23</v>
      </c>
      <c r="C3402" s="1" t="str">
        <f t="shared" si="68"/>
        <v>020066</v>
      </c>
      <c r="D3402" s="1" t="str">
        <f>"112314418"</f>
        <v>112314418</v>
      </c>
      <c r="E3402" s="1">
        <v>72.5</v>
      </c>
      <c r="F3402" s="1">
        <v>59.5</v>
      </c>
      <c r="H3402" s="1">
        <v>67.3</v>
      </c>
    </row>
    <row r="3403" s="1" customFormat="1" spans="1:8">
      <c r="A3403" s="1" t="s">
        <v>10</v>
      </c>
      <c r="B3403" s="1" t="s">
        <v>23</v>
      </c>
      <c r="C3403" s="1" t="str">
        <f t="shared" si="68"/>
        <v>020066</v>
      </c>
      <c r="D3403" s="1" t="str">
        <f>"112314419"</f>
        <v>112314419</v>
      </c>
      <c r="E3403" s="1">
        <v>61</v>
      </c>
      <c r="F3403" s="1">
        <v>84</v>
      </c>
      <c r="H3403" s="1">
        <v>70.2</v>
      </c>
    </row>
    <row r="3404" s="1" customFormat="1" spans="1:8">
      <c r="A3404" s="1" t="s">
        <v>10</v>
      </c>
      <c r="B3404" s="1" t="s">
        <v>23</v>
      </c>
      <c r="C3404" s="1" t="str">
        <f t="shared" si="68"/>
        <v>020066</v>
      </c>
      <c r="D3404" s="1" t="str">
        <f>"112314420"</f>
        <v>112314420</v>
      </c>
      <c r="E3404" s="1">
        <v>78</v>
      </c>
      <c r="F3404" s="1">
        <v>73.5</v>
      </c>
      <c r="H3404" s="1">
        <v>76.2</v>
      </c>
    </row>
    <row r="3405" s="1" customFormat="1" spans="1:8">
      <c r="A3405" s="1" t="s">
        <v>10</v>
      </c>
      <c r="B3405" s="1" t="s">
        <v>23</v>
      </c>
      <c r="C3405" s="1" t="str">
        <f t="shared" si="68"/>
        <v>020066</v>
      </c>
      <c r="D3405" s="1" t="str">
        <f>"112314421"</f>
        <v>112314421</v>
      </c>
      <c r="E3405" s="1">
        <v>0</v>
      </c>
      <c r="F3405" s="1">
        <v>0</v>
      </c>
      <c r="H3405" s="1">
        <v>0</v>
      </c>
    </row>
    <row r="3406" s="1" customFormat="1" spans="1:8">
      <c r="A3406" s="1" t="s">
        <v>10</v>
      </c>
      <c r="B3406" s="1" t="s">
        <v>23</v>
      </c>
      <c r="C3406" s="1" t="str">
        <f t="shared" si="68"/>
        <v>020066</v>
      </c>
      <c r="D3406" s="1" t="str">
        <f>"112314422"</f>
        <v>112314422</v>
      </c>
      <c r="E3406" s="1">
        <v>0</v>
      </c>
      <c r="F3406" s="1">
        <v>0</v>
      </c>
      <c r="H3406" s="1">
        <v>0</v>
      </c>
    </row>
    <row r="3407" s="1" customFormat="1" spans="1:8">
      <c r="A3407" s="1" t="s">
        <v>10</v>
      </c>
      <c r="B3407" s="1" t="s">
        <v>23</v>
      </c>
      <c r="C3407" s="1" t="str">
        <f t="shared" si="68"/>
        <v>020066</v>
      </c>
      <c r="D3407" s="1" t="str">
        <f>"112314423"</f>
        <v>112314423</v>
      </c>
      <c r="E3407" s="1">
        <v>0</v>
      </c>
      <c r="F3407" s="1">
        <v>0</v>
      </c>
      <c r="H3407" s="1">
        <v>0</v>
      </c>
    </row>
    <row r="3408" s="1" customFormat="1" spans="1:8">
      <c r="A3408" s="1" t="s">
        <v>10</v>
      </c>
      <c r="B3408" s="1" t="s">
        <v>23</v>
      </c>
      <c r="C3408" s="1" t="str">
        <f t="shared" si="68"/>
        <v>020066</v>
      </c>
      <c r="D3408" s="1" t="str">
        <f>"112314424"</f>
        <v>112314424</v>
      </c>
      <c r="E3408" s="1">
        <v>84</v>
      </c>
      <c r="F3408" s="1">
        <v>63</v>
      </c>
      <c r="H3408" s="1">
        <v>75.6</v>
      </c>
    </row>
    <row r="3409" s="1" customFormat="1" spans="1:8">
      <c r="A3409" s="1" t="s">
        <v>10</v>
      </c>
      <c r="B3409" s="1" t="s">
        <v>23</v>
      </c>
      <c r="C3409" s="1" t="str">
        <f t="shared" si="68"/>
        <v>020066</v>
      </c>
      <c r="D3409" s="1" t="str">
        <f>"112314425"</f>
        <v>112314425</v>
      </c>
      <c r="E3409" s="1">
        <v>89</v>
      </c>
      <c r="F3409" s="1">
        <v>86</v>
      </c>
      <c r="G3409" s="1">
        <v>2</v>
      </c>
      <c r="H3409" s="1">
        <v>89.8</v>
      </c>
    </row>
    <row r="3410" s="1" customFormat="1" spans="1:8">
      <c r="A3410" s="1" t="s">
        <v>10</v>
      </c>
      <c r="B3410" s="1" t="s">
        <v>23</v>
      </c>
      <c r="C3410" s="1" t="str">
        <f t="shared" si="68"/>
        <v>020066</v>
      </c>
      <c r="D3410" s="1" t="str">
        <f>"112314426"</f>
        <v>112314426</v>
      </c>
      <c r="E3410" s="1">
        <v>51</v>
      </c>
      <c r="F3410" s="1">
        <v>40</v>
      </c>
      <c r="H3410" s="1">
        <v>46.6</v>
      </c>
    </row>
    <row r="3411" s="1" customFormat="1" spans="1:8">
      <c r="A3411" s="1" t="s">
        <v>10</v>
      </c>
      <c r="B3411" s="1" t="s">
        <v>23</v>
      </c>
      <c r="C3411" s="1" t="str">
        <f t="shared" si="68"/>
        <v>020066</v>
      </c>
      <c r="D3411" s="1" t="str">
        <f>"112314427"</f>
        <v>112314427</v>
      </c>
      <c r="E3411" s="1">
        <v>72</v>
      </c>
      <c r="F3411" s="1">
        <v>64</v>
      </c>
      <c r="H3411" s="1">
        <v>68.8</v>
      </c>
    </row>
    <row r="3412" s="1" customFormat="1" spans="1:8">
      <c r="A3412" s="1" t="s">
        <v>10</v>
      </c>
      <c r="B3412" s="1" t="s">
        <v>23</v>
      </c>
      <c r="C3412" s="1" t="str">
        <f t="shared" si="68"/>
        <v>020066</v>
      </c>
      <c r="D3412" s="1" t="str">
        <f>"112314428"</f>
        <v>112314428</v>
      </c>
      <c r="E3412" s="1">
        <v>80</v>
      </c>
      <c r="F3412" s="1">
        <v>61.5</v>
      </c>
      <c r="H3412" s="1">
        <v>72.6</v>
      </c>
    </row>
    <row r="3413" s="1" customFormat="1" spans="1:8">
      <c r="A3413" s="1" t="s">
        <v>10</v>
      </c>
      <c r="B3413" s="1" t="s">
        <v>23</v>
      </c>
      <c r="C3413" s="1" t="str">
        <f t="shared" si="68"/>
        <v>020066</v>
      </c>
      <c r="D3413" s="1" t="str">
        <f>"112314429"</f>
        <v>112314429</v>
      </c>
      <c r="E3413" s="1">
        <v>86.5</v>
      </c>
      <c r="F3413" s="1">
        <v>86.5</v>
      </c>
      <c r="H3413" s="1">
        <v>86.5</v>
      </c>
    </row>
    <row r="3414" s="1" customFormat="1" spans="1:8">
      <c r="A3414" s="1" t="s">
        <v>10</v>
      </c>
      <c r="B3414" s="1" t="s">
        <v>23</v>
      </c>
      <c r="C3414" s="1" t="str">
        <f t="shared" si="68"/>
        <v>020066</v>
      </c>
      <c r="D3414" s="1" t="str">
        <f>"112314430"</f>
        <v>112314430</v>
      </c>
      <c r="E3414" s="1">
        <v>0</v>
      </c>
      <c r="F3414" s="1">
        <v>0</v>
      </c>
      <c r="H3414" s="1">
        <v>0</v>
      </c>
    </row>
    <row r="3415" s="1" customFormat="1" spans="1:8">
      <c r="A3415" s="1" t="s">
        <v>10</v>
      </c>
      <c r="B3415" s="1" t="s">
        <v>23</v>
      </c>
      <c r="C3415" s="1" t="str">
        <f t="shared" si="68"/>
        <v>020066</v>
      </c>
      <c r="D3415" s="1" t="str">
        <f>"112314501"</f>
        <v>112314501</v>
      </c>
      <c r="E3415" s="1">
        <v>55.5</v>
      </c>
      <c r="F3415" s="1">
        <v>54.5</v>
      </c>
      <c r="H3415" s="1">
        <v>55.1</v>
      </c>
    </row>
    <row r="3416" s="1" customFormat="1" spans="1:8">
      <c r="A3416" s="1" t="s">
        <v>10</v>
      </c>
      <c r="B3416" s="1" t="s">
        <v>23</v>
      </c>
      <c r="C3416" s="1" t="str">
        <f t="shared" si="68"/>
        <v>020066</v>
      </c>
      <c r="D3416" s="1" t="str">
        <f>"112314502"</f>
        <v>112314502</v>
      </c>
      <c r="E3416" s="1">
        <v>49</v>
      </c>
      <c r="F3416" s="1">
        <v>56.5</v>
      </c>
      <c r="G3416" s="1">
        <v>2</v>
      </c>
      <c r="H3416" s="1">
        <v>54</v>
      </c>
    </row>
    <row r="3417" s="1" customFormat="1" spans="1:8">
      <c r="A3417" s="1" t="s">
        <v>10</v>
      </c>
      <c r="B3417" s="1" t="s">
        <v>23</v>
      </c>
      <c r="C3417" s="1" t="str">
        <f t="shared" si="68"/>
        <v>020066</v>
      </c>
      <c r="D3417" s="1" t="str">
        <f>"112314503"</f>
        <v>112314503</v>
      </c>
      <c r="E3417" s="1">
        <v>50</v>
      </c>
      <c r="F3417" s="1">
        <v>56</v>
      </c>
      <c r="H3417" s="1">
        <v>52.4</v>
      </c>
    </row>
    <row r="3418" s="1" customFormat="1" spans="1:8">
      <c r="A3418" s="1" t="s">
        <v>10</v>
      </c>
      <c r="B3418" s="1" t="s">
        <v>23</v>
      </c>
      <c r="C3418" s="1" t="str">
        <f t="shared" si="68"/>
        <v>020066</v>
      </c>
      <c r="D3418" s="1" t="str">
        <f>"112314504"</f>
        <v>112314504</v>
      </c>
      <c r="E3418" s="1">
        <v>0</v>
      </c>
      <c r="F3418" s="1">
        <v>0</v>
      </c>
      <c r="H3418" s="1">
        <v>0</v>
      </c>
    </row>
    <row r="3419" s="1" customFormat="1" spans="1:8">
      <c r="A3419" s="1" t="s">
        <v>10</v>
      </c>
      <c r="B3419" s="1" t="s">
        <v>23</v>
      </c>
      <c r="C3419" s="1" t="str">
        <f t="shared" si="68"/>
        <v>020066</v>
      </c>
      <c r="D3419" s="1" t="str">
        <f>"112314505"</f>
        <v>112314505</v>
      </c>
      <c r="E3419" s="1">
        <v>0</v>
      </c>
      <c r="F3419" s="1">
        <v>0</v>
      </c>
      <c r="H3419" s="1">
        <v>0</v>
      </c>
    </row>
    <row r="3420" s="1" customFormat="1" spans="1:8">
      <c r="A3420" s="1" t="s">
        <v>10</v>
      </c>
      <c r="B3420" s="1" t="s">
        <v>23</v>
      </c>
      <c r="C3420" s="1" t="str">
        <f t="shared" si="68"/>
        <v>020066</v>
      </c>
      <c r="D3420" s="1" t="str">
        <f>"112314506"</f>
        <v>112314506</v>
      </c>
      <c r="E3420" s="1">
        <v>73</v>
      </c>
      <c r="F3420" s="1">
        <v>71.5</v>
      </c>
      <c r="H3420" s="1">
        <v>72.4</v>
      </c>
    </row>
    <row r="3421" s="1" customFormat="1" spans="1:8">
      <c r="A3421" s="1" t="s">
        <v>10</v>
      </c>
      <c r="B3421" s="1" t="s">
        <v>23</v>
      </c>
      <c r="C3421" s="1" t="str">
        <f t="shared" si="68"/>
        <v>020066</v>
      </c>
      <c r="D3421" s="1" t="str">
        <f>"112314507"</f>
        <v>112314507</v>
      </c>
      <c r="E3421" s="1">
        <v>72.5</v>
      </c>
      <c r="F3421" s="1">
        <v>72</v>
      </c>
      <c r="H3421" s="1">
        <v>72.3</v>
      </c>
    </row>
    <row r="3422" s="1" customFormat="1" spans="1:8">
      <c r="A3422" s="1" t="s">
        <v>10</v>
      </c>
      <c r="B3422" s="1" t="s">
        <v>23</v>
      </c>
      <c r="C3422" s="1" t="str">
        <f t="shared" si="68"/>
        <v>020066</v>
      </c>
      <c r="D3422" s="1" t="str">
        <f>"112314508"</f>
        <v>112314508</v>
      </c>
      <c r="E3422" s="1">
        <v>100</v>
      </c>
      <c r="F3422" s="1">
        <v>86.5</v>
      </c>
      <c r="H3422" s="1">
        <v>94.6</v>
      </c>
    </row>
    <row r="3423" s="1" customFormat="1" spans="1:8">
      <c r="A3423" s="1" t="s">
        <v>10</v>
      </c>
      <c r="B3423" s="1" t="s">
        <v>23</v>
      </c>
      <c r="C3423" s="1" t="str">
        <f t="shared" si="68"/>
        <v>020066</v>
      </c>
      <c r="D3423" s="1" t="str">
        <f>"112314509"</f>
        <v>112314509</v>
      </c>
      <c r="E3423" s="1">
        <v>71.5</v>
      </c>
      <c r="F3423" s="1">
        <v>51</v>
      </c>
      <c r="H3423" s="1">
        <v>63.3</v>
      </c>
    </row>
    <row r="3424" s="1" customFormat="1" spans="1:8">
      <c r="A3424" s="1" t="s">
        <v>10</v>
      </c>
      <c r="B3424" s="1" t="s">
        <v>23</v>
      </c>
      <c r="C3424" s="1" t="str">
        <f t="shared" si="68"/>
        <v>020066</v>
      </c>
      <c r="D3424" s="1" t="str">
        <f>"112314510"</f>
        <v>112314510</v>
      </c>
      <c r="E3424" s="1">
        <v>80.5</v>
      </c>
      <c r="F3424" s="1">
        <v>69.5</v>
      </c>
      <c r="H3424" s="1">
        <v>76.1</v>
      </c>
    </row>
    <row r="3425" s="1" customFormat="1" spans="1:8">
      <c r="A3425" s="1" t="s">
        <v>10</v>
      </c>
      <c r="B3425" s="1" t="s">
        <v>23</v>
      </c>
      <c r="C3425" s="1" t="str">
        <f t="shared" si="68"/>
        <v>020066</v>
      </c>
      <c r="D3425" s="1" t="str">
        <f>"112314511"</f>
        <v>112314511</v>
      </c>
      <c r="E3425" s="1">
        <v>72.5</v>
      </c>
      <c r="F3425" s="1">
        <v>68.5</v>
      </c>
      <c r="H3425" s="1">
        <v>70.9</v>
      </c>
    </row>
    <row r="3426" s="1" customFormat="1" spans="1:8">
      <c r="A3426" s="1" t="s">
        <v>10</v>
      </c>
      <c r="B3426" s="1" t="s">
        <v>23</v>
      </c>
      <c r="C3426" s="1" t="str">
        <f t="shared" si="68"/>
        <v>020066</v>
      </c>
      <c r="D3426" s="1" t="str">
        <f>"112314512"</f>
        <v>112314512</v>
      </c>
      <c r="E3426" s="1">
        <v>66.5</v>
      </c>
      <c r="F3426" s="1">
        <v>62.5</v>
      </c>
      <c r="H3426" s="1">
        <v>64.9</v>
      </c>
    </row>
    <row r="3427" s="1" customFormat="1" spans="1:8">
      <c r="A3427" s="1" t="s">
        <v>10</v>
      </c>
      <c r="B3427" s="1" t="s">
        <v>23</v>
      </c>
      <c r="C3427" s="1" t="str">
        <f t="shared" si="68"/>
        <v>020066</v>
      </c>
      <c r="D3427" s="1" t="str">
        <f>"112314513"</f>
        <v>112314513</v>
      </c>
      <c r="E3427" s="1">
        <v>0</v>
      </c>
      <c r="F3427" s="1">
        <v>0</v>
      </c>
      <c r="H3427" s="1">
        <v>0</v>
      </c>
    </row>
    <row r="3428" s="1" customFormat="1" spans="1:8">
      <c r="A3428" s="1" t="s">
        <v>10</v>
      </c>
      <c r="B3428" s="1" t="s">
        <v>23</v>
      </c>
      <c r="C3428" s="1" t="str">
        <f t="shared" si="68"/>
        <v>020066</v>
      </c>
      <c r="D3428" s="1" t="str">
        <f>"112314514"</f>
        <v>112314514</v>
      </c>
      <c r="E3428" s="1">
        <v>0</v>
      </c>
      <c r="F3428" s="1">
        <v>0</v>
      </c>
      <c r="H3428" s="1">
        <v>0</v>
      </c>
    </row>
    <row r="3429" s="1" customFormat="1" spans="1:8">
      <c r="A3429" s="1" t="s">
        <v>10</v>
      </c>
      <c r="B3429" s="1" t="s">
        <v>23</v>
      </c>
      <c r="C3429" s="1" t="str">
        <f t="shared" si="68"/>
        <v>020066</v>
      </c>
      <c r="D3429" s="1" t="str">
        <f>"112314515"</f>
        <v>112314515</v>
      </c>
      <c r="E3429" s="1">
        <v>60.5</v>
      </c>
      <c r="F3429" s="1">
        <v>62</v>
      </c>
      <c r="H3429" s="1">
        <v>61.1</v>
      </c>
    </row>
    <row r="3430" s="1" customFormat="1" spans="1:8">
      <c r="A3430" s="1" t="s">
        <v>10</v>
      </c>
      <c r="B3430" s="1" t="s">
        <v>23</v>
      </c>
      <c r="C3430" s="1" t="str">
        <f t="shared" si="68"/>
        <v>020066</v>
      </c>
      <c r="D3430" s="1" t="str">
        <f>"112314516"</f>
        <v>112314516</v>
      </c>
      <c r="E3430" s="1">
        <v>87.5</v>
      </c>
      <c r="F3430" s="1">
        <v>71.5</v>
      </c>
      <c r="H3430" s="1">
        <v>81.1</v>
      </c>
    </row>
    <row r="3431" s="1" customFormat="1" spans="1:8">
      <c r="A3431" s="1" t="s">
        <v>12</v>
      </c>
      <c r="B3431" s="1" t="s">
        <v>23</v>
      </c>
      <c r="C3431" s="1" t="str">
        <f t="shared" ref="C3431:C3483" si="69">"020075"</f>
        <v>020075</v>
      </c>
      <c r="D3431" s="1" t="str">
        <f>"112314517"</f>
        <v>112314517</v>
      </c>
      <c r="E3431" s="1">
        <v>0</v>
      </c>
      <c r="F3431" s="1">
        <v>0</v>
      </c>
      <c r="H3431" s="1">
        <v>0</v>
      </c>
    </row>
    <row r="3432" s="1" customFormat="1" spans="1:8">
      <c r="A3432" s="1" t="s">
        <v>12</v>
      </c>
      <c r="B3432" s="1" t="s">
        <v>23</v>
      </c>
      <c r="C3432" s="1" t="str">
        <f t="shared" si="69"/>
        <v>020075</v>
      </c>
      <c r="D3432" s="1" t="str">
        <f>"112314518"</f>
        <v>112314518</v>
      </c>
      <c r="E3432" s="1">
        <v>95.5</v>
      </c>
      <c r="F3432" s="1">
        <v>79</v>
      </c>
      <c r="H3432" s="1">
        <v>88.9</v>
      </c>
    </row>
    <row r="3433" s="1" customFormat="1" spans="1:8">
      <c r="A3433" s="1" t="s">
        <v>12</v>
      </c>
      <c r="B3433" s="1" t="s">
        <v>23</v>
      </c>
      <c r="C3433" s="1" t="str">
        <f t="shared" si="69"/>
        <v>020075</v>
      </c>
      <c r="D3433" s="1" t="str">
        <f>"112314519"</f>
        <v>112314519</v>
      </c>
      <c r="E3433" s="1">
        <v>63</v>
      </c>
      <c r="F3433" s="1">
        <v>61</v>
      </c>
      <c r="H3433" s="1">
        <v>62.2</v>
      </c>
    </row>
    <row r="3434" s="1" customFormat="1" spans="1:8">
      <c r="A3434" s="1" t="s">
        <v>12</v>
      </c>
      <c r="B3434" s="1" t="s">
        <v>23</v>
      </c>
      <c r="C3434" s="1" t="str">
        <f t="shared" si="69"/>
        <v>020075</v>
      </c>
      <c r="D3434" s="1" t="str">
        <f>"112314520"</f>
        <v>112314520</v>
      </c>
      <c r="E3434" s="1">
        <v>0</v>
      </c>
      <c r="F3434" s="1">
        <v>0</v>
      </c>
      <c r="H3434" s="1">
        <v>0</v>
      </c>
    </row>
    <row r="3435" s="1" customFormat="1" spans="1:8">
      <c r="A3435" s="1" t="s">
        <v>12</v>
      </c>
      <c r="B3435" s="1" t="s">
        <v>23</v>
      </c>
      <c r="C3435" s="1" t="str">
        <f t="shared" si="69"/>
        <v>020075</v>
      </c>
      <c r="D3435" s="1" t="str">
        <f>"112314521"</f>
        <v>112314521</v>
      </c>
      <c r="E3435" s="1">
        <v>92</v>
      </c>
      <c r="F3435" s="1">
        <v>82</v>
      </c>
      <c r="H3435" s="1">
        <v>88</v>
      </c>
    </row>
    <row r="3436" s="1" customFormat="1" spans="1:8">
      <c r="A3436" s="1" t="s">
        <v>12</v>
      </c>
      <c r="B3436" s="1" t="s">
        <v>23</v>
      </c>
      <c r="C3436" s="1" t="str">
        <f t="shared" si="69"/>
        <v>020075</v>
      </c>
      <c r="D3436" s="1" t="str">
        <f>"112314522"</f>
        <v>112314522</v>
      </c>
      <c r="E3436" s="1">
        <v>67</v>
      </c>
      <c r="F3436" s="1">
        <v>62.5</v>
      </c>
      <c r="H3436" s="1">
        <v>65.2</v>
      </c>
    </row>
    <row r="3437" s="1" customFormat="1" spans="1:8">
      <c r="A3437" s="1" t="s">
        <v>12</v>
      </c>
      <c r="B3437" s="1" t="s">
        <v>23</v>
      </c>
      <c r="C3437" s="1" t="str">
        <f t="shared" si="69"/>
        <v>020075</v>
      </c>
      <c r="D3437" s="1" t="str">
        <f>"112314523"</f>
        <v>112314523</v>
      </c>
      <c r="E3437" s="1">
        <v>55</v>
      </c>
      <c r="F3437" s="1">
        <v>65</v>
      </c>
      <c r="H3437" s="1">
        <v>59</v>
      </c>
    </row>
    <row r="3438" s="1" customFormat="1" spans="1:8">
      <c r="A3438" s="1" t="s">
        <v>12</v>
      </c>
      <c r="B3438" s="1" t="s">
        <v>23</v>
      </c>
      <c r="C3438" s="1" t="str">
        <f t="shared" si="69"/>
        <v>020075</v>
      </c>
      <c r="D3438" s="1" t="str">
        <f>"112314524"</f>
        <v>112314524</v>
      </c>
      <c r="E3438" s="1">
        <v>90.5</v>
      </c>
      <c r="F3438" s="1">
        <v>90.5</v>
      </c>
      <c r="H3438" s="1">
        <v>90.5</v>
      </c>
    </row>
    <row r="3439" s="1" customFormat="1" spans="1:8">
      <c r="A3439" s="1" t="s">
        <v>12</v>
      </c>
      <c r="B3439" s="1" t="s">
        <v>23</v>
      </c>
      <c r="C3439" s="1" t="str">
        <f t="shared" si="69"/>
        <v>020075</v>
      </c>
      <c r="D3439" s="1" t="str">
        <f>"112314525"</f>
        <v>112314525</v>
      </c>
      <c r="E3439" s="1">
        <v>73</v>
      </c>
      <c r="F3439" s="1">
        <v>74.5</v>
      </c>
      <c r="H3439" s="1">
        <v>73.6</v>
      </c>
    </row>
    <row r="3440" s="1" customFormat="1" spans="1:8">
      <c r="A3440" s="1" t="s">
        <v>12</v>
      </c>
      <c r="B3440" s="1" t="s">
        <v>23</v>
      </c>
      <c r="C3440" s="1" t="str">
        <f t="shared" si="69"/>
        <v>020075</v>
      </c>
      <c r="D3440" s="1" t="str">
        <f>"112314526"</f>
        <v>112314526</v>
      </c>
      <c r="E3440" s="1">
        <v>60</v>
      </c>
      <c r="F3440" s="1">
        <v>60</v>
      </c>
      <c r="H3440" s="1">
        <v>60</v>
      </c>
    </row>
    <row r="3441" s="1" customFormat="1" spans="1:8">
      <c r="A3441" s="1" t="s">
        <v>12</v>
      </c>
      <c r="B3441" s="1" t="s">
        <v>23</v>
      </c>
      <c r="C3441" s="1" t="str">
        <f t="shared" si="69"/>
        <v>020075</v>
      </c>
      <c r="D3441" s="1" t="str">
        <f>"112314527"</f>
        <v>112314527</v>
      </c>
      <c r="E3441" s="1">
        <v>61</v>
      </c>
      <c r="F3441" s="1">
        <v>63.5</v>
      </c>
      <c r="H3441" s="1">
        <v>62</v>
      </c>
    </row>
    <row r="3442" s="1" customFormat="1" spans="1:8">
      <c r="A3442" s="1" t="s">
        <v>12</v>
      </c>
      <c r="B3442" s="1" t="s">
        <v>23</v>
      </c>
      <c r="C3442" s="1" t="str">
        <f t="shared" si="69"/>
        <v>020075</v>
      </c>
      <c r="D3442" s="1" t="str">
        <f>"112314528"</f>
        <v>112314528</v>
      </c>
      <c r="E3442" s="1">
        <v>75.5</v>
      </c>
      <c r="F3442" s="1">
        <v>66</v>
      </c>
      <c r="H3442" s="1">
        <v>71.7</v>
      </c>
    </row>
    <row r="3443" s="1" customFormat="1" spans="1:8">
      <c r="A3443" s="1" t="s">
        <v>12</v>
      </c>
      <c r="B3443" s="1" t="s">
        <v>23</v>
      </c>
      <c r="C3443" s="1" t="str">
        <f t="shared" si="69"/>
        <v>020075</v>
      </c>
      <c r="D3443" s="1" t="str">
        <f>"112314529"</f>
        <v>112314529</v>
      </c>
      <c r="E3443" s="1">
        <v>69</v>
      </c>
      <c r="F3443" s="1">
        <v>64.5</v>
      </c>
      <c r="H3443" s="1">
        <v>67.2</v>
      </c>
    </row>
    <row r="3444" s="1" customFormat="1" spans="1:8">
      <c r="A3444" s="1" t="s">
        <v>12</v>
      </c>
      <c r="B3444" s="1" t="s">
        <v>23</v>
      </c>
      <c r="C3444" s="1" t="str">
        <f t="shared" si="69"/>
        <v>020075</v>
      </c>
      <c r="D3444" s="1" t="str">
        <f>"112314530"</f>
        <v>112314530</v>
      </c>
      <c r="E3444" s="1">
        <v>52.5</v>
      </c>
      <c r="F3444" s="1">
        <v>52</v>
      </c>
      <c r="H3444" s="1">
        <v>52.3</v>
      </c>
    </row>
    <row r="3445" s="1" customFormat="1" spans="1:8">
      <c r="A3445" s="1" t="s">
        <v>12</v>
      </c>
      <c r="B3445" s="1" t="s">
        <v>23</v>
      </c>
      <c r="C3445" s="1" t="str">
        <f t="shared" si="69"/>
        <v>020075</v>
      </c>
      <c r="D3445" s="1" t="str">
        <f>"112314601"</f>
        <v>112314601</v>
      </c>
      <c r="E3445" s="1">
        <v>0</v>
      </c>
      <c r="F3445" s="1">
        <v>0</v>
      </c>
      <c r="H3445" s="1">
        <v>0</v>
      </c>
    </row>
    <row r="3446" s="1" customFormat="1" spans="1:8">
      <c r="A3446" s="1" t="s">
        <v>12</v>
      </c>
      <c r="B3446" s="1" t="s">
        <v>23</v>
      </c>
      <c r="C3446" s="1" t="str">
        <f t="shared" si="69"/>
        <v>020075</v>
      </c>
      <c r="D3446" s="1" t="str">
        <f>"112314602"</f>
        <v>112314602</v>
      </c>
      <c r="E3446" s="1">
        <v>65</v>
      </c>
      <c r="F3446" s="1">
        <v>61.5</v>
      </c>
      <c r="H3446" s="1">
        <v>63.6</v>
      </c>
    </row>
    <row r="3447" s="1" customFormat="1" spans="1:8">
      <c r="A3447" s="1" t="s">
        <v>12</v>
      </c>
      <c r="B3447" s="1" t="s">
        <v>23</v>
      </c>
      <c r="C3447" s="1" t="str">
        <f t="shared" si="69"/>
        <v>020075</v>
      </c>
      <c r="D3447" s="1" t="str">
        <f>"112314603"</f>
        <v>112314603</v>
      </c>
      <c r="E3447" s="1">
        <v>51.5</v>
      </c>
      <c r="F3447" s="1">
        <v>43</v>
      </c>
      <c r="H3447" s="1">
        <v>48.1</v>
      </c>
    </row>
    <row r="3448" s="1" customFormat="1" spans="1:8">
      <c r="A3448" s="1" t="s">
        <v>12</v>
      </c>
      <c r="B3448" s="1" t="s">
        <v>23</v>
      </c>
      <c r="C3448" s="1" t="str">
        <f t="shared" si="69"/>
        <v>020075</v>
      </c>
      <c r="D3448" s="1" t="str">
        <f>"112314604"</f>
        <v>112314604</v>
      </c>
      <c r="E3448" s="1">
        <v>77</v>
      </c>
      <c r="F3448" s="1">
        <v>85.5</v>
      </c>
      <c r="H3448" s="1">
        <v>80.4</v>
      </c>
    </row>
    <row r="3449" s="1" customFormat="1" spans="1:8">
      <c r="A3449" s="1" t="s">
        <v>12</v>
      </c>
      <c r="B3449" s="1" t="s">
        <v>23</v>
      </c>
      <c r="C3449" s="1" t="str">
        <f t="shared" si="69"/>
        <v>020075</v>
      </c>
      <c r="D3449" s="1" t="str">
        <f>"112314605"</f>
        <v>112314605</v>
      </c>
      <c r="E3449" s="1">
        <v>56</v>
      </c>
      <c r="F3449" s="1">
        <v>44</v>
      </c>
      <c r="H3449" s="1">
        <v>51.2</v>
      </c>
    </row>
    <row r="3450" s="1" customFormat="1" spans="1:8">
      <c r="A3450" s="1" t="s">
        <v>12</v>
      </c>
      <c r="B3450" s="1" t="s">
        <v>23</v>
      </c>
      <c r="C3450" s="1" t="str">
        <f t="shared" si="69"/>
        <v>020075</v>
      </c>
      <c r="D3450" s="1" t="str">
        <f>"112314606"</f>
        <v>112314606</v>
      </c>
      <c r="E3450" s="1">
        <v>50</v>
      </c>
      <c r="F3450" s="1">
        <v>44</v>
      </c>
      <c r="H3450" s="1">
        <v>47.6</v>
      </c>
    </row>
    <row r="3451" s="1" customFormat="1" spans="1:8">
      <c r="A3451" s="1" t="s">
        <v>12</v>
      </c>
      <c r="B3451" s="1" t="s">
        <v>23</v>
      </c>
      <c r="C3451" s="1" t="str">
        <f t="shared" si="69"/>
        <v>020075</v>
      </c>
      <c r="D3451" s="1" t="str">
        <f>"112314607"</f>
        <v>112314607</v>
      </c>
      <c r="E3451" s="1">
        <v>69</v>
      </c>
      <c r="F3451" s="1">
        <v>60.5</v>
      </c>
      <c r="H3451" s="1">
        <v>65.6</v>
      </c>
    </row>
    <row r="3452" s="1" customFormat="1" spans="1:8">
      <c r="A3452" s="1" t="s">
        <v>12</v>
      </c>
      <c r="B3452" s="1" t="s">
        <v>23</v>
      </c>
      <c r="C3452" s="1" t="str">
        <f t="shared" si="69"/>
        <v>020075</v>
      </c>
      <c r="D3452" s="1" t="str">
        <f>"112314608"</f>
        <v>112314608</v>
      </c>
      <c r="E3452" s="1">
        <v>36.5</v>
      </c>
      <c r="F3452" s="1">
        <v>38.5</v>
      </c>
      <c r="H3452" s="1">
        <v>37.3</v>
      </c>
    </row>
    <row r="3453" s="1" customFormat="1" spans="1:8">
      <c r="A3453" s="1" t="s">
        <v>12</v>
      </c>
      <c r="B3453" s="1" t="s">
        <v>23</v>
      </c>
      <c r="C3453" s="1" t="str">
        <f t="shared" si="69"/>
        <v>020075</v>
      </c>
      <c r="D3453" s="1" t="str">
        <f>"112314609"</f>
        <v>112314609</v>
      </c>
      <c r="E3453" s="1">
        <v>0</v>
      </c>
      <c r="F3453" s="1">
        <v>0</v>
      </c>
      <c r="H3453" s="1">
        <v>0</v>
      </c>
    </row>
    <row r="3454" s="1" customFormat="1" spans="1:8">
      <c r="A3454" s="1" t="s">
        <v>12</v>
      </c>
      <c r="B3454" s="1" t="s">
        <v>23</v>
      </c>
      <c r="C3454" s="1" t="str">
        <f t="shared" si="69"/>
        <v>020075</v>
      </c>
      <c r="D3454" s="1" t="str">
        <f>"112314610"</f>
        <v>112314610</v>
      </c>
      <c r="E3454" s="1">
        <v>71</v>
      </c>
      <c r="F3454" s="1">
        <v>68.5</v>
      </c>
      <c r="H3454" s="1">
        <v>70</v>
      </c>
    </row>
    <row r="3455" s="1" customFormat="1" spans="1:8">
      <c r="A3455" s="1" t="s">
        <v>12</v>
      </c>
      <c r="B3455" s="1" t="s">
        <v>23</v>
      </c>
      <c r="C3455" s="1" t="str">
        <f t="shared" si="69"/>
        <v>020075</v>
      </c>
      <c r="D3455" s="1" t="str">
        <f>"112314611"</f>
        <v>112314611</v>
      </c>
      <c r="E3455" s="1">
        <v>84.5</v>
      </c>
      <c r="F3455" s="1">
        <v>81</v>
      </c>
      <c r="H3455" s="1">
        <v>83.1</v>
      </c>
    </row>
    <row r="3456" s="1" customFormat="1" spans="1:8">
      <c r="A3456" s="1" t="s">
        <v>12</v>
      </c>
      <c r="B3456" s="1" t="s">
        <v>23</v>
      </c>
      <c r="C3456" s="1" t="str">
        <f t="shared" si="69"/>
        <v>020075</v>
      </c>
      <c r="D3456" s="1" t="str">
        <f>"112314612"</f>
        <v>112314612</v>
      </c>
      <c r="E3456" s="1">
        <v>70</v>
      </c>
      <c r="F3456" s="1">
        <v>65</v>
      </c>
      <c r="H3456" s="1">
        <v>68</v>
      </c>
    </row>
    <row r="3457" s="1" customFormat="1" spans="1:8">
      <c r="A3457" s="1" t="s">
        <v>12</v>
      </c>
      <c r="B3457" s="1" t="s">
        <v>23</v>
      </c>
      <c r="C3457" s="1" t="str">
        <f t="shared" si="69"/>
        <v>020075</v>
      </c>
      <c r="D3457" s="1" t="str">
        <f>"112314613"</f>
        <v>112314613</v>
      </c>
      <c r="E3457" s="1">
        <v>65.5</v>
      </c>
      <c r="F3457" s="1">
        <v>56</v>
      </c>
      <c r="H3457" s="1">
        <v>61.7</v>
      </c>
    </row>
    <row r="3458" s="1" customFormat="1" spans="1:8">
      <c r="A3458" s="1" t="s">
        <v>12</v>
      </c>
      <c r="B3458" s="1" t="s">
        <v>23</v>
      </c>
      <c r="C3458" s="1" t="str">
        <f t="shared" si="69"/>
        <v>020075</v>
      </c>
      <c r="D3458" s="1" t="str">
        <f>"112314614"</f>
        <v>112314614</v>
      </c>
      <c r="E3458" s="1">
        <v>71.5</v>
      </c>
      <c r="F3458" s="1">
        <v>58</v>
      </c>
      <c r="H3458" s="1">
        <v>66.1</v>
      </c>
    </row>
    <row r="3459" s="1" customFormat="1" spans="1:8">
      <c r="A3459" s="1" t="s">
        <v>12</v>
      </c>
      <c r="B3459" s="1" t="s">
        <v>23</v>
      </c>
      <c r="C3459" s="1" t="str">
        <f t="shared" si="69"/>
        <v>020075</v>
      </c>
      <c r="D3459" s="1" t="str">
        <f>"112314615"</f>
        <v>112314615</v>
      </c>
      <c r="E3459" s="1">
        <v>85.5</v>
      </c>
      <c r="F3459" s="1">
        <v>70.5</v>
      </c>
      <c r="H3459" s="1">
        <v>79.5</v>
      </c>
    </row>
    <row r="3460" s="1" customFormat="1" spans="1:8">
      <c r="A3460" s="1" t="s">
        <v>12</v>
      </c>
      <c r="B3460" s="1" t="s">
        <v>23</v>
      </c>
      <c r="C3460" s="1" t="str">
        <f t="shared" si="69"/>
        <v>020075</v>
      </c>
      <c r="D3460" s="1" t="str">
        <f>"112314616"</f>
        <v>112314616</v>
      </c>
      <c r="E3460" s="1">
        <v>71</v>
      </c>
      <c r="F3460" s="1">
        <v>71.5</v>
      </c>
      <c r="H3460" s="1">
        <v>71.2</v>
      </c>
    </row>
    <row r="3461" s="1" customFormat="1" spans="1:8">
      <c r="A3461" s="1" t="s">
        <v>12</v>
      </c>
      <c r="B3461" s="1" t="s">
        <v>23</v>
      </c>
      <c r="C3461" s="1" t="str">
        <f t="shared" si="69"/>
        <v>020075</v>
      </c>
      <c r="D3461" s="1" t="str">
        <f>"112314617"</f>
        <v>112314617</v>
      </c>
      <c r="E3461" s="1">
        <v>0</v>
      </c>
      <c r="F3461" s="1">
        <v>0</v>
      </c>
      <c r="H3461" s="1">
        <v>0</v>
      </c>
    </row>
    <row r="3462" s="1" customFormat="1" spans="1:8">
      <c r="A3462" s="1" t="s">
        <v>12</v>
      </c>
      <c r="B3462" s="1" t="s">
        <v>23</v>
      </c>
      <c r="C3462" s="1" t="str">
        <f t="shared" si="69"/>
        <v>020075</v>
      </c>
      <c r="D3462" s="1" t="str">
        <f>"112314618"</f>
        <v>112314618</v>
      </c>
      <c r="E3462" s="1">
        <v>0</v>
      </c>
      <c r="F3462" s="1">
        <v>0</v>
      </c>
      <c r="H3462" s="1">
        <v>0</v>
      </c>
    </row>
    <row r="3463" s="1" customFormat="1" spans="1:8">
      <c r="A3463" s="1" t="s">
        <v>12</v>
      </c>
      <c r="B3463" s="1" t="s">
        <v>23</v>
      </c>
      <c r="C3463" s="1" t="str">
        <f t="shared" si="69"/>
        <v>020075</v>
      </c>
      <c r="D3463" s="1" t="str">
        <f>"112314619"</f>
        <v>112314619</v>
      </c>
      <c r="E3463" s="1">
        <v>74</v>
      </c>
      <c r="F3463" s="1">
        <v>79.5</v>
      </c>
      <c r="H3463" s="1">
        <v>76.2</v>
      </c>
    </row>
    <row r="3464" s="1" customFormat="1" spans="1:8">
      <c r="A3464" s="1" t="s">
        <v>12</v>
      </c>
      <c r="B3464" s="1" t="s">
        <v>23</v>
      </c>
      <c r="C3464" s="1" t="str">
        <f t="shared" si="69"/>
        <v>020075</v>
      </c>
      <c r="D3464" s="1" t="str">
        <f>"112314620"</f>
        <v>112314620</v>
      </c>
      <c r="E3464" s="1">
        <v>82</v>
      </c>
      <c r="F3464" s="1">
        <v>74</v>
      </c>
      <c r="H3464" s="1">
        <v>78.8</v>
      </c>
    </row>
    <row r="3465" s="1" customFormat="1" spans="1:8">
      <c r="A3465" s="1" t="s">
        <v>12</v>
      </c>
      <c r="B3465" s="1" t="s">
        <v>23</v>
      </c>
      <c r="C3465" s="1" t="str">
        <f t="shared" si="69"/>
        <v>020075</v>
      </c>
      <c r="D3465" s="1" t="str">
        <f>"112314621"</f>
        <v>112314621</v>
      </c>
      <c r="E3465" s="1">
        <v>72.5</v>
      </c>
      <c r="F3465" s="1">
        <v>62.5</v>
      </c>
      <c r="H3465" s="1">
        <v>68.5</v>
      </c>
    </row>
    <row r="3466" s="1" customFormat="1" spans="1:8">
      <c r="A3466" s="1" t="s">
        <v>12</v>
      </c>
      <c r="B3466" s="1" t="s">
        <v>23</v>
      </c>
      <c r="C3466" s="1" t="str">
        <f t="shared" si="69"/>
        <v>020075</v>
      </c>
      <c r="D3466" s="1" t="str">
        <f>"112314622"</f>
        <v>112314622</v>
      </c>
      <c r="E3466" s="1">
        <v>58</v>
      </c>
      <c r="F3466" s="1">
        <v>38</v>
      </c>
      <c r="H3466" s="1">
        <v>50</v>
      </c>
    </row>
    <row r="3467" s="1" customFormat="1" spans="1:8">
      <c r="A3467" s="1" t="s">
        <v>12</v>
      </c>
      <c r="B3467" s="1" t="s">
        <v>23</v>
      </c>
      <c r="C3467" s="1" t="str">
        <f t="shared" si="69"/>
        <v>020075</v>
      </c>
      <c r="D3467" s="1" t="str">
        <f>"112314623"</f>
        <v>112314623</v>
      </c>
      <c r="E3467" s="1">
        <v>70.5</v>
      </c>
      <c r="F3467" s="1">
        <v>41.5</v>
      </c>
      <c r="H3467" s="1">
        <v>58.9</v>
      </c>
    </row>
    <row r="3468" s="1" customFormat="1" spans="1:8">
      <c r="A3468" s="1" t="s">
        <v>12</v>
      </c>
      <c r="B3468" s="1" t="s">
        <v>23</v>
      </c>
      <c r="C3468" s="1" t="str">
        <f t="shared" si="69"/>
        <v>020075</v>
      </c>
      <c r="D3468" s="1" t="str">
        <f>"112314624"</f>
        <v>112314624</v>
      </c>
      <c r="E3468" s="1">
        <v>0</v>
      </c>
      <c r="F3468" s="1">
        <v>0</v>
      </c>
      <c r="H3468" s="1">
        <v>0</v>
      </c>
    </row>
    <row r="3469" s="1" customFormat="1" spans="1:8">
      <c r="A3469" s="1" t="s">
        <v>12</v>
      </c>
      <c r="B3469" s="1" t="s">
        <v>23</v>
      </c>
      <c r="C3469" s="1" t="str">
        <f t="shared" si="69"/>
        <v>020075</v>
      </c>
      <c r="D3469" s="1" t="str">
        <f>"112314625"</f>
        <v>112314625</v>
      </c>
      <c r="E3469" s="1">
        <v>0</v>
      </c>
      <c r="F3469" s="1">
        <v>0</v>
      </c>
      <c r="H3469" s="1">
        <v>0</v>
      </c>
    </row>
    <row r="3470" s="1" customFormat="1" spans="1:8">
      <c r="A3470" s="1" t="s">
        <v>12</v>
      </c>
      <c r="B3470" s="1" t="s">
        <v>23</v>
      </c>
      <c r="C3470" s="1" t="str">
        <f t="shared" si="69"/>
        <v>020075</v>
      </c>
      <c r="D3470" s="1" t="str">
        <f>"112314626"</f>
        <v>112314626</v>
      </c>
      <c r="E3470" s="1">
        <v>75.5</v>
      </c>
      <c r="F3470" s="1">
        <v>63.5</v>
      </c>
      <c r="H3470" s="1">
        <v>70.7</v>
      </c>
    </row>
    <row r="3471" s="1" customFormat="1" spans="1:8">
      <c r="A3471" s="1" t="s">
        <v>12</v>
      </c>
      <c r="B3471" s="1" t="s">
        <v>23</v>
      </c>
      <c r="C3471" s="1" t="str">
        <f t="shared" si="69"/>
        <v>020075</v>
      </c>
      <c r="D3471" s="1" t="str">
        <f>"112314627"</f>
        <v>112314627</v>
      </c>
      <c r="E3471" s="1">
        <v>0</v>
      </c>
      <c r="F3471" s="1">
        <v>0</v>
      </c>
      <c r="H3471" s="1">
        <v>0</v>
      </c>
    </row>
    <row r="3472" s="1" customFormat="1" spans="1:8">
      <c r="A3472" s="1" t="s">
        <v>12</v>
      </c>
      <c r="B3472" s="1" t="s">
        <v>23</v>
      </c>
      <c r="C3472" s="1" t="str">
        <f t="shared" si="69"/>
        <v>020075</v>
      </c>
      <c r="D3472" s="1" t="str">
        <f>"112314628"</f>
        <v>112314628</v>
      </c>
      <c r="E3472" s="1">
        <v>51.5</v>
      </c>
      <c r="F3472" s="1">
        <v>43</v>
      </c>
      <c r="H3472" s="1">
        <v>48.1</v>
      </c>
    </row>
    <row r="3473" s="1" customFormat="1" spans="1:8">
      <c r="A3473" s="1" t="s">
        <v>12</v>
      </c>
      <c r="B3473" s="1" t="s">
        <v>23</v>
      </c>
      <c r="C3473" s="1" t="str">
        <f t="shared" si="69"/>
        <v>020075</v>
      </c>
      <c r="D3473" s="1" t="str">
        <f>"112314629"</f>
        <v>112314629</v>
      </c>
      <c r="E3473" s="1">
        <v>58</v>
      </c>
      <c r="F3473" s="1">
        <v>46.5</v>
      </c>
      <c r="H3473" s="1">
        <v>53.4</v>
      </c>
    </row>
    <row r="3474" s="1" customFormat="1" spans="1:8">
      <c r="A3474" s="1" t="s">
        <v>12</v>
      </c>
      <c r="B3474" s="1" t="s">
        <v>23</v>
      </c>
      <c r="C3474" s="1" t="str">
        <f t="shared" si="69"/>
        <v>020075</v>
      </c>
      <c r="D3474" s="1" t="str">
        <f>"112314630"</f>
        <v>112314630</v>
      </c>
      <c r="E3474" s="1">
        <v>70</v>
      </c>
      <c r="F3474" s="1">
        <v>72</v>
      </c>
      <c r="H3474" s="1">
        <v>70.8</v>
      </c>
    </row>
    <row r="3475" s="1" customFormat="1" spans="1:8">
      <c r="A3475" s="1" t="s">
        <v>12</v>
      </c>
      <c r="B3475" s="1" t="s">
        <v>23</v>
      </c>
      <c r="C3475" s="1" t="str">
        <f t="shared" si="69"/>
        <v>020075</v>
      </c>
      <c r="D3475" s="1" t="str">
        <f>"112314701"</f>
        <v>112314701</v>
      </c>
      <c r="E3475" s="1">
        <v>0</v>
      </c>
      <c r="F3475" s="1">
        <v>0</v>
      </c>
      <c r="H3475" s="1">
        <v>0</v>
      </c>
    </row>
    <row r="3476" s="1" customFormat="1" spans="1:8">
      <c r="A3476" s="1" t="s">
        <v>12</v>
      </c>
      <c r="B3476" s="1" t="s">
        <v>23</v>
      </c>
      <c r="C3476" s="1" t="str">
        <f t="shared" si="69"/>
        <v>020075</v>
      </c>
      <c r="D3476" s="1" t="str">
        <f>"112314702"</f>
        <v>112314702</v>
      </c>
      <c r="E3476" s="1">
        <v>60.5</v>
      </c>
      <c r="F3476" s="1">
        <v>0</v>
      </c>
      <c r="H3476" s="1">
        <v>36.3</v>
      </c>
    </row>
    <row r="3477" s="1" customFormat="1" spans="1:8">
      <c r="A3477" s="1" t="s">
        <v>12</v>
      </c>
      <c r="B3477" s="1" t="s">
        <v>23</v>
      </c>
      <c r="C3477" s="1" t="str">
        <f t="shared" si="69"/>
        <v>020075</v>
      </c>
      <c r="D3477" s="1" t="str">
        <f>"112314703"</f>
        <v>112314703</v>
      </c>
      <c r="E3477" s="1">
        <v>68.5</v>
      </c>
      <c r="F3477" s="1">
        <v>52.5</v>
      </c>
      <c r="H3477" s="1">
        <v>62.1</v>
      </c>
    </row>
    <row r="3478" s="1" customFormat="1" spans="1:8">
      <c r="A3478" s="1" t="s">
        <v>12</v>
      </c>
      <c r="B3478" s="1" t="s">
        <v>23</v>
      </c>
      <c r="C3478" s="1" t="str">
        <f t="shared" si="69"/>
        <v>020075</v>
      </c>
      <c r="D3478" s="1" t="str">
        <f>"112314704"</f>
        <v>112314704</v>
      </c>
      <c r="E3478" s="1">
        <v>91.5</v>
      </c>
      <c r="F3478" s="1">
        <v>93.5</v>
      </c>
      <c r="H3478" s="1">
        <v>92.3</v>
      </c>
    </row>
    <row r="3479" s="1" customFormat="1" spans="1:8">
      <c r="A3479" s="1" t="s">
        <v>12</v>
      </c>
      <c r="B3479" s="1" t="s">
        <v>23</v>
      </c>
      <c r="C3479" s="1" t="str">
        <f t="shared" si="69"/>
        <v>020075</v>
      </c>
      <c r="D3479" s="1" t="str">
        <f>"112314705"</f>
        <v>112314705</v>
      </c>
      <c r="E3479" s="1">
        <v>58.5</v>
      </c>
      <c r="F3479" s="1">
        <v>51.5</v>
      </c>
      <c r="H3479" s="1">
        <v>55.7</v>
      </c>
    </row>
    <row r="3480" s="1" customFormat="1" spans="1:8">
      <c r="A3480" s="1" t="s">
        <v>12</v>
      </c>
      <c r="B3480" s="1" t="s">
        <v>23</v>
      </c>
      <c r="C3480" s="1" t="str">
        <f t="shared" si="69"/>
        <v>020075</v>
      </c>
      <c r="D3480" s="1" t="str">
        <f>"112314706"</f>
        <v>112314706</v>
      </c>
      <c r="E3480" s="1">
        <v>0</v>
      </c>
      <c r="F3480" s="1">
        <v>0</v>
      </c>
      <c r="H3480" s="1">
        <v>0</v>
      </c>
    </row>
    <row r="3481" s="1" customFormat="1" spans="1:8">
      <c r="A3481" s="1" t="s">
        <v>12</v>
      </c>
      <c r="B3481" s="1" t="s">
        <v>23</v>
      </c>
      <c r="C3481" s="1" t="str">
        <f t="shared" si="69"/>
        <v>020075</v>
      </c>
      <c r="D3481" s="1" t="str">
        <f>"112314707"</f>
        <v>112314707</v>
      </c>
      <c r="E3481" s="1">
        <v>79</v>
      </c>
      <c r="F3481" s="1">
        <v>64</v>
      </c>
      <c r="H3481" s="1">
        <v>73</v>
      </c>
    </row>
    <row r="3482" s="1" customFormat="1" spans="1:8">
      <c r="A3482" s="1" t="s">
        <v>12</v>
      </c>
      <c r="B3482" s="1" t="s">
        <v>23</v>
      </c>
      <c r="C3482" s="1" t="str">
        <f t="shared" si="69"/>
        <v>020075</v>
      </c>
      <c r="D3482" s="1" t="str">
        <f>"112314708"</f>
        <v>112314708</v>
      </c>
      <c r="E3482" s="1">
        <v>65</v>
      </c>
      <c r="F3482" s="1">
        <v>52.5</v>
      </c>
      <c r="H3482" s="1">
        <v>60</v>
      </c>
    </row>
    <row r="3483" s="1" customFormat="1" spans="1:8">
      <c r="A3483" s="1" t="s">
        <v>12</v>
      </c>
      <c r="B3483" s="1" t="s">
        <v>23</v>
      </c>
      <c r="C3483" s="1" t="str">
        <f t="shared" si="69"/>
        <v>020075</v>
      </c>
      <c r="D3483" s="1" t="str">
        <f>"112314709"</f>
        <v>112314709</v>
      </c>
      <c r="E3483" s="1">
        <v>27</v>
      </c>
      <c r="F3483" s="1">
        <v>48</v>
      </c>
      <c r="H3483" s="1">
        <v>35.4</v>
      </c>
    </row>
    <row r="3484" s="1" customFormat="1" spans="1:8">
      <c r="A3484" s="1" t="s">
        <v>17</v>
      </c>
      <c r="B3484" s="1" t="s">
        <v>23</v>
      </c>
      <c r="C3484" s="1" t="str">
        <f t="shared" ref="C3484:C3540" si="70">"020092"</f>
        <v>020092</v>
      </c>
      <c r="D3484" s="1" t="str">
        <f>"112314710"</f>
        <v>112314710</v>
      </c>
      <c r="E3484" s="1">
        <v>57</v>
      </c>
      <c r="F3484" s="1">
        <v>48.5</v>
      </c>
      <c r="H3484" s="1">
        <v>53.6</v>
      </c>
    </row>
    <row r="3485" s="1" customFormat="1" spans="1:8">
      <c r="A3485" s="1" t="s">
        <v>17</v>
      </c>
      <c r="B3485" s="1" t="s">
        <v>23</v>
      </c>
      <c r="C3485" s="1" t="str">
        <f t="shared" si="70"/>
        <v>020092</v>
      </c>
      <c r="D3485" s="1" t="str">
        <f>"112314711"</f>
        <v>112314711</v>
      </c>
      <c r="E3485" s="1">
        <v>72.5</v>
      </c>
      <c r="F3485" s="1">
        <v>69</v>
      </c>
      <c r="H3485" s="1">
        <v>71.1</v>
      </c>
    </row>
    <row r="3486" s="1" customFormat="1" spans="1:8">
      <c r="A3486" s="1" t="s">
        <v>17</v>
      </c>
      <c r="B3486" s="1" t="s">
        <v>23</v>
      </c>
      <c r="C3486" s="1" t="str">
        <f t="shared" si="70"/>
        <v>020092</v>
      </c>
      <c r="D3486" s="1" t="str">
        <f>"112314712"</f>
        <v>112314712</v>
      </c>
      <c r="E3486" s="1">
        <v>86.5</v>
      </c>
      <c r="F3486" s="1">
        <v>69.5</v>
      </c>
      <c r="H3486" s="1">
        <v>79.7</v>
      </c>
    </row>
    <row r="3487" s="1" customFormat="1" spans="1:8">
      <c r="A3487" s="1" t="s">
        <v>17</v>
      </c>
      <c r="B3487" s="1" t="s">
        <v>23</v>
      </c>
      <c r="C3487" s="1" t="str">
        <f t="shared" si="70"/>
        <v>020092</v>
      </c>
      <c r="D3487" s="1" t="str">
        <f>"112314713"</f>
        <v>112314713</v>
      </c>
      <c r="E3487" s="1">
        <v>0</v>
      </c>
      <c r="F3487" s="1">
        <v>0</v>
      </c>
      <c r="H3487" s="1">
        <v>0</v>
      </c>
    </row>
    <row r="3488" s="1" customFormat="1" spans="1:8">
      <c r="A3488" s="1" t="s">
        <v>17</v>
      </c>
      <c r="B3488" s="1" t="s">
        <v>23</v>
      </c>
      <c r="C3488" s="1" t="str">
        <f t="shared" si="70"/>
        <v>020092</v>
      </c>
      <c r="D3488" s="1" t="str">
        <f>"112314714"</f>
        <v>112314714</v>
      </c>
      <c r="E3488" s="1">
        <v>0</v>
      </c>
      <c r="F3488" s="1">
        <v>0</v>
      </c>
      <c r="H3488" s="1">
        <v>0</v>
      </c>
    </row>
    <row r="3489" s="1" customFormat="1" spans="1:8">
      <c r="A3489" s="1" t="s">
        <v>17</v>
      </c>
      <c r="B3489" s="1" t="s">
        <v>23</v>
      </c>
      <c r="C3489" s="1" t="str">
        <f t="shared" si="70"/>
        <v>020092</v>
      </c>
      <c r="D3489" s="1" t="str">
        <f>"112314715"</f>
        <v>112314715</v>
      </c>
      <c r="E3489" s="1">
        <v>77</v>
      </c>
      <c r="F3489" s="1">
        <v>81.5</v>
      </c>
      <c r="H3489" s="1">
        <v>78.8</v>
      </c>
    </row>
    <row r="3490" s="1" customFormat="1" spans="1:8">
      <c r="A3490" s="1" t="s">
        <v>17</v>
      </c>
      <c r="B3490" s="1" t="s">
        <v>23</v>
      </c>
      <c r="C3490" s="1" t="str">
        <f t="shared" si="70"/>
        <v>020092</v>
      </c>
      <c r="D3490" s="1" t="str">
        <f>"112314716"</f>
        <v>112314716</v>
      </c>
      <c r="E3490" s="1">
        <v>0</v>
      </c>
      <c r="F3490" s="1">
        <v>0</v>
      </c>
      <c r="H3490" s="1">
        <v>0</v>
      </c>
    </row>
    <row r="3491" s="1" customFormat="1" spans="1:8">
      <c r="A3491" s="1" t="s">
        <v>17</v>
      </c>
      <c r="B3491" s="1" t="s">
        <v>23</v>
      </c>
      <c r="C3491" s="1" t="str">
        <f t="shared" si="70"/>
        <v>020092</v>
      </c>
      <c r="D3491" s="1" t="str">
        <f>"112314717"</f>
        <v>112314717</v>
      </c>
      <c r="E3491" s="1">
        <v>0</v>
      </c>
      <c r="F3491" s="1">
        <v>0</v>
      </c>
      <c r="H3491" s="1">
        <v>0</v>
      </c>
    </row>
    <row r="3492" s="1" customFormat="1" spans="1:8">
      <c r="A3492" s="1" t="s">
        <v>17</v>
      </c>
      <c r="B3492" s="1" t="s">
        <v>23</v>
      </c>
      <c r="C3492" s="1" t="str">
        <f t="shared" si="70"/>
        <v>020092</v>
      </c>
      <c r="D3492" s="1" t="str">
        <f>"112314718"</f>
        <v>112314718</v>
      </c>
      <c r="E3492" s="1">
        <v>50</v>
      </c>
      <c r="F3492" s="1">
        <v>64.5</v>
      </c>
      <c r="H3492" s="1">
        <v>55.8</v>
      </c>
    </row>
    <row r="3493" s="1" customFormat="1" spans="1:8">
      <c r="A3493" s="1" t="s">
        <v>17</v>
      </c>
      <c r="B3493" s="1" t="s">
        <v>23</v>
      </c>
      <c r="C3493" s="1" t="str">
        <f t="shared" si="70"/>
        <v>020092</v>
      </c>
      <c r="D3493" s="1" t="str">
        <f>"112314719"</f>
        <v>112314719</v>
      </c>
      <c r="E3493" s="1">
        <v>65</v>
      </c>
      <c r="F3493" s="1">
        <v>53.5</v>
      </c>
      <c r="H3493" s="1">
        <v>60.4</v>
      </c>
    </row>
    <row r="3494" s="1" customFormat="1" spans="1:8">
      <c r="A3494" s="1" t="s">
        <v>17</v>
      </c>
      <c r="B3494" s="1" t="s">
        <v>23</v>
      </c>
      <c r="C3494" s="1" t="str">
        <f t="shared" si="70"/>
        <v>020092</v>
      </c>
      <c r="D3494" s="1" t="str">
        <f>"112314720"</f>
        <v>112314720</v>
      </c>
      <c r="E3494" s="1">
        <v>0</v>
      </c>
      <c r="F3494" s="1">
        <v>0</v>
      </c>
      <c r="H3494" s="1">
        <v>0</v>
      </c>
    </row>
    <row r="3495" s="1" customFormat="1" spans="1:8">
      <c r="A3495" s="1" t="s">
        <v>17</v>
      </c>
      <c r="B3495" s="1" t="s">
        <v>23</v>
      </c>
      <c r="C3495" s="1" t="str">
        <f t="shared" si="70"/>
        <v>020092</v>
      </c>
      <c r="D3495" s="1" t="str">
        <f>"112314721"</f>
        <v>112314721</v>
      </c>
      <c r="E3495" s="1">
        <v>91</v>
      </c>
      <c r="F3495" s="1">
        <v>93.5</v>
      </c>
      <c r="H3495" s="1">
        <v>92</v>
      </c>
    </row>
    <row r="3496" s="1" customFormat="1" spans="1:8">
      <c r="A3496" s="1" t="s">
        <v>17</v>
      </c>
      <c r="B3496" s="1" t="s">
        <v>23</v>
      </c>
      <c r="C3496" s="1" t="str">
        <f t="shared" si="70"/>
        <v>020092</v>
      </c>
      <c r="D3496" s="1" t="str">
        <f>"112314722"</f>
        <v>112314722</v>
      </c>
      <c r="E3496" s="1">
        <v>79</v>
      </c>
      <c r="F3496" s="1">
        <v>70</v>
      </c>
      <c r="H3496" s="1">
        <v>75.4</v>
      </c>
    </row>
    <row r="3497" s="1" customFormat="1" spans="1:8">
      <c r="A3497" s="1" t="s">
        <v>17</v>
      </c>
      <c r="B3497" s="1" t="s">
        <v>23</v>
      </c>
      <c r="C3497" s="1" t="str">
        <f t="shared" si="70"/>
        <v>020092</v>
      </c>
      <c r="D3497" s="1" t="str">
        <f>"112314723"</f>
        <v>112314723</v>
      </c>
      <c r="E3497" s="1">
        <v>0</v>
      </c>
      <c r="F3497" s="1">
        <v>0</v>
      </c>
      <c r="H3497" s="1">
        <v>0</v>
      </c>
    </row>
    <row r="3498" s="1" customFormat="1" spans="1:8">
      <c r="A3498" s="1" t="s">
        <v>17</v>
      </c>
      <c r="B3498" s="1" t="s">
        <v>23</v>
      </c>
      <c r="C3498" s="1" t="str">
        <f t="shared" si="70"/>
        <v>020092</v>
      </c>
      <c r="D3498" s="1" t="str">
        <f>"112314724"</f>
        <v>112314724</v>
      </c>
      <c r="E3498" s="1">
        <v>57</v>
      </c>
      <c r="F3498" s="1">
        <v>60</v>
      </c>
      <c r="H3498" s="1">
        <v>58.2</v>
      </c>
    </row>
    <row r="3499" s="1" customFormat="1" spans="1:8">
      <c r="A3499" s="1" t="s">
        <v>17</v>
      </c>
      <c r="B3499" s="1" t="s">
        <v>23</v>
      </c>
      <c r="C3499" s="1" t="str">
        <f t="shared" si="70"/>
        <v>020092</v>
      </c>
      <c r="D3499" s="1" t="str">
        <f>"112314725"</f>
        <v>112314725</v>
      </c>
      <c r="E3499" s="1">
        <v>93.5</v>
      </c>
      <c r="F3499" s="1">
        <v>85.5</v>
      </c>
      <c r="H3499" s="1">
        <v>90.3</v>
      </c>
    </row>
    <row r="3500" s="1" customFormat="1" spans="1:8">
      <c r="A3500" s="1" t="s">
        <v>17</v>
      </c>
      <c r="B3500" s="1" t="s">
        <v>23</v>
      </c>
      <c r="C3500" s="1" t="str">
        <f t="shared" si="70"/>
        <v>020092</v>
      </c>
      <c r="D3500" s="1" t="str">
        <f>"112314726"</f>
        <v>112314726</v>
      </c>
      <c r="E3500" s="1">
        <v>0</v>
      </c>
      <c r="F3500" s="1">
        <v>0</v>
      </c>
      <c r="H3500" s="1">
        <v>0</v>
      </c>
    </row>
    <row r="3501" s="1" customFormat="1" spans="1:8">
      <c r="A3501" s="1" t="s">
        <v>17</v>
      </c>
      <c r="B3501" s="1" t="s">
        <v>23</v>
      </c>
      <c r="C3501" s="1" t="str">
        <f t="shared" si="70"/>
        <v>020092</v>
      </c>
      <c r="D3501" s="1" t="str">
        <f>"112314727"</f>
        <v>112314727</v>
      </c>
      <c r="E3501" s="1">
        <v>75</v>
      </c>
      <c r="F3501" s="1">
        <v>65</v>
      </c>
      <c r="H3501" s="1">
        <v>71</v>
      </c>
    </row>
    <row r="3502" s="1" customFormat="1" spans="1:8">
      <c r="A3502" s="1" t="s">
        <v>17</v>
      </c>
      <c r="B3502" s="1" t="s">
        <v>23</v>
      </c>
      <c r="C3502" s="1" t="str">
        <f t="shared" si="70"/>
        <v>020092</v>
      </c>
      <c r="D3502" s="1" t="str">
        <f>"112314728"</f>
        <v>112314728</v>
      </c>
      <c r="E3502" s="1">
        <v>47</v>
      </c>
      <c r="F3502" s="1">
        <v>44.5</v>
      </c>
      <c r="H3502" s="1">
        <v>46</v>
      </c>
    </row>
    <row r="3503" s="1" customFormat="1" spans="1:8">
      <c r="A3503" s="1" t="s">
        <v>17</v>
      </c>
      <c r="B3503" s="1" t="s">
        <v>23</v>
      </c>
      <c r="C3503" s="1" t="str">
        <f t="shared" si="70"/>
        <v>020092</v>
      </c>
      <c r="D3503" s="1" t="str">
        <f>"112314729"</f>
        <v>112314729</v>
      </c>
      <c r="E3503" s="1">
        <v>61</v>
      </c>
      <c r="F3503" s="1">
        <v>53.5</v>
      </c>
      <c r="H3503" s="1">
        <v>58</v>
      </c>
    </row>
    <row r="3504" s="1" customFormat="1" spans="1:8">
      <c r="A3504" s="1" t="s">
        <v>17</v>
      </c>
      <c r="B3504" s="1" t="s">
        <v>23</v>
      </c>
      <c r="C3504" s="1" t="str">
        <f t="shared" si="70"/>
        <v>020092</v>
      </c>
      <c r="D3504" s="1" t="str">
        <f>"112314730"</f>
        <v>112314730</v>
      </c>
      <c r="E3504" s="1">
        <v>0</v>
      </c>
      <c r="F3504" s="1">
        <v>0</v>
      </c>
      <c r="H3504" s="1">
        <v>0</v>
      </c>
    </row>
    <row r="3505" s="1" customFormat="1" spans="1:8">
      <c r="A3505" s="1" t="s">
        <v>17</v>
      </c>
      <c r="B3505" s="1" t="s">
        <v>23</v>
      </c>
      <c r="C3505" s="1" t="str">
        <f t="shared" si="70"/>
        <v>020092</v>
      </c>
      <c r="D3505" s="1" t="str">
        <f>"112314801"</f>
        <v>112314801</v>
      </c>
      <c r="E3505" s="1">
        <v>79</v>
      </c>
      <c r="F3505" s="1">
        <v>61.5</v>
      </c>
      <c r="H3505" s="1">
        <v>72</v>
      </c>
    </row>
    <row r="3506" s="1" customFormat="1" spans="1:8">
      <c r="A3506" s="1" t="s">
        <v>17</v>
      </c>
      <c r="B3506" s="1" t="s">
        <v>23</v>
      </c>
      <c r="C3506" s="1" t="str">
        <f t="shared" si="70"/>
        <v>020092</v>
      </c>
      <c r="D3506" s="1" t="str">
        <f>"112314802"</f>
        <v>112314802</v>
      </c>
      <c r="E3506" s="1">
        <v>56.5</v>
      </c>
      <c r="F3506" s="1">
        <v>68.5</v>
      </c>
      <c r="H3506" s="1">
        <v>61.3</v>
      </c>
    </row>
    <row r="3507" s="1" customFormat="1" spans="1:8">
      <c r="A3507" s="1" t="s">
        <v>17</v>
      </c>
      <c r="B3507" s="1" t="s">
        <v>23</v>
      </c>
      <c r="C3507" s="1" t="str">
        <f t="shared" si="70"/>
        <v>020092</v>
      </c>
      <c r="D3507" s="1" t="str">
        <f>"112314803"</f>
        <v>112314803</v>
      </c>
      <c r="E3507" s="1">
        <v>69.5</v>
      </c>
      <c r="F3507" s="1">
        <v>69.5</v>
      </c>
      <c r="H3507" s="1">
        <v>69.5</v>
      </c>
    </row>
    <row r="3508" s="1" customFormat="1" spans="1:8">
      <c r="A3508" s="1" t="s">
        <v>17</v>
      </c>
      <c r="B3508" s="1" t="s">
        <v>23</v>
      </c>
      <c r="C3508" s="1" t="str">
        <f t="shared" si="70"/>
        <v>020092</v>
      </c>
      <c r="D3508" s="1" t="str">
        <f>"112314804"</f>
        <v>112314804</v>
      </c>
      <c r="E3508" s="1">
        <v>0</v>
      </c>
      <c r="F3508" s="1">
        <v>0</v>
      </c>
      <c r="H3508" s="1">
        <v>0</v>
      </c>
    </row>
    <row r="3509" s="1" customFormat="1" spans="1:8">
      <c r="A3509" s="1" t="s">
        <v>17</v>
      </c>
      <c r="B3509" s="1" t="s">
        <v>23</v>
      </c>
      <c r="C3509" s="1" t="str">
        <f t="shared" si="70"/>
        <v>020092</v>
      </c>
      <c r="D3509" s="1" t="str">
        <f>"112314805"</f>
        <v>112314805</v>
      </c>
      <c r="E3509" s="1">
        <v>39.5</v>
      </c>
      <c r="F3509" s="1">
        <v>58</v>
      </c>
      <c r="H3509" s="1">
        <v>46.9</v>
      </c>
    </row>
    <row r="3510" s="1" customFormat="1" spans="1:8">
      <c r="A3510" s="1" t="s">
        <v>17</v>
      </c>
      <c r="B3510" s="1" t="s">
        <v>23</v>
      </c>
      <c r="C3510" s="1" t="str">
        <f t="shared" si="70"/>
        <v>020092</v>
      </c>
      <c r="D3510" s="1" t="str">
        <f>"112314806"</f>
        <v>112314806</v>
      </c>
      <c r="E3510" s="1">
        <v>83.5</v>
      </c>
      <c r="F3510" s="1">
        <v>74.5</v>
      </c>
      <c r="H3510" s="1">
        <v>79.9</v>
      </c>
    </row>
    <row r="3511" s="1" customFormat="1" spans="1:8">
      <c r="A3511" s="1" t="s">
        <v>17</v>
      </c>
      <c r="B3511" s="1" t="s">
        <v>23</v>
      </c>
      <c r="C3511" s="1" t="str">
        <f t="shared" si="70"/>
        <v>020092</v>
      </c>
      <c r="D3511" s="1" t="str">
        <f>"112314807"</f>
        <v>112314807</v>
      </c>
      <c r="E3511" s="1">
        <v>68.5</v>
      </c>
      <c r="F3511" s="1">
        <v>50</v>
      </c>
      <c r="H3511" s="1">
        <v>61.1</v>
      </c>
    </row>
    <row r="3512" s="1" customFormat="1" spans="1:8">
      <c r="A3512" s="1" t="s">
        <v>17</v>
      </c>
      <c r="B3512" s="1" t="s">
        <v>23</v>
      </c>
      <c r="C3512" s="1" t="str">
        <f t="shared" si="70"/>
        <v>020092</v>
      </c>
      <c r="D3512" s="1" t="str">
        <f>"112314808"</f>
        <v>112314808</v>
      </c>
      <c r="E3512" s="1">
        <v>79</v>
      </c>
      <c r="F3512" s="1">
        <v>62</v>
      </c>
      <c r="H3512" s="1">
        <v>72.2</v>
      </c>
    </row>
    <row r="3513" s="1" customFormat="1" spans="1:8">
      <c r="A3513" s="1" t="s">
        <v>17</v>
      </c>
      <c r="B3513" s="1" t="s">
        <v>23</v>
      </c>
      <c r="C3513" s="1" t="str">
        <f t="shared" si="70"/>
        <v>020092</v>
      </c>
      <c r="D3513" s="1" t="str">
        <f>"112314809"</f>
        <v>112314809</v>
      </c>
      <c r="E3513" s="1">
        <v>0</v>
      </c>
      <c r="F3513" s="1">
        <v>0</v>
      </c>
      <c r="H3513" s="1">
        <v>0</v>
      </c>
    </row>
    <row r="3514" s="1" customFormat="1" spans="1:8">
      <c r="A3514" s="1" t="s">
        <v>17</v>
      </c>
      <c r="B3514" s="1" t="s">
        <v>23</v>
      </c>
      <c r="C3514" s="1" t="str">
        <f t="shared" si="70"/>
        <v>020092</v>
      </c>
      <c r="D3514" s="1" t="str">
        <f>"112314810"</f>
        <v>112314810</v>
      </c>
      <c r="E3514" s="1">
        <v>78</v>
      </c>
      <c r="F3514" s="1">
        <v>78.5</v>
      </c>
      <c r="H3514" s="1">
        <v>78.2</v>
      </c>
    </row>
    <row r="3515" s="1" customFormat="1" spans="1:8">
      <c r="A3515" s="1" t="s">
        <v>17</v>
      </c>
      <c r="B3515" s="1" t="s">
        <v>23</v>
      </c>
      <c r="C3515" s="1" t="str">
        <f t="shared" si="70"/>
        <v>020092</v>
      </c>
      <c r="D3515" s="1" t="str">
        <f>"112314811"</f>
        <v>112314811</v>
      </c>
      <c r="E3515" s="1">
        <v>51.5</v>
      </c>
      <c r="F3515" s="1">
        <v>64.5</v>
      </c>
      <c r="H3515" s="1">
        <v>56.7</v>
      </c>
    </row>
    <row r="3516" s="1" customFormat="1" spans="1:8">
      <c r="A3516" s="1" t="s">
        <v>17</v>
      </c>
      <c r="B3516" s="1" t="s">
        <v>23</v>
      </c>
      <c r="C3516" s="1" t="str">
        <f t="shared" si="70"/>
        <v>020092</v>
      </c>
      <c r="D3516" s="1" t="str">
        <f>"112314812"</f>
        <v>112314812</v>
      </c>
      <c r="E3516" s="1">
        <v>76.5</v>
      </c>
      <c r="F3516" s="1">
        <v>57.5</v>
      </c>
      <c r="H3516" s="1">
        <v>68.9</v>
      </c>
    </row>
    <row r="3517" s="1" customFormat="1" spans="1:8">
      <c r="A3517" s="1" t="s">
        <v>17</v>
      </c>
      <c r="B3517" s="1" t="s">
        <v>23</v>
      </c>
      <c r="C3517" s="1" t="str">
        <f t="shared" si="70"/>
        <v>020092</v>
      </c>
      <c r="D3517" s="1" t="str">
        <f>"112314813"</f>
        <v>112314813</v>
      </c>
      <c r="E3517" s="1">
        <v>61</v>
      </c>
      <c r="F3517" s="1">
        <v>56</v>
      </c>
      <c r="H3517" s="1">
        <v>59</v>
      </c>
    </row>
    <row r="3518" s="1" customFormat="1" spans="1:8">
      <c r="A3518" s="1" t="s">
        <v>17</v>
      </c>
      <c r="B3518" s="1" t="s">
        <v>23</v>
      </c>
      <c r="C3518" s="1" t="str">
        <f t="shared" si="70"/>
        <v>020092</v>
      </c>
      <c r="D3518" s="1" t="str">
        <f>"112314814"</f>
        <v>112314814</v>
      </c>
      <c r="E3518" s="1">
        <v>42.5</v>
      </c>
      <c r="F3518" s="1">
        <v>67</v>
      </c>
      <c r="H3518" s="1">
        <v>52.3</v>
      </c>
    </row>
    <row r="3519" s="1" customFormat="1" spans="1:8">
      <c r="A3519" s="1" t="s">
        <v>17</v>
      </c>
      <c r="B3519" s="1" t="s">
        <v>23</v>
      </c>
      <c r="C3519" s="1" t="str">
        <f t="shared" si="70"/>
        <v>020092</v>
      </c>
      <c r="D3519" s="1" t="str">
        <f>"112314815"</f>
        <v>112314815</v>
      </c>
      <c r="E3519" s="1">
        <v>67</v>
      </c>
      <c r="F3519" s="1">
        <v>81.5</v>
      </c>
      <c r="H3519" s="1">
        <v>72.8</v>
      </c>
    </row>
    <row r="3520" s="1" customFormat="1" spans="1:8">
      <c r="A3520" s="1" t="s">
        <v>17</v>
      </c>
      <c r="B3520" s="1" t="s">
        <v>23</v>
      </c>
      <c r="C3520" s="1" t="str">
        <f t="shared" si="70"/>
        <v>020092</v>
      </c>
      <c r="D3520" s="1" t="str">
        <f>"112314816"</f>
        <v>112314816</v>
      </c>
      <c r="E3520" s="1">
        <v>95.5</v>
      </c>
      <c r="F3520" s="1">
        <v>98.5</v>
      </c>
      <c r="H3520" s="1">
        <v>96.7</v>
      </c>
    </row>
    <row r="3521" s="1" customFormat="1" spans="1:8">
      <c r="A3521" s="1" t="s">
        <v>17</v>
      </c>
      <c r="B3521" s="1" t="s">
        <v>23</v>
      </c>
      <c r="C3521" s="1" t="str">
        <f t="shared" si="70"/>
        <v>020092</v>
      </c>
      <c r="D3521" s="1" t="str">
        <f>"112314817"</f>
        <v>112314817</v>
      </c>
      <c r="E3521" s="1">
        <v>69</v>
      </c>
      <c r="F3521" s="1">
        <v>38</v>
      </c>
      <c r="H3521" s="1">
        <v>56.6</v>
      </c>
    </row>
    <row r="3522" s="1" customFormat="1" spans="1:8">
      <c r="A3522" s="1" t="s">
        <v>17</v>
      </c>
      <c r="B3522" s="1" t="s">
        <v>23</v>
      </c>
      <c r="C3522" s="1" t="str">
        <f t="shared" si="70"/>
        <v>020092</v>
      </c>
      <c r="D3522" s="1" t="str">
        <f>"112314818"</f>
        <v>112314818</v>
      </c>
      <c r="E3522" s="1">
        <v>96.5</v>
      </c>
      <c r="F3522" s="1">
        <v>89.5</v>
      </c>
      <c r="H3522" s="1">
        <v>93.7</v>
      </c>
    </row>
    <row r="3523" s="1" customFormat="1" spans="1:8">
      <c r="A3523" s="1" t="s">
        <v>17</v>
      </c>
      <c r="B3523" s="1" t="s">
        <v>23</v>
      </c>
      <c r="C3523" s="1" t="str">
        <f t="shared" si="70"/>
        <v>020092</v>
      </c>
      <c r="D3523" s="1" t="str">
        <f>"112314819"</f>
        <v>112314819</v>
      </c>
      <c r="E3523" s="1">
        <v>50</v>
      </c>
      <c r="F3523" s="1">
        <v>60.5</v>
      </c>
      <c r="H3523" s="1">
        <v>54.2</v>
      </c>
    </row>
    <row r="3524" s="1" customFormat="1" spans="1:8">
      <c r="A3524" s="1" t="s">
        <v>17</v>
      </c>
      <c r="B3524" s="1" t="s">
        <v>23</v>
      </c>
      <c r="C3524" s="1" t="str">
        <f t="shared" si="70"/>
        <v>020092</v>
      </c>
      <c r="D3524" s="1" t="str">
        <f>"112314820"</f>
        <v>112314820</v>
      </c>
      <c r="E3524" s="1">
        <v>59.5</v>
      </c>
      <c r="F3524" s="1">
        <v>50</v>
      </c>
      <c r="H3524" s="1">
        <v>55.7</v>
      </c>
    </row>
    <row r="3525" s="1" customFormat="1" spans="1:8">
      <c r="A3525" s="1" t="s">
        <v>17</v>
      </c>
      <c r="B3525" s="1" t="s">
        <v>23</v>
      </c>
      <c r="C3525" s="1" t="str">
        <f t="shared" si="70"/>
        <v>020092</v>
      </c>
      <c r="D3525" s="1" t="str">
        <f>"112314821"</f>
        <v>112314821</v>
      </c>
      <c r="E3525" s="1">
        <v>68</v>
      </c>
      <c r="F3525" s="1">
        <v>57</v>
      </c>
      <c r="H3525" s="1">
        <v>63.6</v>
      </c>
    </row>
    <row r="3526" s="1" customFormat="1" spans="1:8">
      <c r="A3526" s="1" t="s">
        <v>17</v>
      </c>
      <c r="B3526" s="1" t="s">
        <v>23</v>
      </c>
      <c r="C3526" s="1" t="str">
        <f t="shared" si="70"/>
        <v>020092</v>
      </c>
      <c r="D3526" s="1" t="str">
        <f>"112314822"</f>
        <v>112314822</v>
      </c>
      <c r="E3526" s="1">
        <v>59</v>
      </c>
      <c r="F3526" s="1">
        <v>52.5</v>
      </c>
      <c r="H3526" s="1">
        <v>56.4</v>
      </c>
    </row>
    <row r="3527" s="1" customFormat="1" spans="1:8">
      <c r="A3527" s="1" t="s">
        <v>17</v>
      </c>
      <c r="B3527" s="1" t="s">
        <v>23</v>
      </c>
      <c r="C3527" s="1" t="str">
        <f t="shared" si="70"/>
        <v>020092</v>
      </c>
      <c r="D3527" s="1" t="str">
        <f>"112314823"</f>
        <v>112314823</v>
      </c>
      <c r="E3527" s="1">
        <v>76.5</v>
      </c>
      <c r="F3527" s="1">
        <v>88.5</v>
      </c>
      <c r="H3527" s="1">
        <v>81.3</v>
      </c>
    </row>
    <row r="3528" s="1" customFormat="1" spans="1:8">
      <c r="A3528" s="1" t="s">
        <v>17</v>
      </c>
      <c r="B3528" s="1" t="s">
        <v>23</v>
      </c>
      <c r="C3528" s="1" t="str">
        <f t="shared" si="70"/>
        <v>020092</v>
      </c>
      <c r="D3528" s="1" t="str">
        <f>"112314824"</f>
        <v>112314824</v>
      </c>
      <c r="E3528" s="1">
        <v>57</v>
      </c>
      <c r="F3528" s="1">
        <v>52.5</v>
      </c>
      <c r="H3528" s="1">
        <v>55.2</v>
      </c>
    </row>
    <row r="3529" s="1" customFormat="1" spans="1:8">
      <c r="A3529" s="1" t="s">
        <v>17</v>
      </c>
      <c r="B3529" s="1" t="s">
        <v>23</v>
      </c>
      <c r="C3529" s="1" t="str">
        <f t="shared" si="70"/>
        <v>020092</v>
      </c>
      <c r="D3529" s="1" t="str">
        <f>"112314825"</f>
        <v>112314825</v>
      </c>
      <c r="E3529" s="1">
        <v>79</v>
      </c>
      <c r="F3529" s="1">
        <v>76</v>
      </c>
      <c r="H3529" s="1">
        <v>77.8</v>
      </c>
    </row>
    <row r="3530" s="1" customFormat="1" spans="1:8">
      <c r="A3530" s="1" t="s">
        <v>17</v>
      </c>
      <c r="B3530" s="1" t="s">
        <v>23</v>
      </c>
      <c r="C3530" s="1" t="str">
        <f t="shared" si="70"/>
        <v>020092</v>
      </c>
      <c r="D3530" s="1" t="str">
        <f>"112314826"</f>
        <v>112314826</v>
      </c>
      <c r="E3530" s="1">
        <v>67.5</v>
      </c>
      <c r="F3530" s="1">
        <v>56.5</v>
      </c>
      <c r="H3530" s="1">
        <v>63.1</v>
      </c>
    </row>
    <row r="3531" s="1" customFormat="1" spans="1:8">
      <c r="A3531" s="1" t="s">
        <v>17</v>
      </c>
      <c r="B3531" s="1" t="s">
        <v>23</v>
      </c>
      <c r="C3531" s="1" t="str">
        <f t="shared" si="70"/>
        <v>020092</v>
      </c>
      <c r="D3531" s="1" t="str">
        <f>"112314827"</f>
        <v>112314827</v>
      </c>
      <c r="E3531" s="1">
        <v>75.5</v>
      </c>
      <c r="F3531" s="1">
        <v>65</v>
      </c>
      <c r="G3531" s="1">
        <v>2</v>
      </c>
      <c r="H3531" s="1">
        <v>73.3</v>
      </c>
    </row>
    <row r="3532" s="1" customFormat="1" spans="1:8">
      <c r="A3532" s="1" t="s">
        <v>17</v>
      </c>
      <c r="B3532" s="1" t="s">
        <v>23</v>
      </c>
      <c r="C3532" s="1" t="str">
        <f t="shared" si="70"/>
        <v>020092</v>
      </c>
      <c r="D3532" s="1" t="str">
        <f>"112314828"</f>
        <v>112314828</v>
      </c>
      <c r="E3532" s="1">
        <v>0</v>
      </c>
      <c r="F3532" s="1">
        <v>0</v>
      </c>
      <c r="H3532" s="1">
        <v>0</v>
      </c>
    </row>
    <row r="3533" s="1" customFormat="1" spans="1:8">
      <c r="A3533" s="1" t="s">
        <v>17</v>
      </c>
      <c r="B3533" s="1" t="s">
        <v>23</v>
      </c>
      <c r="C3533" s="1" t="str">
        <f t="shared" si="70"/>
        <v>020092</v>
      </c>
      <c r="D3533" s="1" t="str">
        <f>"112314829"</f>
        <v>112314829</v>
      </c>
      <c r="E3533" s="1">
        <v>0</v>
      </c>
      <c r="F3533" s="1">
        <v>0</v>
      </c>
      <c r="H3533" s="1">
        <v>0</v>
      </c>
    </row>
    <row r="3534" s="1" customFormat="1" spans="1:8">
      <c r="A3534" s="1" t="s">
        <v>17</v>
      </c>
      <c r="B3534" s="1" t="s">
        <v>23</v>
      </c>
      <c r="C3534" s="1" t="str">
        <f t="shared" si="70"/>
        <v>020092</v>
      </c>
      <c r="D3534" s="1" t="str">
        <f>"112314830"</f>
        <v>112314830</v>
      </c>
      <c r="E3534" s="1">
        <v>0</v>
      </c>
      <c r="F3534" s="1">
        <v>0</v>
      </c>
      <c r="H3534" s="1">
        <v>0</v>
      </c>
    </row>
    <row r="3535" s="1" customFormat="1" spans="1:8">
      <c r="A3535" s="1" t="s">
        <v>17</v>
      </c>
      <c r="B3535" s="1" t="s">
        <v>23</v>
      </c>
      <c r="C3535" s="1" t="str">
        <f t="shared" si="70"/>
        <v>020092</v>
      </c>
      <c r="D3535" s="1" t="str">
        <f>"112314901"</f>
        <v>112314901</v>
      </c>
      <c r="E3535" s="1">
        <v>68</v>
      </c>
      <c r="F3535" s="1">
        <v>76.5</v>
      </c>
      <c r="H3535" s="1">
        <v>71.4</v>
      </c>
    </row>
    <row r="3536" s="1" customFormat="1" spans="1:8">
      <c r="A3536" s="1" t="s">
        <v>17</v>
      </c>
      <c r="B3536" s="1" t="s">
        <v>23</v>
      </c>
      <c r="C3536" s="1" t="str">
        <f t="shared" si="70"/>
        <v>020092</v>
      </c>
      <c r="D3536" s="1" t="str">
        <f>"112314902"</f>
        <v>112314902</v>
      </c>
      <c r="E3536" s="1">
        <v>0</v>
      </c>
      <c r="F3536" s="1">
        <v>0</v>
      </c>
      <c r="H3536" s="1">
        <v>0</v>
      </c>
    </row>
    <row r="3537" s="1" customFormat="1" spans="1:8">
      <c r="A3537" s="1" t="s">
        <v>17</v>
      </c>
      <c r="B3537" s="1" t="s">
        <v>23</v>
      </c>
      <c r="C3537" s="1" t="str">
        <f t="shared" si="70"/>
        <v>020092</v>
      </c>
      <c r="D3537" s="1" t="str">
        <f>"112314903"</f>
        <v>112314903</v>
      </c>
      <c r="E3537" s="1">
        <v>90</v>
      </c>
      <c r="F3537" s="1">
        <v>73.5</v>
      </c>
      <c r="H3537" s="1">
        <v>83.4</v>
      </c>
    </row>
    <row r="3538" s="1" customFormat="1" spans="1:8">
      <c r="A3538" s="1" t="s">
        <v>17</v>
      </c>
      <c r="B3538" s="1" t="s">
        <v>23</v>
      </c>
      <c r="C3538" s="1" t="str">
        <f t="shared" si="70"/>
        <v>020092</v>
      </c>
      <c r="D3538" s="1" t="str">
        <f>"112314904"</f>
        <v>112314904</v>
      </c>
      <c r="E3538" s="1">
        <v>90.5</v>
      </c>
      <c r="F3538" s="1">
        <v>76</v>
      </c>
      <c r="H3538" s="1">
        <v>84.7</v>
      </c>
    </row>
    <row r="3539" s="1" customFormat="1" spans="1:8">
      <c r="A3539" s="1" t="s">
        <v>17</v>
      </c>
      <c r="B3539" s="1" t="s">
        <v>23</v>
      </c>
      <c r="C3539" s="1" t="str">
        <f t="shared" si="70"/>
        <v>020092</v>
      </c>
      <c r="D3539" s="1" t="str">
        <f>"112314905"</f>
        <v>112314905</v>
      </c>
      <c r="E3539" s="1">
        <v>65</v>
      </c>
      <c r="F3539" s="1">
        <v>62.5</v>
      </c>
      <c r="H3539" s="1">
        <v>64</v>
      </c>
    </row>
    <row r="3540" s="1" customFormat="1" spans="1:8">
      <c r="A3540" s="1" t="s">
        <v>17</v>
      </c>
      <c r="B3540" s="1" t="s">
        <v>23</v>
      </c>
      <c r="C3540" s="1" t="str">
        <f t="shared" si="70"/>
        <v>020092</v>
      </c>
      <c r="D3540" s="1" t="str">
        <f>"112314906"</f>
        <v>112314906</v>
      </c>
      <c r="E3540" s="1">
        <v>60.5</v>
      </c>
      <c r="F3540" s="1">
        <v>60</v>
      </c>
      <c r="H3540" s="1">
        <v>60.3</v>
      </c>
    </row>
    <row r="3541" s="1" customFormat="1" spans="1:8">
      <c r="A3541" s="1" t="s">
        <v>12</v>
      </c>
      <c r="B3541" s="1" t="s">
        <v>24</v>
      </c>
      <c r="C3541" s="1" t="str">
        <f t="shared" ref="C3541:C3601" si="71">"020074"</f>
        <v>020074</v>
      </c>
      <c r="D3541" s="1" t="str">
        <f>"112315101"</f>
        <v>112315101</v>
      </c>
      <c r="E3541" s="1">
        <v>79</v>
      </c>
      <c r="F3541" s="1">
        <v>53.5</v>
      </c>
      <c r="H3541" s="1">
        <v>68.8</v>
      </c>
    </row>
    <row r="3542" s="1" customFormat="1" spans="1:8">
      <c r="A3542" s="1" t="s">
        <v>12</v>
      </c>
      <c r="B3542" s="1" t="s">
        <v>24</v>
      </c>
      <c r="C3542" s="1" t="str">
        <f t="shared" si="71"/>
        <v>020074</v>
      </c>
      <c r="D3542" s="1" t="str">
        <f>"112315102"</f>
        <v>112315102</v>
      </c>
      <c r="E3542" s="1">
        <v>87.5</v>
      </c>
      <c r="F3542" s="1">
        <v>65</v>
      </c>
      <c r="H3542" s="1">
        <v>78.5</v>
      </c>
    </row>
    <row r="3543" s="1" customFormat="1" spans="1:8">
      <c r="A3543" s="1" t="s">
        <v>12</v>
      </c>
      <c r="B3543" s="1" t="s">
        <v>24</v>
      </c>
      <c r="C3543" s="1" t="str">
        <f t="shared" si="71"/>
        <v>020074</v>
      </c>
      <c r="D3543" s="1" t="str">
        <f>"112315103"</f>
        <v>112315103</v>
      </c>
      <c r="E3543" s="1">
        <v>0</v>
      </c>
      <c r="F3543" s="1">
        <v>0</v>
      </c>
      <c r="H3543" s="1">
        <v>0</v>
      </c>
    </row>
    <row r="3544" s="1" customFormat="1" spans="1:8">
      <c r="A3544" s="1" t="s">
        <v>12</v>
      </c>
      <c r="B3544" s="1" t="s">
        <v>24</v>
      </c>
      <c r="C3544" s="1" t="str">
        <f t="shared" si="71"/>
        <v>020074</v>
      </c>
      <c r="D3544" s="1" t="str">
        <f>"112315104"</f>
        <v>112315104</v>
      </c>
      <c r="E3544" s="1">
        <v>80.5</v>
      </c>
      <c r="F3544" s="1">
        <v>70</v>
      </c>
      <c r="H3544" s="1">
        <v>76.3</v>
      </c>
    </row>
    <row r="3545" s="1" customFormat="1" spans="1:8">
      <c r="A3545" s="1" t="s">
        <v>12</v>
      </c>
      <c r="B3545" s="1" t="s">
        <v>24</v>
      </c>
      <c r="C3545" s="1" t="str">
        <f t="shared" si="71"/>
        <v>020074</v>
      </c>
      <c r="D3545" s="1" t="str">
        <f>"112315105"</f>
        <v>112315105</v>
      </c>
      <c r="E3545" s="1">
        <v>0</v>
      </c>
      <c r="F3545" s="1">
        <v>0</v>
      </c>
      <c r="H3545" s="1">
        <v>0</v>
      </c>
    </row>
    <row r="3546" s="1" customFormat="1" spans="1:8">
      <c r="A3546" s="1" t="s">
        <v>12</v>
      </c>
      <c r="B3546" s="1" t="s">
        <v>24</v>
      </c>
      <c r="C3546" s="1" t="str">
        <f t="shared" si="71"/>
        <v>020074</v>
      </c>
      <c r="D3546" s="1" t="str">
        <f>"112315106"</f>
        <v>112315106</v>
      </c>
      <c r="E3546" s="1">
        <v>82.5</v>
      </c>
      <c r="F3546" s="1">
        <v>72</v>
      </c>
      <c r="H3546" s="1">
        <v>78.3</v>
      </c>
    </row>
    <row r="3547" s="1" customFormat="1" spans="1:8">
      <c r="A3547" s="1" t="s">
        <v>12</v>
      </c>
      <c r="B3547" s="1" t="s">
        <v>24</v>
      </c>
      <c r="C3547" s="1" t="str">
        <f t="shared" si="71"/>
        <v>020074</v>
      </c>
      <c r="D3547" s="1" t="str">
        <f>"112315107"</f>
        <v>112315107</v>
      </c>
      <c r="E3547" s="1">
        <v>68.5</v>
      </c>
      <c r="F3547" s="1">
        <v>37</v>
      </c>
      <c r="H3547" s="1">
        <v>55.9</v>
      </c>
    </row>
    <row r="3548" s="1" customFormat="1" spans="1:8">
      <c r="A3548" s="1" t="s">
        <v>12</v>
      </c>
      <c r="B3548" s="1" t="s">
        <v>24</v>
      </c>
      <c r="C3548" s="1" t="str">
        <f t="shared" si="71"/>
        <v>020074</v>
      </c>
      <c r="D3548" s="1" t="str">
        <f>"112315108"</f>
        <v>112315108</v>
      </c>
      <c r="E3548" s="1">
        <v>78</v>
      </c>
      <c r="F3548" s="1">
        <v>55</v>
      </c>
      <c r="H3548" s="1">
        <v>68.8</v>
      </c>
    </row>
    <row r="3549" s="1" customFormat="1" spans="1:8">
      <c r="A3549" s="1" t="s">
        <v>12</v>
      </c>
      <c r="B3549" s="1" t="s">
        <v>24</v>
      </c>
      <c r="C3549" s="1" t="str">
        <f t="shared" si="71"/>
        <v>020074</v>
      </c>
      <c r="D3549" s="1" t="str">
        <f>"112315109"</f>
        <v>112315109</v>
      </c>
      <c r="E3549" s="1">
        <v>0</v>
      </c>
      <c r="F3549" s="1">
        <v>0</v>
      </c>
      <c r="H3549" s="1">
        <v>0</v>
      </c>
    </row>
    <row r="3550" s="1" customFormat="1" spans="1:8">
      <c r="A3550" s="1" t="s">
        <v>12</v>
      </c>
      <c r="B3550" s="1" t="s">
        <v>24</v>
      </c>
      <c r="C3550" s="1" t="str">
        <f t="shared" si="71"/>
        <v>020074</v>
      </c>
      <c r="D3550" s="1" t="str">
        <f>"112315110"</f>
        <v>112315110</v>
      </c>
      <c r="E3550" s="1">
        <v>88</v>
      </c>
      <c r="F3550" s="1">
        <v>72</v>
      </c>
      <c r="H3550" s="1">
        <v>81.6</v>
      </c>
    </row>
    <row r="3551" s="1" customFormat="1" spans="1:8">
      <c r="A3551" s="1" t="s">
        <v>12</v>
      </c>
      <c r="B3551" s="1" t="s">
        <v>24</v>
      </c>
      <c r="C3551" s="1" t="str">
        <f t="shared" si="71"/>
        <v>020074</v>
      </c>
      <c r="D3551" s="1" t="str">
        <f>"112315111"</f>
        <v>112315111</v>
      </c>
      <c r="E3551" s="1">
        <v>72</v>
      </c>
      <c r="F3551" s="1">
        <v>62.5</v>
      </c>
      <c r="H3551" s="1">
        <v>68.2</v>
      </c>
    </row>
    <row r="3552" s="1" customFormat="1" spans="1:8">
      <c r="A3552" s="1" t="s">
        <v>12</v>
      </c>
      <c r="B3552" s="1" t="s">
        <v>24</v>
      </c>
      <c r="C3552" s="1" t="str">
        <f t="shared" si="71"/>
        <v>020074</v>
      </c>
      <c r="D3552" s="1" t="str">
        <f>"112315112"</f>
        <v>112315112</v>
      </c>
      <c r="E3552" s="1">
        <v>0</v>
      </c>
      <c r="F3552" s="1">
        <v>0</v>
      </c>
      <c r="H3552" s="1">
        <v>0</v>
      </c>
    </row>
    <row r="3553" s="1" customFormat="1" spans="1:8">
      <c r="A3553" s="1" t="s">
        <v>12</v>
      </c>
      <c r="B3553" s="1" t="s">
        <v>24</v>
      </c>
      <c r="C3553" s="1" t="str">
        <f t="shared" si="71"/>
        <v>020074</v>
      </c>
      <c r="D3553" s="1" t="str">
        <f>"112315113"</f>
        <v>112315113</v>
      </c>
      <c r="E3553" s="1">
        <v>0</v>
      </c>
      <c r="F3553" s="1">
        <v>0</v>
      </c>
      <c r="H3553" s="1">
        <v>0</v>
      </c>
    </row>
    <row r="3554" s="1" customFormat="1" spans="1:8">
      <c r="A3554" s="1" t="s">
        <v>12</v>
      </c>
      <c r="B3554" s="1" t="s">
        <v>24</v>
      </c>
      <c r="C3554" s="1" t="str">
        <f t="shared" si="71"/>
        <v>020074</v>
      </c>
      <c r="D3554" s="1" t="str">
        <f>"112315114"</f>
        <v>112315114</v>
      </c>
      <c r="E3554" s="1">
        <v>0</v>
      </c>
      <c r="F3554" s="1">
        <v>0</v>
      </c>
      <c r="H3554" s="1">
        <v>0</v>
      </c>
    </row>
    <row r="3555" s="1" customFormat="1" spans="1:8">
      <c r="A3555" s="1" t="s">
        <v>12</v>
      </c>
      <c r="B3555" s="1" t="s">
        <v>24</v>
      </c>
      <c r="C3555" s="1" t="str">
        <f t="shared" si="71"/>
        <v>020074</v>
      </c>
      <c r="D3555" s="1" t="str">
        <f>"112315115"</f>
        <v>112315115</v>
      </c>
      <c r="E3555" s="1">
        <v>84.5</v>
      </c>
      <c r="F3555" s="1">
        <v>62.5</v>
      </c>
      <c r="H3555" s="1">
        <v>75.7</v>
      </c>
    </row>
    <row r="3556" s="1" customFormat="1" spans="1:8">
      <c r="A3556" s="1" t="s">
        <v>12</v>
      </c>
      <c r="B3556" s="1" t="s">
        <v>24</v>
      </c>
      <c r="C3556" s="1" t="str">
        <f t="shared" si="71"/>
        <v>020074</v>
      </c>
      <c r="D3556" s="1" t="str">
        <f>"112315116"</f>
        <v>112315116</v>
      </c>
      <c r="E3556" s="1">
        <v>0</v>
      </c>
      <c r="F3556" s="1">
        <v>0</v>
      </c>
      <c r="H3556" s="1">
        <v>0</v>
      </c>
    </row>
    <row r="3557" s="1" customFormat="1" spans="1:8">
      <c r="A3557" s="1" t="s">
        <v>12</v>
      </c>
      <c r="B3557" s="1" t="s">
        <v>24</v>
      </c>
      <c r="C3557" s="1" t="str">
        <f t="shared" si="71"/>
        <v>020074</v>
      </c>
      <c r="D3557" s="1" t="str">
        <f>"112315117"</f>
        <v>112315117</v>
      </c>
      <c r="E3557" s="1">
        <v>0</v>
      </c>
      <c r="F3557" s="1">
        <v>0</v>
      </c>
      <c r="H3557" s="1">
        <v>0</v>
      </c>
    </row>
    <row r="3558" s="1" customFormat="1" spans="1:8">
      <c r="A3558" s="1" t="s">
        <v>12</v>
      </c>
      <c r="B3558" s="1" t="s">
        <v>24</v>
      </c>
      <c r="C3558" s="1" t="str">
        <f t="shared" si="71"/>
        <v>020074</v>
      </c>
      <c r="D3558" s="1" t="str">
        <f>"112315118"</f>
        <v>112315118</v>
      </c>
      <c r="E3558" s="1">
        <v>87</v>
      </c>
      <c r="F3558" s="1">
        <v>73.5</v>
      </c>
      <c r="H3558" s="1">
        <v>81.6</v>
      </c>
    </row>
    <row r="3559" s="1" customFormat="1" spans="1:8">
      <c r="A3559" s="1" t="s">
        <v>12</v>
      </c>
      <c r="B3559" s="1" t="s">
        <v>24</v>
      </c>
      <c r="C3559" s="1" t="str">
        <f t="shared" si="71"/>
        <v>020074</v>
      </c>
      <c r="D3559" s="1" t="str">
        <f>"112315119"</f>
        <v>112315119</v>
      </c>
      <c r="E3559" s="1">
        <v>97</v>
      </c>
      <c r="F3559" s="1">
        <v>59.5</v>
      </c>
      <c r="H3559" s="1">
        <v>82</v>
      </c>
    </row>
    <row r="3560" s="1" customFormat="1" spans="1:8">
      <c r="A3560" s="1" t="s">
        <v>12</v>
      </c>
      <c r="B3560" s="1" t="s">
        <v>24</v>
      </c>
      <c r="C3560" s="1" t="str">
        <f t="shared" si="71"/>
        <v>020074</v>
      </c>
      <c r="D3560" s="1" t="str">
        <f>"112315120"</f>
        <v>112315120</v>
      </c>
      <c r="E3560" s="1">
        <v>90</v>
      </c>
      <c r="F3560" s="1">
        <v>81</v>
      </c>
      <c r="H3560" s="1">
        <v>86.4</v>
      </c>
    </row>
    <row r="3561" s="1" customFormat="1" spans="1:8">
      <c r="A3561" s="1" t="s">
        <v>12</v>
      </c>
      <c r="B3561" s="1" t="s">
        <v>24</v>
      </c>
      <c r="C3561" s="1" t="str">
        <f t="shared" si="71"/>
        <v>020074</v>
      </c>
      <c r="D3561" s="1" t="str">
        <f>"112315121"</f>
        <v>112315121</v>
      </c>
      <c r="E3561" s="1">
        <v>92</v>
      </c>
      <c r="F3561" s="1">
        <v>56</v>
      </c>
      <c r="H3561" s="1">
        <v>77.6</v>
      </c>
    </row>
    <row r="3562" s="1" customFormat="1" spans="1:8">
      <c r="A3562" s="1" t="s">
        <v>12</v>
      </c>
      <c r="B3562" s="1" t="s">
        <v>24</v>
      </c>
      <c r="C3562" s="1" t="str">
        <f t="shared" si="71"/>
        <v>020074</v>
      </c>
      <c r="D3562" s="1" t="str">
        <f>"112315122"</f>
        <v>112315122</v>
      </c>
      <c r="E3562" s="1">
        <v>0</v>
      </c>
      <c r="F3562" s="1">
        <v>0</v>
      </c>
      <c r="H3562" s="1">
        <v>0</v>
      </c>
    </row>
    <row r="3563" s="1" customFormat="1" spans="1:8">
      <c r="A3563" s="1" t="s">
        <v>12</v>
      </c>
      <c r="B3563" s="1" t="s">
        <v>24</v>
      </c>
      <c r="C3563" s="1" t="str">
        <f t="shared" si="71"/>
        <v>020074</v>
      </c>
      <c r="D3563" s="1" t="str">
        <f>"112315123"</f>
        <v>112315123</v>
      </c>
      <c r="E3563" s="1">
        <v>90</v>
      </c>
      <c r="F3563" s="1">
        <v>74</v>
      </c>
      <c r="H3563" s="1">
        <v>83.6</v>
      </c>
    </row>
    <row r="3564" s="1" customFormat="1" spans="1:8">
      <c r="A3564" s="1" t="s">
        <v>12</v>
      </c>
      <c r="B3564" s="1" t="s">
        <v>24</v>
      </c>
      <c r="C3564" s="1" t="str">
        <f t="shared" si="71"/>
        <v>020074</v>
      </c>
      <c r="D3564" s="1" t="str">
        <f>"112315124"</f>
        <v>112315124</v>
      </c>
      <c r="E3564" s="1">
        <v>0</v>
      </c>
      <c r="F3564" s="1">
        <v>0</v>
      </c>
      <c r="H3564" s="1">
        <v>0</v>
      </c>
    </row>
    <row r="3565" s="1" customFormat="1" spans="1:8">
      <c r="A3565" s="1" t="s">
        <v>12</v>
      </c>
      <c r="B3565" s="1" t="s">
        <v>24</v>
      </c>
      <c r="C3565" s="1" t="str">
        <f t="shared" si="71"/>
        <v>020074</v>
      </c>
      <c r="D3565" s="1" t="str">
        <f>"112315125"</f>
        <v>112315125</v>
      </c>
      <c r="E3565" s="1">
        <v>0</v>
      </c>
      <c r="F3565" s="1">
        <v>0</v>
      </c>
      <c r="H3565" s="1">
        <v>0</v>
      </c>
    </row>
    <row r="3566" s="1" customFormat="1" spans="1:8">
      <c r="A3566" s="1" t="s">
        <v>12</v>
      </c>
      <c r="B3566" s="1" t="s">
        <v>24</v>
      </c>
      <c r="C3566" s="1" t="str">
        <f t="shared" si="71"/>
        <v>020074</v>
      </c>
      <c r="D3566" s="1" t="str">
        <f>"112315126"</f>
        <v>112315126</v>
      </c>
      <c r="E3566" s="1">
        <v>82</v>
      </c>
      <c r="F3566" s="1">
        <v>61.5</v>
      </c>
      <c r="H3566" s="1">
        <v>73.8</v>
      </c>
    </row>
    <row r="3567" s="1" customFormat="1" spans="1:8">
      <c r="A3567" s="1" t="s">
        <v>12</v>
      </c>
      <c r="B3567" s="1" t="s">
        <v>24</v>
      </c>
      <c r="C3567" s="1" t="str">
        <f t="shared" si="71"/>
        <v>020074</v>
      </c>
      <c r="D3567" s="1" t="str">
        <f>"112315127"</f>
        <v>112315127</v>
      </c>
      <c r="E3567" s="1">
        <v>89</v>
      </c>
      <c r="F3567" s="1">
        <v>88.5</v>
      </c>
      <c r="H3567" s="1">
        <v>88.8</v>
      </c>
    </row>
    <row r="3568" s="1" customFormat="1" spans="1:8">
      <c r="A3568" s="1" t="s">
        <v>12</v>
      </c>
      <c r="B3568" s="1" t="s">
        <v>24</v>
      </c>
      <c r="C3568" s="1" t="str">
        <f t="shared" si="71"/>
        <v>020074</v>
      </c>
      <c r="D3568" s="1" t="str">
        <f>"112315128"</f>
        <v>112315128</v>
      </c>
      <c r="E3568" s="1">
        <v>71</v>
      </c>
      <c r="F3568" s="1">
        <v>64.5</v>
      </c>
      <c r="H3568" s="1">
        <v>68.4</v>
      </c>
    </row>
    <row r="3569" s="1" customFormat="1" spans="1:8">
      <c r="A3569" s="1" t="s">
        <v>12</v>
      </c>
      <c r="B3569" s="1" t="s">
        <v>24</v>
      </c>
      <c r="C3569" s="1" t="str">
        <f t="shared" si="71"/>
        <v>020074</v>
      </c>
      <c r="D3569" s="1" t="str">
        <f>"112315129"</f>
        <v>112315129</v>
      </c>
      <c r="E3569" s="1">
        <v>80.5</v>
      </c>
      <c r="F3569" s="1">
        <v>59.5</v>
      </c>
      <c r="H3569" s="1">
        <v>72.1</v>
      </c>
    </row>
    <row r="3570" s="1" customFormat="1" spans="1:8">
      <c r="A3570" s="1" t="s">
        <v>12</v>
      </c>
      <c r="B3570" s="1" t="s">
        <v>24</v>
      </c>
      <c r="C3570" s="1" t="str">
        <f t="shared" si="71"/>
        <v>020074</v>
      </c>
      <c r="D3570" s="1" t="str">
        <f>"112315130"</f>
        <v>112315130</v>
      </c>
      <c r="E3570" s="1">
        <v>0</v>
      </c>
      <c r="F3570" s="1">
        <v>0</v>
      </c>
      <c r="H3570" s="1">
        <v>0</v>
      </c>
    </row>
    <row r="3571" s="1" customFormat="1" spans="1:8">
      <c r="A3571" s="1" t="s">
        <v>12</v>
      </c>
      <c r="B3571" s="1" t="s">
        <v>24</v>
      </c>
      <c r="C3571" s="1" t="str">
        <f t="shared" si="71"/>
        <v>020074</v>
      </c>
      <c r="D3571" s="1" t="str">
        <f>"112315201"</f>
        <v>112315201</v>
      </c>
      <c r="E3571" s="1">
        <v>0</v>
      </c>
      <c r="F3571" s="1">
        <v>0</v>
      </c>
      <c r="H3571" s="1">
        <v>0</v>
      </c>
    </row>
    <row r="3572" s="1" customFormat="1" spans="1:8">
      <c r="A3572" s="1" t="s">
        <v>12</v>
      </c>
      <c r="B3572" s="1" t="s">
        <v>24</v>
      </c>
      <c r="C3572" s="1" t="str">
        <f t="shared" si="71"/>
        <v>020074</v>
      </c>
      <c r="D3572" s="1" t="str">
        <f>"112315202"</f>
        <v>112315202</v>
      </c>
      <c r="E3572" s="1">
        <v>84</v>
      </c>
      <c r="F3572" s="1">
        <v>62</v>
      </c>
      <c r="H3572" s="1">
        <v>75.2</v>
      </c>
    </row>
    <row r="3573" s="1" customFormat="1" spans="1:8">
      <c r="A3573" s="1" t="s">
        <v>12</v>
      </c>
      <c r="B3573" s="1" t="s">
        <v>24</v>
      </c>
      <c r="C3573" s="1" t="str">
        <f t="shared" si="71"/>
        <v>020074</v>
      </c>
      <c r="D3573" s="1" t="str">
        <f>"112315203"</f>
        <v>112315203</v>
      </c>
      <c r="E3573" s="1">
        <v>81.5</v>
      </c>
      <c r="F3573" s="1">
        <v>77.5</v>
      </c>
      <c r="H3573" s="1">
        <v>79.9</v>
      </c>
    </row>
    <row r="3574" s="1" customFormat="1" spans="1:8">
      <c r="A3574" s="1" t="s">
        <v>12</v>
      </c>
      <c r="B3574" s="1" t="s">
        <v>24</v>
      </c>
      <c r="C3574" s="1" t="str">
        <f t="shared" si="71"/>
        <v>020074</v>
      </c>
      <c r="D3574" s="1" t="str">
        <f>"112315204"</f>
        <v>112315204</v>
      </c>
      <c r="E3574" s="1">
        <v>88</v>
      </c>
      <c r="F3574" s="1">
        <v>83.5</v>
      </c>
      <c r="H3574" s="1">
        <v>86.2</v>
      </c>
    </row>
    <row r="3575" s="1" customFormat="1" spans="1:8">
      <c r="A3575" s="1" t="s">
        <v>12</v>
      </c>
      <c r="B3575" s="1" t="s">
        <v>24</v>
      </c>
      <c r="C3575" s="1" t="str">
        <f t="shared" si="71"/>
        <v>020074</v>
      </c>
      <c r="D3575" s="1" t="str">
        <f>"112315205"</f>
        <v>112315205</v>
      </c>
      <c r="E3575" s="1">
        <v>0</v>
      </c>
      <c r="F3575" s="1">
        <v>0</v>
      </c>
      <c r="H3575" s="1">
        <v>0</v>
      </c>
    </row>
    <row r="3576" s="1" customFormat="1" spans="1:8">
      <c r="A3576" s="1" t="s">
        <v>12</v>
      </c>
      <c r="B3576" s="1" t="s">
        <v>24</v>
      </c>
      <c r="C3576" s="1" t="str">
        <f t="shared" si="71"/>
        <v>020074</v>
      </c>
      <c r="D3576" s="1" t="str">
        <f>"112315206"</f>
        <v>112315206</v>
      </c>
      <c r="E3576" s="1">
        <v>0</v>
      </c>
      <c r="F3576" s="1">
        <v>0</v>
      </c>
      <c r="H3576" s="1">
        <v>0</v>
      </c>
    </row>
    <row r="3577" s="1" customFormat="1" spans="1:8">
      <c r="A3577" s="1" t="s">
        <v>12</v>
      </c>
      <c r="B3577" s="1" t="s">
        <v>24</v>
      </c>
      <c r="C3577" s="1" t="str">
        <f t="shared" si="71"/>
        <v>020074</v>
      </c>
      <c r="D3577" s="1" t="str">
        <f>"112315207"</f>
        <v>112315207</v>
      </c>
      <c r="E3577" s="1">
        <v>82.5</v>
      </c>
      <c r="F3577" s="1">
        <v>73</v>
      </c>
      <c r="H3577" s="1">
        <v>78.7</v>
      </c>
    </row>
    <row r="3578" s="1" customFormat="1" spans="1:8">
      <c r="A3578" s="1" t="s">
        <v>12</v>
      </c>
      <c r="B3578" s="1" t="s">
        <v>24</v>
      </c>
      <c r="C3578" s="1" t="str">
        <f t="shared" si="71"/>
        <v>020074</v>
      </c>
      <c r="D3578" s="1" t="str">
        <f>"112315208"</f>
        <v>112315208</v>
      </c>
      <c r="E3578" s="1">
        <v>79.5</v>
      </c>
      <c r="F3578" s="1">
        <v>56</v>
      </c>
      <c r="H3578" s="1">
        <v>70.1</v>
      </c>
    </row>
    <row r="3579" s="1" customFormat="1" spans="1:8">
      <c r="A3579" s="1" t="s">
        <v>12</v>
      </c>
      <c r="B3579" s="1" t="s">
        <v>24</v>
      </c>
      <c r="C3579" s="1" t="str">
        <f t="shared" si="71"/>
        <v>020074</v>
      </c>
      <c r="D3579" s="1" t="str">
        <f>"112315209"</f>
        <v>112315209</v>
      </c>
      <c r="E3579" s="1">
        <v>86.5</v>
      </c>
      <c r="F3579" s="1">
        <v>82</v>
      </c>
      <c r="H3579" s="1">
        <v>84.7</v>
      </c>
    </row>
    <row r="3580" s="1" customFormat="1" spans="1:8">
      <c r="A3580" s="1" t="s">
        <v>12</v>
      </c>
      <c r="B3580" s="1" t="s">
        <v>24</v>
      </c>
      <c r="C3580" s="1" t="str">
        <f t="shared" si="71"/>
        <v>020074</v>
      </c>
      <c r="D3580" s="1" t="str">
        <f>"112315210"</f>
        <v>112315210</v>
      </c>
      <c r="E3580" s="1">
        <v>84</v>
      </c>
      <c r="F3580" s="1">
        <v>66</v>
      </c>
      <c r="H3580" s="1">
        <v>76.8</v>
      </c>
    </row>
    <row r="3581" s="1" customFormat="1" spans="1:8">
      <c r="A3581" s="1" t="s">
        <v>12</v>
      </c>
      <c r="B3581" s="1" t="s">
        <v>24</v>
      </c>
      <c r="C3581" s="1" t="str">
        <f t="shared" si="71"/>
        <v>020074</v>
      </c>
      <c r="D3581" s="1" t="str">
        <f>"112315211"</f>
        <v>112315211</v>
      </c>
      <c r="E3581" s="1">
        <v>83.5</v>
      </c>
      <c r="F3581" s="1">
        <v>78.5</v>
      </c>
      <c r="H3581" s="1">
        <v>81.5</v>
      </c>
    </row>
    <row r="3582" s="1" customFormat="1" spans="1:8">
      <c r="A3582" s="1" t="s">
        <v>12</v>
      </c>
      <c r="B3582" s="1" t="s">
        <v>24</v>
      </c>
      <c r="C3582" s="1" t="str">
        <f t="shared" si="71"/>
        <v>020074</v>
      </c>
      <c r="D3582" s="1" t="str">
        <f>"112315212"</f>
        <v>112315212</v>
      </c>
      <c r="E3582" s="1">
        <v>97.5</v>
      </c>
      <c r="F3582" s="1">
        <v>85</v>
      </c>
      <c r="H3582" s="1">
        <v>92.5</v>
      </c>
    </row>
    <row r="3583" s="1" customFormat="1" spans="1:8">
      <c r="A3583" s="1" t="s">
        <v>12</v>
      </c>
      <c r="B3583" s="1" t="s">
        <v>24</v>
      </c>
      <c r="C3583" s="1" t="str">
        <f t="shared" si="71"/>
        <v>020074</v>
      </c>
      <c r="D3583" s="1" t="str">
        <f>"112315213"</f>
        <v>112315213</v>
      </c>
      <c r="E3583" s="1">
        <v>82.5</v>
      </c>
      <c r="F3583" s="1">
        <v>65.5</v>
      </c>
      <c r="H3583" s="1">
        <v>75.7</v>
      </c>
    </row>
    <row r="3584" s="1" customFormat="1" spans="1:8">
      <c r="A3584" s="1" t="s">
        <v>12</v>
      </c>
      <c r="B3584" s="1" t="s">
        <v>24</v>
      </c>
      <c r="C3584" s="1" t="str">
        <f t="shared" si="71"/>
        <v>020074</v>
      </c>
      <c r="D3584" s="1" t="str">
        <f>"112315214"</f>
        <v>112315214</v>
      </c>
      <c r="E3584" s="1">
        <v>0</v>
      </c>
      <c r="F3584" s="1">
        <v>0</v>
      </c>
      <c r="H3584" s="1">
        <v>0</v>
      </c>
    </row>
    <row r="3585" s="1" customFormat="1" spans="1:8">
      <c r="A3585" s="1" t="s">
        <v>12</v>
      </c>
      <c r="B3585" s="1" t="s">
        <v>24</v>
      </c>
      <c r="C3585" s="1" t="str">
        <f t="shared" si="71"/>
        <v>020074</v>
      </c>
      <c r="D3585" s="1" t="str">
        <f>"112315215"</f>
        <v>112315215</v>
      </c>
      <c r="E3585" s="1">
        <v>75.5</v>
      </c>
      <c r="F3585" s="1">
        <v>61.5</v>
      </c>
      <c r="H3585" s="1">
        <v>69.9</v>
      </c>
    </row>
    <row r="3586" s="1" customFormat="1" spans="1:8">
      <c r="A3586" s="1" t="s">
        <v>12</v>
      </c>
      <c r="B3586" s="1" t="s">
        <v>24</v>
      </c>
      <c r="C3586" s="1" t="str">
        <f t="shared" si="71"/>
        <v>020074</v>
      </c>
      <c r="D3586" s="1" t="str">
        <f>"112315216"</f>
        <v>112315216</v>
      </c>
      <c r="E3586" s="1">
        <v>0</v>
      </c>
      <c r="F3586" s="1">
        <v>0</v>
      </c>
      <c r="H3586" s="1">
        <v>0</v>
      </c>
    </row>
    <row r="3587" s="1" customFormat="1" spans="1:8">
      <c r="A3587" s="1" t="s">
        <v>12</v>
      </c>
      <c r="B3587" s="1" t="s">
        <v>24</v>
      </c>
      <c r="C3587" s="1" t="str">
        <f t="shared" si="71"/>
        <v>020074</v>
      </c>
      <c r="D3587" s="1" t="str">
        <f>"112315217"</f>
        <v>112315217</v>
      </c>
      <c r="E3587" s="1">
        <v>70</v>
      </c>
      <c r="F3587" s="1">
        <v>72</v>
      </c>
      <c r="H3587" s="1">
        <v>70.8</v>
      </c>
    </row>
    <row r="3588" s="1" customFormat="1" spans="1:8">
      <c r="A3588" s="1" t="s">
        <v>12</v>
      </c>
      <c r="B3588" s="1" t="s">
        <v>24</v>
      </c>
      <c r="C3588" s="1" t="str">
        <f t="shared" si="71"/>
        <v>020074</v>
      </c>
      <c r="D3588" s="1" t="str">
        <f>"112315218"</f>
        <v>112315218</v>
      </c>
      <c r="E3588" s="1">
        <v>0</v>
      </c>
      <c r="F3588" s="1">
        <v>0</v>
      </c>
      <c r="H3588" s="1">
        <v>0</v>
      </c>
    </row>
    <row r="3589" s="1" customFormat="1" spans="1:8">
      <c r="A3589" s="1" t="s">
        <v>12</v>
      </c>
      <c r="B3589" s="1" t="s">
        <v>24</v>
      </c>
      <c r="C3589" s="1" t="str">
        <f t="shared" si="71"/>
        <v>020074</v>
      </c>
      <c r="D3589" s="1" t="str">
        <f>"112315219"</f>
        <v>112315219</v>
      </c>
      <c r="E3589" s="1">
        <v>73.5</v>
      </c>
      <c r="F3589" s="1">
        <v>54.5</v>
      </c>
      <c r="H3589" s="1">
        <v>65.9</v>
      </c>
    </row>
    <row r="3590" s="1" customFormat="1" spans="1:8">
      <c r="A3590" s="1" t="s">
        <v>12</v>
      </c>
      <c r="B3590" s="1" t="s">
        <v>24</v>
      </c>
      <c r="C3590" s="1" t="str">
        <f t="shared" si="71"/>
        <v>020074</v>
      </c>
      <c r="D3590" s="1" t="str">
        <f>"112315220"</f>
        <v>112315220</v>
      </c>
      <c r="E3590" s="1">
        <v>83.5</v>
      </c>
      <c r="F3590" s="1">
        <v>86</v>
      </c>
      <c r="H3590" s="1">
        <v>84.5</v>
      </c>
    </row>
    <row r="3591" s="1" customFormat="1" spans="1:8">
      <c r="A3591" s="1" t="s">
        <v>12</v>
      </c>
      <c r="B3591" s="1" t="s">
        <v>24</v>
      </c>
      <c r="C3591" s="1" t="str">
        <f t="shared" si="71"/>
        <v>020074</v>
      </c>
      <c r="D3591" s="1" t="str">
        <f>"112315221"</f>
        <v>112315221</v>
      </c>
      <c r="E3591" s="1">
        <v>77</v>
      </c>
      <c r="F3591" s="1">
        <v>79.5</v>
      </c>
      <c r="H3591" s="1">
        <v>78</v>
      </c>
    </row>
    <row r="3592" s="1" customFormat="1" spans="1:8">
      <c r="A3592" s="1" t="s">
        <v>12</v>
      </c>
      <c r="B3592" s="1" t="s">
        <v>24</v>
      </c>
      <c r="C3592" s="1" t="str">
        <f t="shared" si="71"/>
        <v>020074</v>
      </c>
      <c r="D3592" s="1" t="str">
        <f>"112315222"</f>
        <v>112315222</v>
      </c>
      <c r="E3592" s="1">
        <v>75</v>
      </c>
      <c r="F3592" s="1">
        <v>56.5</v>
      </c>
      <c r="H3592" s="1">
        <v>67.6</v>
      </c>
    </row>
    <row r="3593" s="1" customFormat="1" spans="1:8">
      <c r="A3593" s="1" t="s">
        <v>12</v>
      </c>
      <c r="B3593" s="1" t="s">
        <v>24</v>
      </c>
      <c r="C3593" s="1" t="str">
        <f t="shared" si="71"/>
        <v>020074</v>
      </c>
      <c r="D3593" s="1" t="str">
        <f>"112315223"</f>
        <v>112315223</v>
      </c>
      <c r="E3593" s="1">
        <v>79.5</v>
      </c>
      <c r="F3593" s="1">
        <v>55</v>
      </c>
      <c r="H3593" s="1">
        <v>69.7</v>
      </c>
    </row>
    <row r="3594" s="1" customFormat="1" spans="1:8">
      <c r="A3594" s="1" t="s">
        <v>12</v>
      </c>
      <c r="B3594" s="1" t="s">
        <v>24</v>
      </c>
      <c r="C3594" s="1" t="str">
        <f t="shared" si="71"/>
        <v>020074</v>
      </c>
      <c r="D3594" s="1" t="str">
        <f>"112315224"</f>
        <v>112315224</v>
      </c>
      <c r="E3594" s="1">
        <v>87</v>
      </c>
      <c r="F3594" s="1">
        <v>84.5</v>
      </c>
      <c r="H3594" s="1">
        <v>86</v>
      </c>
    </row>
    <row r="3595" s="1" customFormat="1" spans="1:8">
      <c r="A3595" s="1" t="s">
        <v>12</v>
      </c>
      <c r="B3595" s="1" t="s">
        <v>24</v>
      </c>
      <c r="C3595" s="1" t="str">
        <f t="shared" si="71"/>
        <v>020074</v>
      </c>
      <c r="D3595" s="1" t="str">
        <f>"112315225"</f>
        <v>112315225</v>
      </c>
      <c r="E3595" s="1">
        <v>75.5</v>
      </c>
      <c r="F3595" s="1">
        <v>32.5</v>
      </c>
      <c r="H3595" s="1">
        <v>58.3</v>
      </c>
    </row>
    <row r="3596" s="1" customFormat="1" spans="1:8">
      <c r="A3596" s="1" t="s">
        <v>12</v>
      </c>
      <c r="B3596" s="1" t="s">
        <v>24</v>
      </c>
      <c r="C3596" s="1" t="str">
        <f t="shared" si="71"/>
        <v>020074</v>
      </c>
      <c r="D3596" s="1" t="str">
        <f>"112315226"</f>
        <v>112315226</v>
      </c>
      <c r="E3596" s="1">
        <v>74.5</v>
      </c>
      <c r="F3596" s="1">
        <v>78</v>
      </c>
      <c r="H3596" s="1">
        <v>75.9</v>
      </c>
    </row>
    <row r="3597" s="1" customFormat="1" spans="1:8">
      <c r="A3597" s="1" t="s">
        <v>12</v>
      </c>
      <c r="B3597" s="1" t="s">
        <v>24</v>
      </c>
      <c r="C3597" s="1" t="str">
        <f t="shared" si="71"/>
        <v>020074</v>
      </c>
      <c r="D3597" s="1" t="str">
        <f>"112315227"</f>
        <v>112315227</v>
      </c>
      <c r="E3597" s="1">
        <v>0</v>
      </c>
      <c r="F3597" s="1">
        <v>0</v>
      </c>
      <c r="H3597" s="1">
        <v>0</v>
      </c>
    </row>
    <row r="3598" s="1" customFormat="1" spans="1:8">
      <c r="A3598" s="1" t="s">
        <v>12</v>
      </c>
      <c r="B3598" s="1" t="s">
        <v>24</v>
      </c>
      <c r="C3598" s="1" t="str">
        <f t="shared" si="71"/>
        <v>020074</v>
      </c>
      <c r="D3598" s="1" t="str">
        <f>"112315228"</f>
        <v>112315228</v>
      </c>
      <c r="E3598" s="1">
        <v>91.5</v>
      </c>
      <c r="F3598" s="1">
        <v>70</v>
      </c>
      <c r="H3598" s="1">
        <v>82.9</v>
      </c>
    </row>
    <row r="3599" s="1" customFormat="1" spans="1:8">
      <c r="A3599" s="1" t="s">
        <v>12</v>
      </c>
      <c r="B3599" s="1" t="s">
        <v>24</v>
      </c>
      <c r="C3599" s="1" t="str">
        <f t="shared" si="71"/>
        <v>020074</v>
      </c>
      <c r="D3599" s="1" t="str">
        <f>"112315229"</f>
        <v>112315229</v>
      </c>
      <c r="E3599" s="1">
        <v>0</v>
      </c>
      <c r="F3599" s="1">
        <v>0</v>
      </c>
      <c r="H3599" s="1">
        <v>0</v>
      </c>
    </row>
    <row r="3600" s="1" customFormat="1" spans="1:8">
      <c r="A3600" s="1" t="s">
        <v>12</v>
      </c>
      <c r="B3600" s="1" t="s">
        <v>24</v>
      </c>
      <c r="C3600" s="1" t="str">
        <f t="shared" si="71"/>
        <v>020074</v>
      </c>
      <c r="D3600" s="1" t="str">
        <f>"112315230"</f>
        <v>112315230</v>
      </c>
      <c r="E3600" s="1">
        <v>76</v>
      </c>
      <c r="F3600" s="1">
        <v>75.5</v>
      </c>
      <c r="H3600" s="1">
        <v>75.8</v>
      </c>
    </row>
    <row r="3601" s="1" customFormat="1" spans="1:8">
      <c r="A3601" s="1" t="s">
        <v>12</v>
      </c>
      <c r="B3601" s="1" t="s">
        <v>24</v>
      </c>
      <c r="C3601" s="1" t="str">
        <f t="shared" si="71"/>
        <v>020074</v>
      </c>
      <c r="D3601" s="1" t="str">
        <f>"112315301"</f>
        <v>112315301</v>
      </c>
      <c r="E3601" s="1">
        <v>81</v>
      </c>
      <c r="F3601" s="1">
        <v>65.5</v>
      </c>
      <c r="H3601" s="1">
        <v>74.8</v>
      </c>
    </row>
    <row r="3602" s="1" customFormat="1" spans="1:8">
      <c r="A3602" s="1" t="s">
        <v>8</v>
      </c>
      <c r="B3602" s="1" t="s">
        <v>25</v>
      </c>
      <c r="C3602" s="1" t="str">
        <f t="shared" ref="C3602:C3632" si="72">"020062"</f>
        <v>020062</v>
      </c>
      <c r="D3602" s="1" t="str">
        <f>"112315401"</f>
        <v>112315401</v>
      </c>
      <c r="E3602" s="1">
        <v>78.5</v>
      </c>
      <c r="F3602" s="1">
        <v>60</v>
      </c>
      <c r="H3602" s="1">
        <v>71.1</v>
      </c>
    </row>
    <row r="3603" s="1" customFormat="1" spans="1:8">
      <c r="A3603" s="1" t="s">
        <v>8</v>
      </c>
      <c r="B3603" s="1" t="s">
        <v>25</v>
      </c>
      <c r="C3603" s="1" t="str">
        <f t="shared" si="72"/>
        <v>020062</v>
      </c>
      <c r="D3603" s="1" t="str">
        <f>"112315402"</f>
        <v>112315402</v>
      </c>
      <c r="E3603" s="1">
        <v>0</v>
      </c>
      <c r="F3603" s="1">
        <v>0</v>
      </c>
      <c r="H3603" s="1">
        <v>0</v>
      </c>
    </row>
    <row r="3604" s="1" customFormat="1" spans="1:8">
      <c r="A3604" s="1" t="s">
        <v>8</v>
      </c>
      <c r="B3604" s="1" t="s">
        <v>25</v>
      </c>
      <c r="C3604" s="1" t="str">
        <f t="shared" si="72"/>
        <v>020062</v>
      </c>
      <c r="D3604" s="1" t="str">
        <f>"112315403"</f>
        <v>112315403</v>
      </c>
      <c r="E3604" s="1">
        <v>91.5</v>
      </c>
      <c r="F3604" s="1">
        <v>90.5</v>
      </c>
      <c r="H3604" s="1">
        <v>91.1</v>
      </c>
    </row>
    <row r="3605" s="1" customFormat="1" spans="1:8">
      <c r="A3605" s="1" t="s">
        <v>8</v>
      </c>
      <c r="B3605" s="1" t="s">
        <v>25</v>
      </c>
      <c r="C3605" s="1" t="str">
        <f t="shared" si="72"/>
        <v>020062</v>
      </c>
      <c r="D3605" s="1" t="str">
        <f>"112315404"</f>
        <v>112315404</v>
      </c>
      <c r="E3605" s="1">
        <v>0</v>
      </c>
      <c r="F3605" s="1">
        <v>0</v>
      </c>
      <c r="H3605" s="1">
        <v>0</v>
      </c>
    </row>
    <row r="3606" s="1" customFormat="1" spans="1:8">
      <c r="A3606" s="1" t="s">
        <v>8</v>
      </c>
      <c r="B3606" s="1" t="s">
        <v>25</v>
      </c>
      <c r="C3606" s="1" t="str">
        <f t="shared" si="72"/>
        <v>020062</v>
      </c>
      <c r="D3606" s="1" t="str">
        <f>"112315405"</f>
        <v>112315405</v>
      </c>
      <c r="E3606" s="1">
        <v>86.5</v>
      </c>
      <c r="F3606" s="1">
        <v>65</v>
      </c>
      <c r="G3606" s="1">
        <v>2</v>
      </c>
      <c r="H3606" s="1">
        <v>79.9</v>
      </c>
    </row>
    <row r="3607" s="1" customFormat="1" spans="1:8">
      <c r="A3607" s="1" t="s">
        <v>8</v>
      </c>
      <c r="B3607" s="1" t="s">
        <v>25</v>
      </c>
      <c r="C3607" s="1" t="str">
        <f t="shared" si="72"/>
        <v>020062</v>
      </c>
      <c r="D3607" s="1" t="str">
        <f>"112315406"</f>
        <v>112315406</v>
      </c>
      <c r="E3607" s="1">
        <v>93.5</v>
      </c>
      <c r="F3607" s="1">
        <v>77</v>
      </c>
      <c r="H3607" s="1">
        <v>86.9</v>
      </c>
    </row>
    <row r="3608" s="1" customFormat="1" spans="1:8">
      <c r="A3608" s="1" t="s">
        <v>8</v>
      </c>
      <c r="B3608" s="1" t="s">
        <v>25</v>
      </c>
      <c r="C3608" s="1" t="str">
        <f t="shared" si="72"/>
        <v>020062</v>
      </c>
      <c r="D3608" s="1" t="str">
        <f>"112315407"</f>
        <v>112315407</v>
      </c>
      <c r="E3608" s="1">
        <v>89.5</v>
      </c>
      <c r="F3608" s="1">
        <v>86.5</v>
      </c>
      <c r="H3608" s="1">
        <v>88.3</v>
      </c>
    </row>
    <row r="3609" s="1" customFormat="1" spans="1:8">
      <c r="A3609" s="1" t="s">
        <v>8</v>
      </c>
      <c r="B3609" s="1" t="s">
        <v>25</v>
      </c>
      <c r="C3609" s="1" t="str">
        <f t="shared" si="72"/>
        <v>020062</v>
      </c>
      <c r="D3609" s="1" t="str">
        <f>"112315408"</f>
        <v>112315408</v>
      </c>
      <c r="E3609" s="1">
        <v>0</v>
      </c>
      <c r="F3609" s="1">
        <v>0</v>
      </c>
      <c r="H3609" s="1">
        <v>0</v>
      </c>
    </row>
    <row r="3610" s="1" customFormat="1" spans="1:8">
      <c r="A3610" s="1" t="s">
        <v>8</v>
      </c>
      <c r="B3610" s="1" t="s">
        <v>25</v>
      </c>
      <c r="C3610" s="1" t="str">
        <f t="shared" si="72"/>
        <v>020062</v>
      </c>
      <c r="D3610" s="1" t="str">
        <f>"112315409"</f>
        <v>112315409</v>
      </c>
      <c r="E3610" s="1">
        <v>105</v>
      </c>
      <c r="F3610" s="1">
        <v>75.5</v>
      </c>
      <c r="H3610" s="1">
        <v>93.2</v>
      </c>
    </row>
    <row r="3611" s="1" customFormat="1" spans="1:8">
      <c r="A3611" s="1" t="s">
        <v>8</v>
      </c>
      <c r="B3611" s="1" t="s">
        <v>25</v>
      </c>
      <c r="C3611" s="1" t="str">
        <f t="shared" si="72"/>
        <v>020062</v>
      </c>
      <c r="D3611" s="1" t="str">
        <f>"112315410"</f>
        <v>112315410</v>
      </c>
      <c r="E3611" s="1">
        <v>81.5</v>
      </c>
      <c r="F3611" s="1">
        <v>74</v>
      </c>
      <c r="H3611" s="1">
        <v>78.5</v>
      </c>
    </row>
    <row r="3612" s="1" customFormat="1" spans="1:8">
      <c r="A3612" s="1" t="s">
        <v>8</v>
      </c>
      <c r="B3612" s="1" t="s">
        <v>25</v>
      </c>
      <c r="C3612" s="1" t="str">
        <f t="shared" si="72"/>
        <v>020062</v>
      </c>
      <c r="D3612" s="1" t="str">
        <f>"112315411"</f>
        <v>112315411</v>
      </c>
      <c r="E3612" s="1">
        <v>66</v>
      </c>
      <c r="F3612" s="1">
        <v>65</v>
      </c>
      <c r="H3612" s="1">
        <v>65.6</v>
      </c>
    </row>
    <row r="3613" s="1" customFormat="1" spans="1:8">
      <c r="A3613" s="1" t="s">
        <v>8</v>
      </c>
      <c r="B3613" s="1" t="s">
        <v>25</v>
      </c>
      <c r="C3613" s="1" t="str">
        <f t="shared" si="72"/>
        <v>020062</v>
      </c>
      <c r="D3613" s="1" t="str">
        <f>"112315412"</f>
        <v>112315412</v>
      </c>
      <c r="E3613" s="1">
        <v>80</v>
      </c>
      <c r="F3613" s="1">
        <v>58.5</v>
      </c>
      <c r="H3613" s="1">
        <v>71.4</v>
      </c>
    </row>
    <row r="3614" s="1" customFormat="1" spans="1:8">
      <c r="A3614" s="1" t="s">
        <v>8</v>
      </c>
      <c r="B3614" s="1" t="s">
        <v>25</v>
      </c>
      <c r="C3614" s="1" t="str">
        <f t="shared" si="72"/>
        <v>020062</v>
      </c>
      <c r="D3614" s="1" t="str">
        <f>"112315413"</f>
        <v>112315413</v>
      </c>
      <c r="E3614" s="1">
        <v>0</v>
      </c>
      <c r="F3614" s="1">
        <v>0</v>
      </c>
      <c r="H3614" s="1">
        <v>0</v>
      </c>
    </row>
    <row r="3615" s="1" customFormat="1" spans="1:8">
      <c r="A3615" s="1" t="s">
        <v>8</v>
      </c>
      <c r="B3615" s="1" t="s">
        <v>25</v>
      </c>
      <c r="C3615" s="1" t="str">
        <f t="shared" si="72"/>
        <v>020062</v>
      </c>
      <c r="D3615" s="1" t="str">
        <f>"112315414"</f>
        <v>112315414</v>
      </c>
      <c r="E3615" s="1">
        <v>80.5</v>
      </c>
      <c r="F3615" s="1">
        <v>68</v>
      </c>
      <c r="H3615" s="1">
        <v>75.5</v>
      </c>
    </row>
    <row r="3616" s="1" customFormat="1" spans="1:8">
      <c r="A3616" s="1" t="s">
        <v>8</v>
      </c>
      <c r="B3616" s="1" t="s">
        <v>25</v>
      </c>
      <c r="C3616" s="1" t="str">
        <f t="shared" si="72"/>
        <v>020062</v>
      </c>
      <c r="D3616" s="1" t="str">
        <f>"112315415"</f>
        <v>112315415</v>
      </c>
      <c r="E3616" s="1">
        <v>0</v>
      </c>
      <c r="F3616" s="1">
        <v>0</v>
      </c>
      <c r="H3616" s="1">
        <v>0</v>
      </c>
    </row>
    <row r="3617" s="1" customFormat="1" spans="1:8">
      <c r="A3617" s="1" t="s">
        <v>8</v>
      </c>
      <c r="B3617" s="1" t="s">
        <v>25</v>
      </c>
      <c r="C3617" s="1" t="str">
        <f t="shared" si="72"/>
        <v>020062</v>
      </c>
      <c r="D3617" s="1" t="str">
        <f>"112315416"</f>
        <v>112315416</v>
      </c>
      <c r="E3617" s="1">
        <v>77.5</v>
      </c>
      <c r="F3617" s="1">
        <v>64</v>
      </c>
      <c r="H3617" s="1">
        <v>72.1</v>
      </c>
    </row>
    <row r="3618" s="1" customFormat="1" spans="1:8">
      <c r="A3618" s="1" t="s">
        <v>8</v>
      </c>
      <c r="B3618" s="1" t="s">
        <v>25</v>
      </c>
      <c r="C3618" s="1" t="str">
        <f t="shared" si="72"/>
        <v>020062</v>
      </c>
      <c r="D3618" s="1" t="str">
        <f>"112315417"</f>
        <v>112315417</v>
      </c>
      <c r="E3618" s="1">
        <v>85</v>
      </c>
      <c r="F3618" s="1">
        <v>86.5</v>
      </c>
      <c r="H3618" s="1">
        <v>85.6</v>
      </c>
    </row>
    <row r="3619" s="1" customFormat="1" spans="1:8">
      <c r="A3619" s="1" t="s">
        <v>8</v>
      </c>
      <c r="B3619" s="1" t="s">
        <v>25</v>
      </c>
      <c r="C3619" s="1" t="str">
        <f t="shared" si="72"/>
        <v>020062</v>
      </c>
      <c r="D3619" s="1" t="str">
        <f>"112315418"</f>
        <v>112315418</v>
      </c>
      <c r="E3619" s="1">
        <v>91.5</v>
      </c>
      <c r="F3619" s="1">
        <v>66</v>
      </c>
      <c r="H3619" s="1">
        <v>81.3</v>
      </c>
    </row>
    <row r="3620" s="1" customFormat="1" spans="1:8">
      <c r="A3620" s="1" t="s">
        <v>8</v>
      </c>
      <c r="B3620" s="1" t="s">
        <v>25</v>
      </c>
      <c r="C3620" s="1" t="str">
        <f t="shared" si="72"/>
        <v>020062</v>
      </c>
      <c r="D3620" s="1" t="str">
        <f>"112315419"</f>
        <v>112315419</v>
      </c>
      <c r="E3620" s="1">
        <v>84.5</v>
      </c>
      <c r="F3620" s="1">
        <v>77</v>
      </c>
      <c r="H3620" s="1">
        <v>81.5</v>
      </c>
    </row>
    <row r="3621" s="1" customFormat="1" spans="1:8">
      <c r="A3621" s="1" t="s">
        <v>8</v>
      </c>
      <c r="B3621" s="1" t="s">
        <v>25</v>
      </c>
      <c r="C3621" s="1" t="str">
        <f t="shared" si="72"/>
        <v>020062</v>
      </c>
      <c r="D3621" s="1" t="str">
        <f>"112315420"</f>
        <v>112315420</v>
      </c>
      <c r="E3621" s="1">
        <v>95.5</v>
      </c>
      <c r="F3621" s="1">
        <v>78</v>
      </c>
      <c r="H3621" s="1">
        <v>88.5</v>
      </c>
    </row>
    <row r="3622" s="1" customFormat="1" spans="1:8">
      <c r="A3622" s="1" t="s">
        <v>8</v>
      </c>
      <c r="B3622" s="1" t="s">
        <v>25</v>
      </c>
      <c r="C3622" s="1" t="str">
        <f t="shared" si="72"/>
        <v>020062</v>
      </c>
      <c r="D3622" s="1" t="str">
        <f>"112315421"</f>
        <v>112315421</v>
      </c>
      <c r="E3622" s="1">
        <v>47.5</v>
      </c>
      <c r="F3622" s="1">
        <v>87.5</v>
      </c>
      <c r="H3622" s="1">
        <v>63.5</v>
      </c>
    </row>
    <row r="3623" s="1" customFormat="1" spans="1:8">
      <c r="A3623" s="1" t="s">
        <v>8</v>
      </c>
      <c r="B3623" s="1" t="s">
        <v>25</v>
      </c>
      <c r="C3623" s="1" t="str">
        <f t="shared" si="72"/>
        <v>020062</v>
      </c>
      <c r="D3623" s="1" t="str">
        <f>"112315422"</f>
        <v>112315422</v>
      </c>
      <c r="E3623" s="1">
        <v>91</v>
      </c>
      <c r="F3623" s="1">
        <v>79</v>
      </c>
      <c r="H3623" s="1">
        <v>86.2</v>
      </c>
    </row>
    <row r="3624" s="1" customFormat="1" spans="1:8">
      <c r="A3624" s="1" t="s">
        <v>8</v>
      </c>
      <c r="B3624" s="1" t="s">
        <v>25</v>
      </c>
      <c r="C3624" s="1" t="str">
        <f t="shared" si="72"/>
        <v>020062</v>
      </c>
      <c r="D3624" s="1" t="str">
        <f>"112315423"</f>
        <v>112315423</v>
      </c>
      <c r="E3624" s="1">
        <v>96.5</v>
      </c>
      <c r="F3624" s="1">
        <v>60</v>
      </c>
      <c r="H3624" s="1">
        <v>81.9</v>
      </c>
    </row>
    <row r="3625" s="1" customFormat="1" spans="1:8">
      <c r="A3625" s="1" t="s">
        <v>8</v>
      </c>
      <c r="B3625" s="1" t="s">
        <v>25</v>
      </c>
      <c r="C3625" s="1" t="str">
        <f t="shared" si="72"/>
        <v>020062</v>
      </c>
      <c r="D3625" s="1" t="str">
        <f>"112315424"</f>
        <v>112315424</v>
      </c>
      <c r="E3625" s="1">
        <v>85.5</v>
      </c>
      <c r="F3625" s="1">
        <v>57.5</v>
      </c>
      <c r="H3625" s="1">
        <v>74.3</v>
      </c>
    </row>
    <row r="3626" s="1" customFormat="1" spans="1:8">
      <c r="A3626" s="1" t="s">
        <v>8</v>
      </c>
      <c r="B3626" s="1" t="s">
        <v>25</v>
      </c>
      <c r="C3626" s="1" t="str">
        <f t="shared" si="72"/>
        <v>020062</v>
      </c>
      <c r="D3626" s="1" t="str">
        <f>"112315425"</f>
        <v>112315425</v>
      </c>
      <c r="E3626" s="1">
        <v>59</v>
      </c>
      <c r="F3626" s="1">
        <v>78.5</v>
      </c>
      <c r="G3626" s="1">
        <v>2</v>
      </c>
      <c r="H3626" s="1">
        <v>68.8</v>
      </c>
    </row>
    <row r="3627" s="1" customFormat="1" spans="1:8">
      <c r="A3627" s="1" t="s">
        <v>8</v>
      </c>
      <c r="B3627" s="1" t="s">
        <v>25</v>
      </c>
      <c r="C3627" s="1" t="str">
        <f t="shared" si="72"/>
        <v>020062</v>
      </c>
      <c r="D3627" s="1" t="str">
        <f>"112315426"</f>
        <v>112315426</v>
      </c>
      <c r="E3627" s="1">
        <v>63</v>
      </c>
      <c r="F3627" s="1">
        <v>66.5</v>
      </c>
      <c r="H3627" s="1">
        <v>64.4</v>
      </c>
    </row>
    <row r="3628" s="1" customFormat="1" spans="1:8">
      <c r="A3628" s="1" t="s">
        <v>8</v>
      </c>
      <c r="B3628" s="1" t="s">
        <v>25</v>
      </c>
      <c r="C3628" s="1" t="str">
        <f t="shared" si="72"/>
        <v>020062</v>
      </c>
      <c r="D3628" s="1" t="str">
        <f>"112315427"</f>
        <v>112315427</v>
      </c>
      <c r="E3628" s="1">
        <v>0</v>
      </c>
      <c r="F3628" s="1">
        <v>0</v>
      </c>
      <c r="H3628" s="1">
        <v>0</v>
      </c>
    </row>
    <row r="3629" s="1" customFormat="1" spans="1:8">
      <c r="A3629" s="1" t="s">
        <v>8</v>
      </c>
      <c r="B3629" s="1" t="s">
        <v>25</v>
      </c>
      <c r="C3629" s="1" t="str">
        <f t="shared" si="72"/>
        <v>020062</v>
      </c>
      <c r="D3629" s="1" t="str">
        <f>"112315428"</f>
        <v>112315428</v>
      </c>
      <c r="E3629" s="1">
        <v>61.5</v>
      </c>
      <c r="F3629" s="1">
        <v>67</v>
      </c>
      <c r="H3629" s="1">
        <v>63.7</v>
      </c>
    </row>
    <row r="3630" s="1" customFormat="1" spans="1:8">
      <c r="A3630" s="1" t="s">
        <v>8</v>
      </c>
      <c r="B3630" s="1" t="s">
        <v>25</v>
      </c>
      <c r="C3630" s="1" t="str">
        <f t="shared" si="72"/>
        <v>020062</v>
      </c>
      <c r="D3630" s="1" t="str">
        <f>"112315429"</f>
        <v>112315429</v>
      </c>
      <c r="E3630" s="1">
        <v>73</v>
      </c>
      <c r="F3630" s="1">
        <v>72</v>
      </c>
      <c r="H3630" s="1">
        <v>72.6</v>
      </c>
    </row>
    <row r="3631" s="1" customFormat="1" spans="1:8">
      <c r="A3631" s="1" t="s">
        <v>8</v>
      </c>
      <c r="B3631" s="1" t="s">
        <v>25</v>
      </c>
      <c r="C3631" s="1" t="str">
        <f t="shared" si="72"/>
        <v>020062</v>
      </c>
      <c r="D3631" s="1" t="str">
        <f>"112315430"</f>
        <v>112315430</v>
      </c>
      <c r="E3631" s="1">
        <v>59</v>
      </c>
      <c r="F3631" s="1">
        <v>55.5</v>
      </c>
      <c r="H3631" s="1">
        <v>57.6</v>
      </c>
    </row>
    <row r="3632" s="1" customFormat="1" spans="1:8">
      <c r="A3632" s="1" t="s">
        <v>8</v>
      </c>
      <c r="B3632" s="1" t="s">
        <v>25</v>
      </c>
      <c r="C3632" s="1" t="str">
        <f t="shared" si="72"/>
        <v>020062</v>
      </c>
      <c r="D3632" s="1" t="str">
        <f>"112315501"</f>
        <v>112315501</v>
      </c>
      <c r="E3632" s="1">
        <v>83</v>
      </c>
      <c r="F3632" s="1">
        <v>66.5</v>
      </c>
      <c r="H3632" s="1">
        <v>76.4</v>
      </c>
    </row>
    <row r="3633" s="1" customFormat="1" spans="1:8">
      <c r="A3633" s="1" t="s">
        <v>12</v>
      </c>
      <c r="B3633" s="1" t="s">
        <v>25</v>
      </c>
      <c r="C3633" s="1" t="str">
        <f t="shared" ref="C3633:C3646" si="73">"020079"</f>
        <v>020079</v>
      </c>
      <c r="D3633" s="1" t="str">
        <f>"112315502"</f>
        <v>112315502</v>
      </c>
      <c r="E3633" s="1">
        <v>76</v>
      </c>
      <c r="F3633" s="1">
        <v>69</v>
      </c>
      <c r="H3633" s="1">
        <v>73.2</v>
      </c>
    </row>
    <row r="3634" s="1" customFormat="1" spans="1:8">
      <c r="A3634" s="1" t="s">
        <v>12</v>
      </c>
      <c r="B3634" s="1" t="s">
        <v>25</v>
      </c>
      <c r="C3634" s="1" t="str">
        <f t="shared" si="73"/>
        <v>020079</v>
      </c>
      <c r="D3634" s="1" t="str">
        <f>"112315503"</f>
        <v>112315503</v>
      </c>
      <c r="E3634" s="1">
        <v>70.5</v>
      </c>
      <c r="F3634" s="1">
        <v>83</v>
      </c>
      <c r="H3634" s="1">
        <v>75.5</v>
      </c>
    </row>
    <row r="3635" s="1" customFormat="1" spans="1:8">
      <c r="A3635" s="1" t="s">
        <v>12</v>
      </c>
      <c r="B3635" s="1" t="s">
        <v>25</v>
      </c>
      <c r="C3635" s="1" t="str">
        <f t="shared" si="73"/>
        <v>020079</v>
      </c>
      <c r="D3635" s="1" t="str">
        <f>"112315504"</f>
        <v>112315504</v>
      </c>
      <c r="E3635" s="1">
        <v>65.5</v>
      </c>
      <c r="F3635" s="1">
        <v>41</v>
      </c>
      <c r="H3635" s="1">
        <v>55.7</v>
      </c>
    </row>
    <row r="3636" s="1" customFormat="1" spans="1:8">
      <c r="A3636" s="1" t="s">
        <v>12</v>
      </c>
      <c r="B3636" s="1" t="s">
        <v>25</v>
      </c>
      <c r="C3636" s="1" t="str">
        <f t="shared" si="73"/>
        <v>020079</v>
      </c>
      <c r="D3636" s="1" t="str">
        <f>"112315505"</f>
        <v>112315505</v>
      </c>
      <c r="E3636" s="1">
        <v>61</v>
      </c>
      <c r="F3636" s="1">
        <v>47</v>
      </c>
      <c r="H3636" s="1">
        <v>55.4</v>
      </c>
    </row>
    <row r="3637" s="1" customFormat="1" spans="1:8">
      <c r="A3637" s="1" t="s">
        <v>12</v>
      </c>
      <c r="B3637" s="1" t="s">
        <v>25</v>
      </c>
      <c r="C3637" s="1" t="str">
        <f t="shared" si="73"/>
        <v>020079</v>
      </c>
      <c r="D3637" s="1" t="str">
        <f>"112315506"</f>
        <v>112315506</v>
      </c>
      <c r="E3637" s="1">
        <v>67.5</v>
      </c>
      <c r="F3637" s="1">
        <v>59</v>
      </c>
      <c r="H3637" s="1">
        <v>64.1</v>
      </c>
    </row>
    <row r="3638" s="1" customFormat="1" spans="1:8">
      <c r="A3638" s="1" t="s">
        <v>12</v>
      </c>
      <c r="B3638" s="1" t="s">
        <v>25</v>
      </c>
      <c r="C3638" s="1" t="str">
        <f t="shared" si="73"/>
        <v>020079</v>
      </c>
      <c r="D3638" s="1" t="str">
        <f>"112315507"</f>
        <v>112315507</v>
      </c>
      <c r="E3638" s="1">
        <v>77.5</v>
      </c>
      <c r="F3638" s="1">
        <v>66</v>
      </c>
      <c r="H3638" s="1">
        <v>72.9</v>
      </c>
    </row>
    <row r="3639" s="1" customFormat="1" spans="1:8">
      <c r="A3639" s="1" t="s">
        <v>12</v>
      </c>
      <c r="B3639" s="1" t="s">
        <v>25</v>
      </c>
      <c r="C3639" s="1" t="str">
        <f t="shared" si="73"/>
        <v>020079</v>
      </c>
      <c r="D3639" s="1" t="str">
        <f>"112315508"</f>
        <v>112315508</v>
      </c>
      <c r="E3639" s="1">
        <v>103.5</v>
      </c>
      <c r="F3639" s="1">
        <v>90.5</v>
      </c>
      <c r="H3639" s="1">
        <v>98.3</v>
      </c>
    </row>
    <row r="3640" s="1" customFormat="1" spans="1:8">
      <c r="A3640" s="1" t="s">
        <v>12</v>
      </c>
      <c r="B3640" s="1" t="s">
        <v>25</v>
      </c>
      <c r="C3640" s="1" t="str">
        <f t="shared" si="73"/>
        <v>020079</v>
      </c>
      <c r="D3640" s="1" t="str">
        <f>"112315509"</f>
        <v>112315509</v>
      </c>
      <c r="E3640" s="1">
        <v>67.5</v>
      </c>
      <c r="F3640" s="1">
        <v>66.5</v>
      </c>
      <c r="H3640" s="1">
        <v>67.1</v>
      </c>
    </row>
    <row r="3641" s="1" customFormat="1" spans="1:8">
      <c r="A3641" s="1" t="s">
        <v>12</v>
      </c>
      <c r="B3641" s="1" t="s">
        <v>25</v>
      </c>
      <c r="C3641" s="1" t="str">
        <f t="shared" si="73"/>
        <v>020079</v>
      </c>
      <c r="D3641" s="1" t="str">
        <f>"112315510"</f>
        <v>112315510</v>
      </c>
      <c r="E3641" s="1">
        <v>61.5</v>
      </c>
      <c r="F3641" s="1">
        <v>66.5</v>
      </c>
      <c r="H3641" s="1">
        <v>63.5</v>
      </c>
    </row>
    <row r="3642" s="1" customFormat="1" spans="1:8">
      <c r="A3642" s="1" t="s">
        <v>12</v>
      </c>
      <c r="B3642" s="1" t="s">
        <v>25</v>
      </c>
      <c r="C3642" s="1" t="str">
        <f t="shared" si="73"/>
        <v>020079</v>
      </c>
      <c r="D3642" s="1" t="str">
        <f>"112315511"</f>
        <v>112315511</v>
      </c>
      <c r="E3642" s="1">
        <v>54</v>
      </c>
      <c r="F3642" s="1">
        <v>74</v>
      </c>
      <c r="H3642" s="1">
        <v>62</v>
      </c>
    </row>
    <row r="3643" s="1" customFormat="1" spans="1:8">
      <c r="A3643" s="1" t="s">
        <v>12</v>
      </c>
      <c r="B3643" s="1" t="s">
        <v>25</v>
      </c>
      <c r="C3643" s="1" t="str">
        <f t="shared" si="73"/>
        <v>020079</v>
      </c>
      <c r="D3643" s="1" t="str">
        <f>"112315512"</f>
        <v>112315512</v>
      </c>
      <c r="E3643" s="1">
        <v>81</v>
      </c>
      <c r="F3643" s="1">
        <v>71.5</v>
      </c>
      <c r="H3643" s="1">
        <v>77.2</v>
      </c>
    </row>
    <row r="3644" s="1" customFormat="1" spans="1:8">
      <c r="A3644" s="1" t="s">
        <v>12</v>
      </c>
      <c r="B3644" s="1" t="s">
        <v>25</v>
      </c>
      <c r="C3644" s="1" t="str">
        <f t="shared" si="73"/>
        <v>020079</v>
      </c>
      <c r="D3644" s="1" t="str">
        <f>"112315513"</f>
        <v>112315513</v>
      </c>
      <c r="E3644" s="1">
        <v>95.5</v>
      </c>
      <c r="F3644" s="1">
        <v>78.5</v>
      </c>
      <c r="H3644" s="1">
        <v>88.7</v>
      </c>
    </row>
    <row r="3645" s="1" customFormat="1" spans="1:8">
      <c r="A3645" s="1" t="s">
        <v>12</v>
      </c>
      <c r="B3645" s="1" t="s">
        <v>25</v>
      </c>
      <c r="C3645" s="1" t="str">
        <f t="shared" si="73"/>
        <v>020079</v>
      </c>
      <c r="D3645" s="1" t="str">
        <f>"112315514"</f>
        <v>112315514</v>
      </c>
      <c r="E3645" s="1">
        <v>69</v>
      </c>
      <c r="F3645" s="1">
        <v>77.5</v>
      </c>
      <c r="H3645" s="1">
        <v>72.4</v>
      </c>
    </row>
    <row r="3646" s="1" customFormat="1" spans="1:8">
      <c r="A3646" s="1" t="s">
        <v>12</v>
      </c>
      <c r="B3646" s="1" t="s">
        <v>25</v>
      </c>
      <c r="C3646" s="1" t="str">
        <f t="shared" si="73"/>
        <v>020079</v>
      </c>
      <c r="D3646" s="1" t="str">
        <f>"112315515"</f>
        <v>112315515</v>
      </c>
      <c r="E3646" s="1">
        <v>63.5</v>
      </c>
      <c r="F3646" s="1">
        <v>53.5</v>
      </c>
      <c r="H3646" s="1">
        <v>59.5</v>
      </c>
    </row>
    <row r="3647" s="1" customFormat="1" spans="1:8">
      <c r="A3647" s="1" t="s">
        <v>12</v>
      </c>
      <c r="B3647" s="1" t="s">
        <v>26</v>
      </c>
      <c r="C3647" s="1" t="str">
        <f t="shared" ref="C3647:C3689" si="74">"020078"</f>
        <v>020078</v>
      </c>
      <c r="D3647" s="1" t="str">
        <f>"112315601"</f>
        <v>112315601</v>
      </c>
      <c r="E3647" s="1">
        <v>59</v>
      </c>
      <c r="F3647" s="1">
        <v>57</v>
      </c>
      <c r="H3647" s="1">
        <v>58.2</v>
      </c>
    </row>
    <row r="3648" s="1" customFormat="1" spans="1:8">
      <c r="A3648" s="1" t="s">
        <v>12</v>
      </c>
      <c r="B3648" s="1" t="s">
        <v>26</v>
      </c>
      <c r="C3648" s="1" t="str">
        <f t="shared" si="74"/>
        <v>020078</v>
      </c>
      <c r="D3648" s="1" t="str">
        <f>"112315602"</f>
        <v>112315602</v>
      </c>
      <c r="E3648" s="1">
        <v>82.5</v>
      </c>
      <c r="F3648" s="1">
        <v>87.5</v>
      </c>
      <c r="H3648" s="1">
        <v>84.5</v>
      </c>
    </row>
    <row r="3649" s="1" customFormat="1" spans="1:8">
      <c r="A3649" s="1" t="s">
        <v>12</v>
      </c>
      <c r="B3649" s="1" t="s">
        <v>26</v>
      </c>
      <c r="C3649" s="1" t="str">
        <f t="shared" si="74"/>
        <v>020078</v>
      </c>
      <c r="D3649" s="1" t="str">
        <f>"112315603"</f>
        <v>112315603</v>
      </c>
      <c r="E3649" s="1">
        <v>0</v>
      </c>
      <c r="F3649" s="1">
        <v>0</v>
      </c>
      <c r="H3649" s="1">
        <v>0</v>
      </c>
    </row>
    <row r="3650" s="1" customFormat="1" spans="1:8">
      <c r="A3650" s="1" t="s">
        <v>12</v>
      </c>
      <c r="B3650" s="1" t="s">
        <v>26</v>
      </c>
      <c r="C3650" s="1" t="str">
        <f t="shared" si="74"/>
        <v>020078</v>
      </c>
      <c r="D3650" s="1" t="str">
        <f>"112315604"</f>
        <v>112315604</v>
      </c>
      <c r="E3650" s="1">
        <v>44</v>
      </c>
      <c r="F3650" s="1">
        <v>0</v>
      </c>
      <c r="H3650" s="1">
        <v>26.4</v>
      </c>
    </row>
    <row r="3651" s="1" customFormat="1" spans="1:8">
      <c r="A3651" s="1" t="s">
        <v>12</v>
      </c>
      <c r="B3651" s="1" t="s">
        <v>26</v>
      </c>
      <c r="C3651" s="1" t="str">
        <f t="shared" si="74"/>
        <v>020078</v>
      </c>
      <c r="D3651" s="1" t="str">
        <f>"112315605"</f>
        <v>112315605</v>
      </c>
      <c r="E3651" s="1">
        <v>93.5</v>
      </c>
      <c r="F3651" s="1">
        <v>88.5</v>
      </c>
      <c r="H3651" s="1">
        <v>91.5</v>
      </c>
    </row>
    <row r="3652" s="1" customFormat="1" spans="1:8">
      <c r="A3652" s="1" t="s">
        <v>12</v>
      </c>
      <c r="B3652" s="1" t="s">
        <v>26</v>
      </c>
      <c r="C3652" s="1" t="str">
        <f t="shared" si="74"/>
        <v>020078</v>
      </c>
      <c r="D3652" s="1" t="str">
        <f>"112315606"</f>
        <v>112315606</v>
      </c>
      <c r="E3652" s="1">
        <v>57.5</v>
      </c>
      <c r="F3652" s="1">
        <v>77</v>
      </c>
      <c r="H3652" s="1">
        <v>65.3</v>
      </c>
    </row>
    <row r="3653" s="1" customFormat="1" spans="1:8">
      <c r="A3653" s="1" t="s">
        <v>12</v>
      </c>
      <c r="B3653" s="1" t="s">
        <v>26</v>
      </c>
      <c r="C3653" s="1" t="str">
        <f t="shared" si="74"/>
        <v>020078</v>
      </c>
      <c r="D3653" s="1" t="str">
        <f>"112315607"</f>
        <v>112315607</v>
      </c>
      <c r="E3653" s="1">
        <v>19.5</v>
      </c>
      <c r="F3653" s="1">
        <v>0</v>
      </c>
      <c r="H3653" s="1">
        <v>11.7</v>
      </c>
    </row>
    <row r="3654" s="1" customFormat="1" spans="1:8">
      <c r="A3654" s="1" t="s">
        <v>12</v>
      </c>
      <c r="B3654" s="1" t="s">
        <v>26</v>
      </c>
      <c r="C3654" s="1" t="str">
        <f t="shared" si="74"/>
        <v>020078</v>
      </c>
      <c r="D3654" s="1" t="str">
        <f>"112315608"</f>
        <v>112315608</v>
      </c>
      <c r="E3654" s="1">
        <v>49.5</v>
      </c>
      <c r="F3654" s="1">
        <v>64</v>
      </c>
      <c r="H3654" s="1">
        <v>55.3</v>
      </c>
    </row>
    <row r="3655" s="1" customFormat="1" spans="1:8">
      <c r="A3655" s="1" t="s">
        <v>12</v>
      </c>
      <c r="B3655" s="1" t="s">
        <v>26</v>
      </c>
      <c r="C3655" s="1" t="str">
        <f t="shared" si="74"/>
        <v>020078</v>
      </c>
      <c r="D3655" s="1" t="str">
        <f>"112315609"</f>
        <v>112315609</v>
      </c>
      <c r="E3655" s="1">
        <v>89</v>
      </c>
      <c r="F3655" s="1">
        <v>99.5</v>
      </c>
      <c r="H3655" s="1">
        <v>93.2</v>
      </c>
    </row>
    <row r="3656" s="1" customFormat="1" spans="1:8">
      <c r="A3656" s="1" t="s">
        <v>12</v>
      </c>
      <c r="B3656" s="1" t="s">
        <v>26</v>
      </c>
      <c r="C3656" s="1" t="str">
        <f t="shared" si="74"/>
        <v>020078</v>
      </c>
      <c r="D3656" s="1" t="str">
        <f>"112315610"</f>
        <v>112315610</v>
      </c>
      <c r="E3656" s="1">
        <v>59</v>
      </c>
      <c r="F3656" s="1">
        <v>58.5</v>
      </c>
      <c r="H3656" s="1">
        <v>58.8</v>
      </c>
    </row>
    <row r="3657" s="1" customFormat="1" spans="1:8">
      <c r="A3657" s="1" t="s">
        <v>12</v>
      </c>
      <c r="B3657" s="1" t="s">
        <v>26</v>
      </c>
      <c r="C3657" s="1" t="str">
        <f t="shared" si="74"/>
        <v>020078</v>
      </c>
      <c r="D3657" s="1" t="str">
        <f>"112315611"</f>
        <v>112315611</v>
      </c>
      <c r="E3657" s="1">
        <v>56</v>
      </c>
      <c r="F3657" s="1">
        <v>63.5</v>
      </c>
      <c r="H3657" s="1">
        <v>59</v>
      </c>
    </row>
    <row r="3658" s="1" customFormat="1" spans="1:8">
      <c r="A3658" s="1" t="s">
        <v>12</v>
      </c>
      <c r="B3658" s="1" t="s">
        <v>26</v>
      </c>
      <c r="C3658" s="1" t="str">
        <f t="shared" si="74"/>
        <v>020078</v>
      </c>
      <c r="D3658" s="1" t="str">
        <f>"112315612"</f>
        <v>112315612</v>
      </c>
      <c r="E3658" s="1">
        <v>62</v>
      </c>
      <c r="F3658" s="1">
        <v>62</v>
      </c>
      <c r="H3658" s="1">
        <v>62</v>
      </c>
    </row>
    <row r="3659" s="1" customFormat="1" spans="1:8">
      <c r="A3659" s="1" t="s">
        <v>12</v>
      </c>
      <c r="B3659" s="1" t="s">
        <v>26</v>
      </c>
      <c r="C3659" s="1" t="str">
        <f t="shared" si="74"/>
        <v>020078</v>
      </c>
      <c r="D3659" s="1" t="str">
        <f>"112315613"</f>
        <v>112315613</v>
      </c>
      <c r="E3659" s="1">
        <v>76</v>
      </c>
      <c r="F3659" s="1">
        <v>82</v>
      </c>
      <c r="H3659" s="1">
        <v>78.4</v>
      </c>
    </row>
    <row r="3660" s="1" customFormat="1" spans="1:8">
      <c r="A3660" s="1" t="s">
        <v>12</v>
      </c>
      <c r="B3660" s="1" t="s">
        <v>26</v>
      </c>
      <c r="C3660" s="1" t="str">
        <f t="shared" si="74"/>
        <v>020078</v>
      </c>
      <c r="D3660" s="1" t="str">
        <f>"112315614"</f>
        <v>112315614</v>
      </c>
      <c r="E3660" s="1">
        <v>55.5</v>
      </c>
      <c r="F3660" s="1">
        <v>70</v>
      </c>
      <c r="H3660" s="1">
        <v>61.3</v>
      </c>
    </row>
    <row r="3661" s="1" customFormat="1" spans="1:8">
      <c r="A3661" s="1" t="s">
        <v>12</v>
      </c>
      <c r="B3661" s="1" t="s">
        <v>26</v>
      </c>
      <c r="C3661" s="1" t="str">
        <f t="shared" si="74"/>
        <v>020078</v>
      </c>
      <c r="D3661" s="1" t="str">
        <f>"112315615"</f>
        <v>112315615</v>
      </c>
      <c r="E3661" s="1">
        <v>0</v>
      </c>
      <c r="F3661" s="1">
        <v>0</v>
      </c>
      <c r="H3661" s="1">
        <v>0</v>
      </c>
    </row>
    <row r="3662" s="1" customFormat="1" spans="1:8">
      <c r="A3662" s="1" t="s">
        <v>12</v>
      </c>
      <c r="B3662" s="1" t="s">
        <v>26</v>
      </c>
      <c r="C3662" s="1" t="str">
        <f t="shared" si="74"/>
        <v>020078</v>
      </c>
      <c r="D3662" s="1" t="str">
        <f>"112315616"</f>
        <v>112315616</v>
      </c>
      <c r="E3662" s="1">
        <v>64</v>
      </c>
      <c r="F3662" s="1">
        <v>79.5</v>
      </c>
      <c r="H3662" s="1">
        <v>70.2</v>
      </c>
    </row>
    <row r="3663" s="1" customFormat="1" spans="1:8">
      <c r="A3663" s="1" t="s">
        <v>12</v>
      </c>
      <c r="B3663" s="1" t="s">
        <v>26</v>
      </c>
      <c r="C3663" s="1" t="str">
        <f t="shared" si="74"/>
        <v>020078</v>
      </c>
      <c r="D3663" s="1" t="str">
        <f>"112315617"</f>
        <v>112315617</v>
      </c>
      <c r="E3663" s="1">
        <v>0</v>
      </c>
      <c r="F3663" s="1">
        <v>0</v>
      </c>
      <c r="H3663" s="1">
        <v>0</v>
      </c>
    </row>
    <row r="3664" s="1" customFormat="1" spans="1:8">
      <c r="A3664" s="1" t="s">
        <v>12</v>
      </c>
      <c r="B3664" s="1" t="s">
        <v>26</v>
      </c>
      <c r="C3664" s="1" t="str">
        <f t="shared" si="74"/>
        <v>020078</v>
      </c>
      <c r="D3664" s="1" t="str">
        <f>"112315618"</f>
        <v>112315618</v>
      </c>
      <c r="E3664" s="1">
        <v>67</v>
      </c>
      <c r="F3664" s="1">
        <v>0</v>
      </c>
      <c r="H3664" s="1">
        <v>40.2</v>
      </c>
    </row>
    <row r="3665" s="1" customFormat="1" spans="1:8">
      <c r="A3665" s="1" t="s">
        <v>12</v>
      </c>
      <c r="B3665" s="1" t="s">
        <v>26</v>
      </c>
      <c r="C3665" s="1" t="str">
        <f t="shared" si="74"/>
        <v>020078</v>
      </c>
      <c r="D3665" s="1" t="str">
        <f>"112315619"</f>
        <v>112315619</v>
      </c>
      <c r="E3665" s="1">
        <v>0</v>
      </c>
      <c r="F3665" s="1">
        <v>0</v>
      </c>
      <c r="H3665" s="1">
        <v>0</v>
      </c>
    </row>
    <row r="3666" s="1" customFormat="1" spans="1:8">
      <c r="A3666" s="1" t="s">
        <v>12</v>
      </c>
      <c r="B3666" s="1" t="s">
        <v>26</v>
      </c>
      <c r="C3666" s="1" t="str">
        <f t="shared" si="74"/>
        <v>020078</v>
      </c>
      <c r="D3666" s="1" t="str">
        <f>"112315620"</f>
        <v>112315620</v>
      </c>
      <c r="E3666" s="1">
        <v>0</v>
      </c>
      <c r="F3666" s="1">
        <v>0</v>
      </c>
      <c r="H3666" s="1">
        <v>0</v>
      </c>
    </row>
    <row r="3667" s="1" customFormat="1" spans="1:8">
      <c r="A3667" s="1" t="s">
        <v>12</v>
      </c>
      <c r="B3667" s="1" t="s">
        <v>26</v>
      </c>
      <c r="C3667" s="1" t="str">
        <f t="shared" si="74"/>
        <v>020078</v>
      </c>
      <c r="D3667" s="1" t="str">
        <f>"112315621"</f>
        <v>112315621</v>
      </c>
      <c r="E3667" s="1">
        <v>0</v>
      </c>
      <c r="F3667" s="1">
        <v>0</v>
      </c>
      <c r="H3667" s="1">
        <v>0</v>
      </c>
    </row>
    <row r="3668" s="1" customFormat="1" spans="1:8">
      <c r="A3668" s="1" t="s">
        <v>12</v>
      </c>
      <c r="B3668" s="1" t="s">
        <v>26</v>
      </c>
      <c r="C3668" s="1" t="str">
        <f t="shared" si="74"/>
        <v>020078</v>
      </c>
      <c r="D3668" s="1" t="str">
        <f>"112315622"</f>
        <v>112315622</v>
      </c>
      <c r="E3668" s="1">
        <v>0</v>
      </c>
      <c r="F3668" s="1">
        <v>0</v>
      </c>
      <c r="H3668" s="1">
        <v>0</v>
      </c>
    </row>
    <row r="3669" s="1" customFormat="1" spans="1:8">
      <c r="A3669" s="1" t="s">
        <v>12</v>
      </c>
      <c r="B3669" s="1" t="s">
        <v>26</v>
      </c>
      <c r="C3669" s="1" t="str">
        <f t="shared" si="74"/>
        <v>020078</v>
      </c>
      <c r="D3669" s="1" t="str">
        <f>"112315623"</f>
        <v>112315623</v>
      </c>
      <c r="E3669" s="1">
        <v>50.5</v>
      </c>
      <c r="F3669" s="1">
        <v>70</v>
      </c>
      <c r="H3669" s="1">
        <v>58.3</v>
      </c>
    </row>
    <row r="3670" s="1" customFormat="1" spans="1:8">
      <c r="A3670" s="1" t="s">
        <v>12</v>
      </c>
      <c r="B3670" s="1" t="s">
        <v>26</v>
      </c>
      <c r="C3670" s="1" t="str">
        <f t="shared" si="74"/>
        <v>020078</v>
      </c>
      <c r="D3670" s="1" t="str">
        <f>"112315624"</f>
        <v>112315624</v>
      </c>
      <c r="E3670" s="1">
        <v>53.5</v>
      </c>
      <c r="F3670" s="1">
        <v>58.5</v>
      </c>
      <c r="H3670" s="1">
        <v>55.5</v>
      </c>
    </row>
    <row r="3671" s="1" customFormat="1" spans="1:8">
      <c r="A3671" s="1" t="s">
        <v>12</v>
      </c>
      <c r="B3671" s="1" t="s">
        <v>26</v>
      </c>
      <c r="C3671" s="1" t="str">
        <f t="shared" si="74"/>
        <v>020078</v>
      </c>
      <c r="D3671" s="1" t="str">
        <f>"112315625"</f>
        <v>112315625</v>
      </c>
      <c r="E3671" s="1">
        <v>0</v>
      </c>
      <c r="F3671" s="1">
        <v>0</v>
      </c>
      <c r="H3671" s="1">
        <v>0</v>
      </c>
    </row>
    <row r="3672" s="1" customFormat="1" spans="1:8">
      <c r="A3672" s="1" t="s">
        <v>12</v>
      </c>
      <c r="B3672" s="1" t="s">
        <v>26</v>
      </c>
      <c r="C3672" s="1" t="str">
        <f t="shared" si="74"/>
        <v>020078</v>
      </c>
      <c r="D3672" s="1" t="str">
        <f>"112315626"</f>
        <v>112315626</v>
      </c>
      <c r="E3672" s="1">
        <v>75</v>
      </c>
      <c r="F3672" s="1">
        <v>65</v>
      </c>
      <c r="H3672" s="1">
        <v>71</v>
      </c>
    </row>
    <row r="3673" s="1" customFormat="1" spans="1:8">
      <c r="A3673" s="1" t="s">
        <v>12</v>
      </c>
      <c r="B3673" s="1" t="s">
        <v>26</v>
      </c>
      <c r="C3673" s="1" t="str">
        <f t="shared" si="74"/>
        <v>020078</v>
      </c>
      <c r="D3673" s="1" t="str">
        <f>"112315627"</f>
        <v>112315627</v>
      </c>
      <c r="E3673" s="1">
        <v>73.5</v>
      </c>
      <c r="F3673" s="1">
        <v>67.5</v>
      </c>
      <c r="H3673" s="1">
        <v>71.1</v>
      </c>
    </row>
    <row r="3674" s="1" customFormat="1" spans="1:8">
      <c r="A3674" s="1" t="s">
        <v>12</v>
      </c>
      <c r="B3674" s="1" t="s">
        <v>26</v>
      </c>
      <c r="C3674" s="1" t="str">
        <f t="shared" si="74"/>
        <v>020078</v>
      </c>
      <c r="D3674" s="1" t="str">
        <f>"112315628"</f>
        <v>112315628</v>
      </c>
      <c r="E3674" s="1">
        <v>39.5</v>
      </c>
      <c r="F3674" s="1">
        <v>56.5</v>
      </c>
      <c r="H3674" s="1">
        <v>46.3</v>
      </c>
    </row>
    <row r="3675" s="1" customFormat="1" spans="1:8">
      <c r="A3675" s="1" t="s">
        <v>12</v>
      </c>
      <c r="B3675" s="1" t="s">
        <v>26</v>
      </c>
      <c r="C3675" s="1" t="str">
        <f t="shared" si="74"/>
        <v>020078</v>
      </c>
      <c r="D3675" s="1" t="str">
        <f>"112315629"</f>
        <v>112315629</v>
      </c>
      <c r="E3675" s="1">
        <v>23</v>
      </c>
      <c r="F3675" s="1">
        <v>0</v>
      </c>
      <c r="H3675" s="1">
        <v>13.8</v>
      </c>
    </row>
    <row r="3676" s="1" customFormat="1" spans="1:8">
      <c r="A3676" s="1" t="s">
        <v>12</v>
      </c>
      <c r="B3676" s="1" t="s">
        <v>26</v>
      </c>
      <c r="C3676" s="1" t="str">
        <f t="shared" si="74"/>
        <v>020078</v>
      </c>
      <c r="D3676" s="1" t="str">
        <f>"112315630"</f>
        <v>112315630</v>
      </c>
      <c r="E3676" s="1">
        <v>69.5</v>
      </c>
      <c r="F3676" s="1">
        <v>81.5</v>
      </c>
      <c r="H3676" s="1">
        <v>74.3</v>
      </c>
    </row>
    <row r="3677" s="1" customFormat="1" spans="1:8">
      <c r="A3677" s="1" t="s">
        <v>12</v>
      </c>
      <c r="B3677" s="1" t="s">
        <v>26</v>
      </c>
      <c r="C3677" s="1" t="str">
        <f t="shared" si="74"/>
        <v>020078</v>
      </c>
      <c r="D3677" s="1" t="str">
        <f>"112315701"</f>
        <v>112315701</v>
      </c>
      <c r="E3677" s="1">
        <v>60.5</v>
      </c>
      <c r="F3677" s="1">
        <v>57</v>
      </c>
      <c r="H3677" s="1">
        <v>59.1</v>
      </c>
    </row>
    <row r="3678" s="1" customFormat="1" spans="1:8">
      <c r="A3678" s="1" t="s">
        <v>12</v>
      </c>
      <c r="B3678" s="1" t="s">
        <v>26</v>
      </c>
      <c r="C3678" s="1" t="str">
        <f t="shared" si="74"/>
        <v>020078</v>
      </c>
      <c r="D3678" s="1" t="str">
        <f>"112315702"</f>
        <v>112315702</v>
      </c>
      <c r="E3678" s="1">
        <v>0</v>
      </c>
      <c r="F3678" s="1">
        <v>0</v>
      </c>
      <c r="H3678" s="1">
        <v>0</v>
      </c>
    </row>
    <row r="3679" s="1" customFormat="1" spans="1:8">
      <c r="A3679" s="1" t="s">
        <v>12</v>
      </c>
      <c r="B3679" s="1" t="s">
        <v>26</v>
      </c>
      <c r="C3679" s="1" t="str">
        <f t="shared" si="74"/>
        <v>020078</v>
      </c>
      <c r="D3679" s="1" t="str">
        <f>"112315703"</f>
        <v>112315703</v>
      </c>
      <c r="E3679" s="1">
        <v>55</v>
      </c>
      <c r="F3679" s="1">
        <v>68</v>
      </c>
      <c r="H3679" s="1">
        <v>60.2</v>
      </c>
    </row>
    <row r="3680" s="1" customFormat="1" spans="1:8">
      <c r="A3680" s="1" t="s">
        <v>12</v>
      </c>
      <c r="B3680" s="1" t="s">
        <v>26</v>
      </c>
      <c r="C3680" s="1" t="str">
        <f t="shared" si="74"/>
        <v>020078</v>
      </c>
      <c r="D3680" s="1" t="str">
        <f>"112315704"</f>
        <v>112315704</v>
      </c>
      <c r="E3680" s="1">
        <v>91.5</v>
      </c>
      <c r="F3680" s="1">
        <v>80.5</v>
      </c>
      <c r="H3680" s="1">
        <v>87.1</v>
      </c>
    </row>
    <row r="3681" s="1" customFormat="1" spans="1:8">
      <c r="A3681" s="1" t="s">
        <v>12</v>
      </c>
      <c r="B3681" s="1" t="s">
        <v>26</v>
      </c>
      <c r="C3681" s="1" t="str">
        <f t="shared" si="74"/>
        <v>020078</v>
      </c>
      <c r="D3681" s="1" t="str">
        <f>"112315705"</f>
        <v>112315705</v>
      </c>
      <c r="E3681" s="1">
        <v>73.5</v>
      </c>
      <c r="F3681" s="1">
        <v>68.5</v>
      </c>
      <c r="H3681" s="1">
        <v>71.5</v>
      </c>
    </row>
    <row r="3682" s="1" customFormat="1" spans="1:8">
      <c r="A3682" s="1" t="s">
        <v>12</v>
      </c>
      <c r="B3682" s="1" t="s">
        <v>26</v>
      </c>
      <c r="C3682" s="1" t="str">
        <f t="shared" si="74"/>
        <v>020078</v>
      </c>
      <c r="D3682" s="1" t="str">
        <f>"112315706"</f>
        <v>112315706</v>
      </c>
      <c r="E3682" s="1">
        <v>51.5</v>
      </c>
      <c r="F3682" s="1">
        <v>54.5</v>
      </c>
      <c r="H3682" s="1">
        <v>52.7</v>
      </c>
    </row>
    <row r="3683" s="1" customFormat="1" spans="1:8">
      <c r="A3683" s="1" t="s">
        <v>12</v>
      </c>
      <c r="B3683" s="1" t="s">
        <v>26</v>
      </c>
      <c r="C3683" s="1" t="str">
        <f t="shared" si="74"/>
        <v>020078</v>
      </c>
      <c r="D3683" s="1" t="str">
        <f>"112315707"</f>
        <v>112315707</v>
      </c>
      <c r="E3683" s="1">
        <v>34.5</v>
      </c>
      <c r="F3683" s="1">
        <v>0</v>
      </c>
      <c r="H3683" s="1">
        <v>20.7</v>
      </c>
    </row>
    <row r="3684" s="1" customFormat="1" spans="1:8">
      <c r="A3684" s="1" t="s">
        <v>12</v>
      </c>
      <c r="B3684" s="1" t="s">
        <v>26</v>
      </c>
      <c r="C3684" s="1" t="str">
        <f t="shared" si="74"/>
        <v>020078</v>
      </c>
      <c r="D3684" s="1" t="str">
        <f>"112315708"</f>
        <v>112315708</v>
      </c>
      <c r="E3684" s="1">
        <v>50.5</v>
      </c>
      <c r="F3684" s="1">
        <v>57</v>
      </c>
      <c r="H3684" s="1">
        <v>53.1</v>
      </c>
    </row>
    <row r="3685" s="1" customFormat="1" spans="1:8">
      <c r="A3685" s="1" t="s">
        <v>12</v>
      </c>
      <c r="B3685" s="1" t="s">
        <v>26</v>
      </c>
      <c r="C3685" s="1" t="str">
        <f t="shared" si="74"/>
        <v>020078</v>
      </c>
      <c r="D3685" s="1" t="str">
        <f>"112315709"</f>
        <v>112315709</v>
      </c>
      <c r="E3685" s="1">
        <v>41</v>
      </c>
      <c r="F3685" s="1">
        <v>57.5</v>
      </c>
      <c r="H3685" s="1">
        <v>47.6</v>
      </c>
    </row>
    <row r="3686" s="1" customFormat="1" spans="1:8">
      <c r="A3686" s="1" t="s">
        <v>12</v>
      </c>
      <c r="B3686" s="1" t="s">
        <v>26</v>
      </c>
      <c r="C3686" s="1" t="str">
        <f t="shared" si="74"/>
        <v>020078</v>
      </c>
      <c r="D3686" s="1" t="str">
        <f>"112315710"</f>
        <v>112315710</v>
      </c>
      <c r="E3686" s="1">
        <v>0</v>
      </c>
      <c r="F3686" s="1">
        <v>0</v>
      </c>
      <c r="H3686" s="1">
        <v>0</v>
      </c>
    </row>
    <row r="3687" s="1" customFormat="1" spans="1:8">
      <c r="A3687" s="1" t="s">
        <v>12</v>
      </c>
      <c r="B3687" s="1" t="s">
        <v>26</v>
      </c>
      <c r="C3687" s="1" t="str">
        <f t="shared" si="74"/>
        <v>020078</v>
      </c>
      <c r="D3687" s="1" t="str">
        <f>"112315711"</f>
        <v>112315711</v>
      </c>
      <c r="E3687" s="1">
        <v>109</v>
      </c>
      <c r="F3687" s="1">
        <v>88</v>
      </c>
      <c r="H3687" s="1">
        <v>100.6</v>
      </c>
    </row>
    <row r="3688" s="1" customFormat="1" spans="1:8">
      <c r="A3688" s="1" t="s">
        <v>12</v>
      </c>
      <c r="B3688" s="1" t="s">
        <v>26</v>
      </c>
      <c r="C3688" s="1" t="str">
        <f t="shared" si="74"/>
        <v>020078</v>
      </c>
      <c r="D3688" s="1" t="str">
        <f>"112315712"</f>
        <v>112315712</v>
      </c>
      <c r="E3688" s="1">
        <v>65.5</v>
      </c>
      <c r="F3688" s="1">
        <v>59</v>
      </c>
      <c r="H3688" s="1">
        <v>62.9</v>
      </c>
    </row>
    <row r="3689" s="1" customFormat="1" spans="1:8">
      <c r="A3689" s="1" t="s">
        <v>12</v>
      </c>
      <c r="B3689" s="1" t="s">
        <v>26</v>
      </c>
      <c r="C3689" s="1" t="str">
        <f t="shared" si="74"/>
        <v>020078</v>
      </c>
      <c r="D3689" s="1" t="str">
        <f>"112315713"</f>
        <v>112315713</v>
      </c>
      <c r="E3689" s="1">
        <v>0</v>
      </c>
      <c r="F3689" s="1">
        <v>0</v>
      </c>
      <c r="H3689" s="1">
        <v>0</v>
      </c>
    </row>
    <row r="3690" s="1" customFormat="1" spans="1:8">
      <c r="A3690" s="1" t="s">
        <v>27</v>
      </c>
      <c r="B3690" s="1" t="s">
        <v>28</v>
      </c>
      <c r="C3690" s="1" t="str">
        <f t="shared" ref="C3690:C3707" si="75">"020005"</f>
        <v>020005</v>
      </c>
      <c r="D3690" s="1" t="str">
        <f>"512415923"</f>
        <v>512415923</v>
      </c>
      <c r="E3690" s="1">
        <v>76.5</v>
      </c>
      <c r="F3690" s="1">
        <v>58.5</v>
      </c>
      <c r="H3690" s="1">
        <v>69.3</v>
      </c>
    </row>
    <row r="3691" s="1" customFormat="1" spans="1:8">
      <c r="A3691" s="1" t="s">
        <v>27</v>
      </c>
      <c r="B3691" s="1" t="s">
        <v>28</v>
      </c>
      <c r="C3691" s="1" t="str">
        <f t="shared" si="75"/>
        <v>020005</v>
      </c>
      <c r="D3691" s="1" t="str">
        <f>"512415924"</f>
        <v>512415924</v>
      </c>
      <c r="E3691" s="1">
        <v>67.5</v>
      </c>
      <c r="F3691" s="1">
        <v>56.5</v>
      </c>
      <c r="H3691" s="1">
        <v>63.1</v>
      </c>
    </row>
    <row r="3692" s="1" customFormat="1" spans="1:8">
      <c r="A3692" s="1" t="s">
        <v>27</v>
      </c>
      <c r="B3692" s="1" t="s">
        <v>28</v>
      </c>
      <c r="C3692" s="1" t="str">
        <f t="shared" si="75"/>
        <v>020005</v>
      </c>
      <c r="D3692" s="1" t="str">
        <f>"512415925"</f>
        <v>512415925</v>
      </c>
      <c r="E3692" s="1">
        <v>84</v>
      </c>
      <c r="F3692" s="1">
        <v>84</v>
      </c>
      <c r="G3692" s="1">
        <v>2</v>
      </c>
      <c r="H3692" s="1">
        <v>86</v>
      </c>
    </row>
    <row r="3693" s="1" customFormat="1" spans="1:8">
      <c r="A3693" s="1" t="s">
        <v>27</v>
      </c>
      <c r="B3693" s="1" t="s">
        <v>28</v>
      </c>
      <c r="C3693" s="1" t="str">
        <f t="shared" si="75"/>
        <v>020005</v>
      </c>
      <c r="D3693" s="1" t="str">
        <f>"512415926"</f>
        <v>512415926</v>
      </c>
      <c r="E3693" s="1">
        <v>73</v>
      </c>
      <c r="F3693" s="1">
        <v>67.5</v>
      </c>
      <c r="H3693" s="1">
        <v>70.8</v>
      </c>
    </row>
    <row r="3694" s="1" customFormat="1" spans="1:8">
      <c r="A3694" s="1" t="s">
        <v>27</v>
      </c>
      <c r="B3694" s="1" t="s">
        <v>28</v>
      </c>
      <c r="C3694" s="1" t="str">
        <f t="shared" si="75"/>
        <v>020005</v>
      </c>
      <c r="D3694" s="1" t="str">
        <f>"512415927"</f>
        <v>512415927</v>
      </c>
      <c r="E3694" s="1">
        <v>78</v>
      </c>
      <c r="F3694" s="1">
        <v>80</v>
      </c>
      <c r="H3694" s="1">
        <v>78.8</v>
      </c>
    </row>
    <row r="3695" s="1" customFormat="1" spans="1:8">
      <c r="A3695" s="1" t="s">
        <v>27</v>
      </c>
      <c r="B3695" s="1" t="s">
        <v>28</v>
      </c>
      <c r="C3695" s="1" t="str">
        <f t="shared" si="75"/>
        <v>020005</v>
      </c>
      <c r="D3695" s="1" t="str">
        <f>"512415928"</f>
        <v>512415928</v>
      </c>
      <c r="E3695" s="1">
        <v>76</v>
      </c>
      <c r="F3695" s="1">
        <v>65</v>
      </c>
      <c r="H3695" s="1">
        <v>71.6</v>
      </c>
    </row>
    <row r="3696" s="1" customFormat="1" spans="1:8">
      <c r="A3696" s="1" t="s">
        <v>27</v>
      </c>
      <c r="B3696" s="1" t="s">
        <v>28</v>
      </c>
      <c r="C3696" s="1" t="str">
        <f t="shared" si="75"/>
        <v>020005</v>
      </c>
      <c r="D3696" s="1" t="str">
        <f>"512415929"</f>
        <v>512415929</v>
      </c>
      <c r="E3696" s="1">
        <v>80</v>
      </c>
      <c r="F3696" s="1">
        <v>79.5</v>
      </c>
      <c r="H3696" s="1">
        <v>79.8</v>
      </c>
    </row>
    <row r="3697" s="1" customFormat="1" spans="1:8">
      <c r="A3697" s="1" t="s">
        <v>27</v>
      </c>
      <c r="B3697" s="1" t="s">
        <v>28</v>
      </c>
      <c r="C3697" s="1" t="str">
        <f t="shared" si="75"/>
        <v>020005</v>
      </c>
      <c r="D3697" s="1" t="str">
        <f>"512415930"</f>
        <v>512415930</v>
      </c>
      <c r="E3697" s="1">
        <v>82.5</v>
      </c>
      <c r="F3697" s="1">
        <v>78.5</v>
      </c>
      <c r="H3697" s="1">
        <v>80.9</v>
      </c>
    </row>
    <row r="3698" s="1" customFormat="1" spans="1:8">
      <c r="A3698" s="1" t="s">
        <v>27</v>
      </c>
      <c r="B3698" s="1" t="s">
        <v>28</v>
      </c>
      <c r="C3698" s="1" t="str">
        <f t="shared" si="75"/>
        <v>020005</v>
      </c>
      <c r="D3698" s="1" t="str">
        <f>"512416001"</f>
        <v>512416001</v>
      </c>
      <c r="E3698" s="1">
        <v>72</v>
      </c>
      <c r="F3698" s="1">
        <v>74.5</v>
      </c>
      <c r="H3698" s="1">
        <v>73</v>
      </c>
    </row>
    <row r="3699" s="1" customFormat="1" spans="1:8">
      <c r="A3699" s="1" t="s">
        <v>27</v>
      </c>
      <c r="B3699" s="1" t="s">
        <v>28</v>
      </c>
      <c r="C3699" s="1" t="str">
        <f t="shared" si="75"/>
        <v>020005</v>
      </c>
      <c r="D3699" s="1" t="str">
        <f>"512416002"</f>
        <v>512416002</v>
      </c>
      <c r="E3699" s="1">
        <v>76.5</v>
      </c>
      <c r="F3699" s="1">
        <v>69.5</v>
      </c>
      <c r="H3699" s="1">
        <v>73.7</v>
      </c>
    </row>
    <row r="3700" s="1" customFormat="1" spans="1:8">
      <c r="A3700" s="1" t="s">
        <v>27</v>
      </c>
      <c r="B3700" s="1" t="s">
        <v>28</v>
      </c>
      <c r="C3700" s="1" t="str">
        <f t="shared" si="75"/>
        <v>020005</v>
      </c>
      <c r="D3700" s="1" t="str">
        <f>"512416003"</f>
        <v>512416003</v>
      </c>
      <c r="E3700" s="1">
        <v>70</v>
      </c>
      <c r="F3700" s="1">
        <v>67.5</v>
      </c>
      <c r="H3700" s="1">
        <v>69</v>
      </c>
    </row>
    <row r="3701" s="1" customFormat="1" spans="1:8">
      <c r="A3701" s="1" t="s">
        <v>27</v>
      </c>
      <c r="B3701" s="1" t="s">
        <v>28</v>
      </c>
      <c r="C3701" s="1" t="str">
        <f t="shared" si="75"/>
        <v>020005</v>
      </c>
      <c r="D3701" s="1" t="str">
        <f>"512416004"</f>
        <v>512416004</v>
      </c>
      <c r="E3701" s="1">
        <v>87.5</v>
      </c>
      <c r="F3701" s="1">
        <v>77</v>
      </c>
      <c r="H3701" s="1">
        <v>83.3</v>
      </c>
    </row>
    <row r="3702" s="1" customFormat="1" spans="1:8">
      <c r="A3702" s="1" t="s">
        <v>27</v>
      </c>
      <c r="B3702" s="1" t="s">
        <v>28</v>
      </c>
      <c r="C3702" s="1" t="str">
        <f t="shared" si="75"/>
        <v>020005</v>
      </c>
      <c r="D3702" s="1" t="str">
        <f>"512416005"</f>
        <v>512416005</v>
      </c>
      <c r="E3702" s="1">
        <v>69</v>
      </c>
      <c r="F3702" s="1">
        <v>73</v>
      </c>
      <c r="H3702" s="1">
        <v>70.6</v>
      </c>
    </row>
    <row r="3703" s="1" customFormat="1" spans="1:8">
      <c r="A3703" s="1" t="s">
        <v>27</v>
      </c>
      <c r="B3703" s="1" t="s">
        <v>28</v>
      </c>
      <c r="C3703" s="1" t="str">
        <f t="shared" si="75"/>
        <v>020005</v>
      </c>
      <c r="D3703" s="1" t="str">
        <f>"512416006"</f>
        <v>512416006</v>
      </c>
      <c r="E3703" s="1">
        <v>79</v>
      </c>
      <c r="F3703" s="1">
        <v>68.5</v>
      </c>
      <c r="H3703" s="1">
        <v>74.8</v>
      </c>
    </row>
    <row r="3704" s="1" customFormat="1" spans="1:8">
      <c r="A3704" s="1" t="s">
        <v>27</v>
      </c>
      <c r="B3704" s="1" t="s">
        <v>28</v>
      </c>
      <c r="C3704" s="1" t="str">
        <f t="shared" si="75"/>
        <v>020005</v>
      </c>
      <c r="D3704" s="1" t="str">
        <f>"512416007"</f>
        <v>512416007</v>
      </c>
      <c r="E3704" s="1">
        <v>74.5</v>
      </c>
      <c r="F3704" s="1">
        <v>71</v>
      </c>
      <c r="H3704" s="1">
        <v>73.1</v>
      </c>
    </row>
    <row r="3705" s="1" customFormat="1" spans="1:8">
      <c r="A3705" s="1" t="s">
        <v>27</v>
      </c>
      <c r="B3705" s="1" t="s">
        <v>28</v>
      </c>
      <c r="C3705" s="1" t="str">
        <f t="shared" si="75"/>
        <v>020005</v>
      </c>
      <c r="D3705" s="1" t="str">
        <f>"512416008"</f>
        <v>512416008</v>
      </c>
      <c r="E3705" s="1">
        <v>80</v>
      </c>
      <c r="F3705" s="1">
        <v>84.5</v>
      </c>
      <c r="H3705" s="1">
        <v>81.8</v>
      </c>
    </row>
    <row r="3706" s="1" customFormat="1" spans="1:8">
      <c r="A3706" s="1" t="s">
        <v>27</v>
      </c>
      <c r="B3706" s="1" t="s">
        <v>28</v>
      </c>
      <c r="C3706" s="1" t="str">
        <f t="shared" si="75"/>
        <v>020005</v>
      </c>
      <c r="D3706" s="1" t="str">
        <f>"512416009"</f>
        <v>512416009</v>
      </c>
      <c r="E3706" s="1">
        <v>79.5</v>
      </c>
      <c r="F3706" s="1">
        <v>79</v>
      </c>
      <c r="H3706" s="1">
        <v>79.3</v>
      </c>
    </row>
    <row r="3707" s="1" customFormat="1" spans="1:8">
      <c r="A3707" s="1" t="s">
        <v>27</v>
      </c>
      <c r="B3707" s="1" t="s">
        <v>28</v>
      </c>
      <c r="C3707" s="1" t="str">
        <f t="shared" si="75"/>
        <v>020005</v>
      </c>
      <c r="D3707" s="1" t="str">
        <f>"512416010"</f>
        <v>512416010</v>
      </c>
      <c r="E3707" s="1">
        <v>68.5</v>
      </c>
      <c r="F3707" s="1">
        <v>79</v>
      </c>
      <c r="H3707" s="1">
        <v>72.7</v>
      </c>
    </row>
    <row r="3708" s="1" customFormat="1" spans="1:8">
      <c r="A3708" s="1" t="s">
        <v>29</v>
      </c>
      <c r="B3708" s="1" t="s">
        <v>30</v>
      </c>
      <c r="C3708" s="1" t="str">
        <f t="shared" ref="C3708:C3771" si="76">"020006"</f>
        <v>020006</v>
      </c>
      <c r="D3708" s="1" t="str">
        <f>"512416011"</f>
        <v>512416011</v>
      </c>
      <c r="E3708" s="1">
        <v>78</v>
      </c>
      <c r="F3708" s="1">
        <v>71</v>
      </c>
      <c r="H3708" s="1">
        <v>75.2</v>
      </c>
    </row>
    <row r="3709" s="1" customFormat="1" spans="1:8">
      <c r="A3709" s="1" t="s">
        <v>29</v>
      </c>
      <c r="B3709" s="1" t="s">
        <v>30</v>
      </c>
      <c r="C3709" s="1" t="str">
        <f t="shared" si="76"/>
        <v>020006</v>
      </c>
      <c r="D3709" s="1" t="str">
        <f>"512416012"</f>
        <v>512416012</v>
      </c>
      <c r="E3709" s="1">
        <v>0</v>
      </c>
      <c r="F3709" s="1">
        <v>0</v>
      </c>
      <c r="H3709" s="1">
        <v>0</v>
      </c>
    </row>
    <row r="3710" s="1" customFormat="1" spans="1:8">
      <c r="A3710" s="1" t="s">
        <v>29</v>
      </c>
      <c r="B3710" s="1" t="s">
        <v>30</v>
      </c>
      <c r="C3710" s="1" t="str">
        <f t="shared" si="76"/>
        <v>020006</v>
      </c>
      <c r="D3710" s="1" t="str">
        <f>"512416013"</f>
        <v>512416013</v>
      </c>
      <c r="E3710" s="1">
        <v>76</v>
      </c>
      <c r="F3710" s="1">
        <v>83.5</v>
      </c>
      <c r="H3710" s="1">
        <v>79</v>
      </c>
    </row>
    <row r="3711" s="1" customFormat="1" spans="1:8">
      <c r="A3711" s="1" t="s">
        <v>29</v>
      </c>
      <c r="B3711" s="1" t="s">
        <v>30</v>
      </c>
      <c r="C3711" s="1" t="str">
        <f t="shared" si="76"/>
        <v>020006</v>
      </c>
      <c r="D3711" s="1" t="str">
        <f>"512416014"</f>
        <v>512416014</v>
      </c>
      <c r="E3711" s="1">
        <v>74</v>
      </c>
      <c r="F3711" s="1">
        <v>71</v>
      </c>
      <c r="H3711" s="1">
        <v>72.8</v>
      </c>
    </row>
    <row r="3712" s="1" customFormat="1" spans="1:8">
      <c r="A3712" s="1" t="s">
        <v>29</v>
      </c>
      <c r="B3712" s="1" t="s">
        <v>30</v>
      </c>
      <c r="C3712" s="1" t="str">
        <f t="shared" si="76"/>
        <v>020006</v>
      </c>
      <c r="D3712" s="1" t="str">
        <f>"512416015"</f>
        <v>512416015</v>
      </c>
      <c r="E3712" s="1">
        <v>69.5</v>
      </c>
      <c r="F3712" s="1">
        <v>74.5</v>
      </c>
      <c r="H3712" s="1">
        <v>71.5</v>
      </c>
    </row>
    <row r="3713" s="1" customFormat="1" spans="1:8">
      <c r="A3713" s="1" t="s">
        <v>29</v>
      </c>
      <c r="B3713" s="1" t="s">
        <v>30</v>
      </c>
      <c r="C3713" s="1" t="str">
        <f t="shared" si="76"/>
        <v>020006</v>
      </c>
      <c r="D3713" s="1" t="str">
        <f>"512416016"</f>
        <v>512416016</v>
      </c>
      <c r="E3713" s="1">
        <v>67.5</v>
      </c>
      <c r="F3713" s="1">
        <v>67</v>
      </c>
      <c r="H3713" s="1">
        <v>67.3</v>
      </c>
    </row>
    <row r="3714" s="1" customFormat="1" spans="1:8">
      <c r="A3714" s="1" t="s">
        <v>29</v>
      </c>
      <c r="B3714" s="1" t="s">
        <v>30</v>
      </c>
      <c r="C3714" s="1" t="str">
        <f t="shared" si="76"/>
        <v>020006</v>
      </c>
      <c r="D3714" s="1" t="str">
        <f>"512416017"</f>
        <v>512416017</v>
      </c>
      <c r="E3714" s="1">
        <v>86.5</v>
      </c>
      <c r="F3714" s="1">
        <v>88</v>
      </c>
      <c r="H3714" s="1">
        <v>87.1</v>
      </c>
    </row>
    <row r="3715" s="1" customFormat="1" spans="1:8">
      <c r="A3715" s="1" t="s">
        <v>29</v>
      </c>
      <c r="B3715" s="1" t="s">
        <v>30</v>
      </c>
      <c r="C3715" s="1" t="str">
        <f t="shared" si="76"/>
        <v>020006</v>
      </c>
      <c r="D3715" s="1" t="str">
        <f>"512416018"</f>
        <v>512416018</v>
      </c>
      <c r="E3715" s="1">
        <v>73.5</v>
      </c>
      <c r="F3715" s="1">
        <v>53.5</v>
      </c>
      <c r="H3715" s="1">
        <v>65.5</v>
      </c>
    </row>
    <row r="3716" s="1" customFormat="1" spans="1:8">
      <c r="A3716" s="1" t="s">
        <v>29</v>
      </c>
      <c r="B3716" s="1" t="s">
        <v>30</v>
      </c>
      <c r="C3716" s="1" t="str">
        <f t="shared" si="76"/>
        <v>020006</v>
      </c>
      <c r="D3716" s="1" t="str">
        <f>"512416019"</f>
        <v>512416019</v>
      </c>
      <c r="E3716" s="1">
        <v>71</v>
      </c>
      <c r="F3716" s="1">
        <v>68</v>
      </c>
      <c r="H3716" s="1">
        <v>69.8</v>
      </c>
    </row>
    <row r="3717" s="1" customFormat="1" spans="1:8">
      <c r="A3717" s="1" t="s">
        <v>29</v>
      </c>
      <c r="B3717" s="1" t="s">
        <v>30</v>
      </c>
      <c r="C3717" s="1" t="str">
        <f t="shared" si="76"/>
        <v>020006</v>
      </c>
      <c r="D3717" s="1" t="str">
        <f>"512416020"</f>
        <v>512416020</v>
      </c>
      <c r="E3717" s="1">
        <v>72</v>
      </c>
      <c r="F3717" s="1">
        <v>80.5</v>
      </c>
      <c r="H3717" s="1">
        <v>75.4</v>
      </c>
    </row>
    <row r="3718" s="1" customFormat="1" spans="1:8">
      <c r="A3718" s="1" t="s">
        <v>29</v>
      </c>
      <c r="B3718" s="1" t="s">
        <v>30</v>
      </c>
      <c r="C3718" s="1" t="str">
        <f t="shared" si="76"/>
        <v>020006</v>
      </c>
      <c r="D3718" s="1" t="str">
        <f>"512416021"</f>
        <v>512416021</v>
      </c>
      <c r="E3718" s="1">
        <v>74</v>
      </c>
      <c r="F3718" s="1">
        <v>83</v>
      </c>
      <c r="H3718" s="1">
        <v>77.6</v>
      </c>
    </row>
    <row r="3719" s="1" customFormat="1" spans="1:8">
      <c r="A3719" s="1" t="s">
        <v>29</v>
      </c>
      <c r="B3719" s="1" t="s">
        <v>30</v>
      </c>
      <c r="C3719" s="1" t="str">
        <f t="shared" si="76"/>
        <v>020006</v>
      </c>
      <c r="D3719" s="1" t="str">
        <f>"512416022"</f>
        <v>512416022</v>
      </c>
      <c r="E3719" s="1">
        <v>76.5</v>
      </c>
      <c r="F3719" s="1">
        <v>96</v>
      </c>
      <c r="H3719" s="1">
        <v>84.3</v>
      </c>
    </row>
    <row r="3720" s="1" customFormat="1" spans="1:8">
      <c r="A3720" s="1" t="s">
        <v>29</v>
      </c>
      <c r="B3720" s="1" t="s">
        <v>30</v>
      </c>
      <c r="C3720" s="1" t="str">
        <f t="shared" si="76"/>
        <v>020006</v>
      </c>
      <c r="D3720" s="1" t="str">
        <f>"512416023"</f>
        <v>512416023</v>
      </c>
      <c r="E3720" s="1">
        <v>74.5</v>
      </c>
      <c r="F3720" s="1">
        <v>75</v>
      </c>
      <c r="H3720" s="1">
        <v>74.7</v>
      </c>
    </row>
    <row r="3721" s="1" customFormat="1" spans="1:8">
      <c r="A3721" s="1" t="s">
        <v>29</v>
      </c>
      <c r="B3721" s="1" t="s">
        <v>30</v>
      </c>
      <c r="C3721" s="1" t="str">
        <f t="shared" si="76"/>
        <v>020006</v>
      </c>
      <c r="D3721" s="1" t="str">
        <f>"512416024"</f>
        <v>512416024</v>
      </c>
      <c r="E3721" s="1">
        <v>70.5</v>
      </c>
      <c r="F3721" s="1">
        <v>51</v>
      </c>
      <c r="H3721" s="1">
        <v>62.7</v>
      </c>
    </row>
    <row r="3722" s="1" customFormat="1" spans="1:8">
      <c r="A3722" s="1" t="s">
        <v>29</v>
      </c>
      <c r="B3722" s="1" t="s">
        <v>30</v>
      </c>
      <c r="C3722" s="1" t="str">
        <f t="shared" si="76"/>
        <v>020006</v>
      </c>
      <c r="D3722" s="1" t="str">
        <f>"512416025"</f>
        <v>512416025</v>
      </c>
      <c r="E3722" s="1">
        <v>79</v>
      </c>
      <c r="F3722" s="1">
        <v>94</v>
      </c>
      <c r="H3722" s="1">
        <v>85</v>
      </c>
    </row>
    <row r="3723" s="1" customFormat="1" spans="1:8">
      <c r="A3723" s="1" t="s">
        <v>29</v>
      </c>
      <c r="B3723" s="1" t="s">
        <v>30</v>
      </c>
      <c r="C3723" s="1" t="str">
        <f t="shared" si="76"/>
        <v>020006</v>
      </c>
      <c r="D3723" s="1" t="str">
        <f>"512416026"</f>
        <v>512416026</v>
      </c>
      <c r="E3723" s="1">
        <v>82.5</v>
      </c>
      <c r="F3723" s="1">
        <v>72</v>
      </c>
      <c r="H3723" s="1">
        <v>78.3</v>
      </c>
    </row>
    <row r="3724" s="1" customFormat="1" spans="1:8">
      <c r="A3724" s="1" t="s">
        <v>29</v>
      </c>
      <c r="B3724" s="1" t="s">
        <v>30</v>
      </c>
      <c r="C3724" s="1" t="str">
        <f t="shared" si="76"/>
        <v>020006</v>
      </c>
      <c r="D3724" s="1" t="str">
        <f>"512416027"</f>
        <v>512416027</v>
      </c>
      <c r="E3724" s="1">
        <v>78</v>
      </c>
      <c r="F3724" s="1">
        <v>84</v>
      </c>
      <c r="H3724" s="1">
        <v>80.4</v>
      </c>
    </row>
    <row r="3725" s="1" customFormat="1" spans="1:8">
      <c r="A3725" s="1" t="s">
        <v>29</v>
      </c>
      <c r="B3725" s="1" t="s">
        <v>30</v>
      </c>
      <c r="C3725" s="1" t="str">
        <f t="shared" si="76"/>
        <v>020006</v>
      </c>
      <c r="D3725" s="1" t="str">
        <f>"512416028"</f>
        <v>512416028</v>
      </c>
      <c r="E3725" s="1">
        <v>79.5</v>
      </c>
      <c r="F3725" s="1">
        <v>66.5</v>
      </c>
      <c r="H3725" s="1">
        <v>74.3</v>
      </c>
    </row>
    <row r="3726" s="1" customFormat="1" spans="1:8">
      <c r="A3726" s="1" t="s">
        <v>29</v>
      </c>
      <c r="B3726" s="1" t="s">
        <v>30</v>
      </c>
      <c r="C3726" s="1" t="str">
        <f t="shared" si="76"/>
        <v>020006</v>
      </c>
      <c r="D3726" s="1" t="str">
        <f>"512416029"</f>
        <v>512416029</v>
      </c>
      <c r="E3726" s="1">
        <v>0</v>
      </c>
      <c r="F3726" s="1">
        <v>0</v>
      </c>
      <c r="H3726" s="1">
        <v>0</v>
      </c>
    </row>
    <row r="3727" s="1" customFormat="1" spans="1:8">
      <c r="A3727" s="1" t="s">
        <v>29</v>
      </c>
      <c r="B3727" s="1" t="s">
        <v>30</v>
      </c>
      <c r="C3727" s="1" t="str">
        <f t="shared" si="76"/>
        <v>020006</v>
      </c>
      <c r="D3727" s="1" t="str">
        <f>"512416030"</f>
        <v>512416030</v>
      </c>
      <c r="E3727" s="1">
        <v>0</v>
      </c>
      <c r="F3727" s="1">
        <v>0</v>
      </c>
      <c r="H3727" s="1">
        <v>0</v>
      </c>
    </row>
    <row r="3728" s="1" customFormat="1" spans="1:8">
      <c r="A3728" s="1" t="s">
        <v>29</v>
      </c>
      <c r="B3728" s="1" t="s">
        <v>30</v>
      </c>
      <c r="C3728" s="1" t="str">
        <f t="shared" si="76"/>
        <v>020006</v>
      </c>
      <c r="D3728" s="1" t="str">
        <f>"512416101"</f>
        <v>512416101</v>
      </c>
      <c r="E3728" s="1">
        <v>0</v>
      </c>
      <c r="F3728" s="1">
        <v>0</v>
      </c>
      <c r="H3728" s="1">
        <v>0</v>
      </c>
    </row>
    <row r="3729" s="1" customFormat="1" spans="1:8">
      <c r="A3729" s="1" t="s">
        <v>29</v>
      </c>
      <c r="B3729" s="1" t="s">
        <v>30</v>
      </c>
      <c r="C3729" s="1" t="str">
        <f t="shared" si="76"/>
        <v>020006</v>
      </c>
      <c r="D3729" s="1" t="str">
        <f>"512416102"</f>
        <v>512416102</v>
      </c>
      <c r="E3729" s="1">
        <v>61.5</v>
      </c>
      <c r="F3729" s="1">
        <v>76.5</v>
      </c>
      <c r="H3729" s="1">
        <v>67.5</v>
      </c>
    </row>
    <row r="3730" s="1" customFormat="1" spans="1:8">
      <c r="A3730" s="1" t="s">
        <v>29</v>
      </c>
      <c r="B3730" s="1" t="s">
        <v>30</v>
      </c>
      <c r="C3730" s="1" t="str">
        <f t="shared" si="76"/>
        <v>020006</v>
      </c>
      <c r="D3730" s="1" t="str">
        <f>"512416103"</f>
        <v>512416103</v>
      </c>
      <c r="E3730" s="1">
        <v>79</v>
      </c>
      <c r="F3730" s="1">
        <v>70.5</v>
      </c>
      <c r="H3730" s="1">
        <v>75.6</v>
      </c>
    </row>
    <row r="3731" s="1" customFormat="1" spans="1:8">
      <c r="A3731" s="1" t="s">
        <v>29</v>
      </c>
      <c r="B3731" s="1" t="s">
        <v>30</v>
      </c>
      <c r="C3731" s="1" t="str">
        <f t="shared" si="76"/>
        <v>020006</v>
      </c>
      <c r="D3731" s="1" t="str">
        <f>"512416104"</f>
        <v>512416104</v>
      </c>
      <c r="E3731" s="1">
        <v>75</v>
      </c>
      <c r="F3731" s="1">
        <v>62</v>
      </c>
      <c r="H3731" s="1">
        <v>69.8</v>
      </c>
    </row>
    <row r="3732" s="1" customFormat="1" spans="1:8">
      <c r="A3732" s="1" t="s">
        <v>29</v>
      </c>
      <c r="B3732" s="1" t="s">
        <v>30</v>
      </c>
      <c r="C3732" s="1" t="str">
        <f t="shared" si="76"/>
        <v>020006</v>
      </c>
      <c r="D3732" s="1" t="str">
        <f>"512416105"</f>
        <v>512416105</v>
      </c>
      <c r="E3732" s="1">
        <v>71.5</v>
      </c>
      <c r="F3732" s="1">
        <v>58</v>
      </c>
      <c r="H3732" s="1">
        <v>66.1</v>
      </c>
    </row>
    <row r="3733" s="1" customFormat="1" spans="1:8">
      <c r="A3733" s="1" t="s">
        <v>29</v>
      </c>
      <c r="B3733" s="1" t="s">
        <v>30</v>
      </c>
      <c r="C3733" s="1" t="str">
        <f t="shared" si="76"/>
        <v>020006</v>
      </c>
      <c r="D3733" s="1" t="str">
        <f>"512416106"</f>
        <v>512416106</v>
      </c>
      <c r="E3733" s="1">
        <v>89.5</v>
      </c>
      <c r="F3733" s="1">
        <v>75</v>
      </c>
      <c r="H3733" s="1">
        <v>83.7</v>
      </c>
    </row>
    <row r="3734" s="1" customFormat="1" spans="1:8">
      <c r="A3734" s="1" t="s">
        <v>29</v>
      </c>
      <c r="B3734" s="1" t="s">
        <v>30</v>
      </c>
      <c r="C3734" s="1" t="str">
        <f t="shared" si="76"/>
        <v>020006</v>
      </c>
      <c r="D3734" s="1" t="str">
        <f>"512416107"</f>
        <v>512416107</v>
      </c>
      <c r="E3734" s="1">
        <v>76.5</v>
      </c>
      <c r="F3734" s="1">
        <v>72</v>
      </c>
      <c r="H3734" s="1">
        <v>74.7</v>
      </c>
    </row>
    <row r="3735" s="1" customFormat="1" spans="1:8">
      <c r="A3735" s="1" t="s">
        <v>29</v>
      </c>
      <c r="B3735" s="1" t="s">
        <v>30</v>
      </c>
      <c r="C3735" s="1" t="str">
        <f t="shared" si="76"/>
        <v>020006</v>
      </c>
      <c r="D3735" s="1" t="str">
        <f>"512416108"</f>
        <v>512416108</v>
      </c>
      <c r="E3735" s="1">
        <v>70.5</v>
      </c>
      <c r="F3735" s="1">
        <v>58.5</v>
      </c>
      <c r="H3735" s="1">
        <v>65.7</v>
      </c>
    </row>
    <row r="3736" s="1" customFormat="1" spans="1:8">
      <c r="A3736" s="1" t="s">
        <v>29</v>
      </c>
      <c r="B3736" s="1" t="s">
        <v>30</v>
      </c>
      <c r="C3736" s="1" t="str">
        <f t="shared" si="76"/>
        <v>020006</v>
      </c>
      <c r="D3736" s="1" t="str">
        <f>"512416109"</f>
        <v>512416109</v>
      </c>
      <c r="E3736" s="1">
        <v>73.5</v>
      </c>
      <c r="F3736" s="1">
        <v>71</v>
      </c>
      <c r="H3736" s="1">
        <v>72.5</v>
      </c>
    </row>
    <row r="3737" s="1" customFormat="1" spans="1:8">
      <c r="A3737" s="1" t="s">
        <v>29</v>
      </c>
      <c r="B3737" s="1" t="s">
        <v>30</v>
      </c>
      <c r="C3737" s="1" t="str">
        <f t="shared" si="76"/>
        <v>020006</v>
      </c>
      <c r="D3737" s="1" t="str">
        <f>"512416110"</f>
        <v>512416110</v>
      </c>
      <c r="E3737" s="1">
        <v>73.5</v>
      </c>
      <c r="F3737" s="1">
        <v>72</v>
      </c>
      <c r="H3737" s="1">
        <v>72.9</v>
      </c>
    </row>
    <row r="3738" s="1" customFormat="1" spans="1:8">
      <c r="A3738" s="1" t="s">
        <v>29</v>
      </c>
      <c r="B3738" s="1" t="s">
        <v>30</v>
      </c>
      <c r="C3738" s="1" t="str">
        <f t="shared" si="76"/>
        <v>020006</v>
      </c>
      <c r="D3738" s="1" t="str">
        <f>"512416111"</f>
        <v>512416111</v>
      </c>
      <c r="E3738" s="1">
        <v>0</v>
      </c>
      <c r="F3738" s="1">
        <v>0</v>
      </c>
      <c r="H3738" s="1">
        <v>0</v>
      </c>
    </row>
    <row r="3739" s="1" customFormat="1" spans="1:8">
      <c r="A3739" s="1" t="s">
        <v>29</v>
      </c>
      <c r="B3739" s="1" t="s">
        <v>30</v>
      </c>
      <c r="C3739" s="1" t="str">
        <f t="shared" si="76"/>
        <v>020006</v>
      </c>
      <c r="D3739" s="1" t="str">
        <f>"512416112"</f>
        <v>512416112</v>
      </c>
      <c r="E3739" s="1">
        <v>81</v>
      </c>
      <c r="F3739" s="1">
        <v>76.5</v>
      </c>
      <c r="H3739" s="1">
        <v>79.2</v>
      </c>
    </row>
    <row r="3740" s="1" customFormat="1" spans="1:8">
      <c r="A3740" s="1" t="s">
        <v>29</v>
      </c>
      <c r="B3740" s="1" t="s">
        <v>30</v>
      </c>
      <c r="C3740" s="1" t="str">
        <f t="shared" si="76"/>
        <v>020006</v>
      </c>
      <c r="D3740" s="1" t="str">
        <f>"512416113"</f>
        <v>512416113</v>
      </c>
      <c r="E3740" s="1">
        <v>80.5</v>
      </c>
      <c r="F3740" s="1">
        <v>87</v>
      </c>
      <c r="H3740" s="1">
        <v>83.1</v>
      </c>
    </row>
    <row r="3741" s="1" customFormat="1" spans="1:8">
      <c r="A3741" s="1" t="s">
        <v>29</v>
      </c>
      <c r="B3741" s="1" t="s">
        <v>30</v>
      </c>
      <c r="C3741" s="1" t="str">
        <f t="shared" si="76"/>
        <v>020006</v>
      </c>
      <c r="D3741" s="1" t="str">
        <f>"512416114"</f>
        <v>512416114</v>
      </c>
      <c r="E3741" s="1">
        <v>66.5</v>
      </c>
      <c r="F3741" s="1">
        <v>62.5</v>
      </c>
      <c r="H3741" s="1">
        <v>64.9</v>
      </c>
    </row>
    <row r="3742" s="1" customFormat="1" spans="1:8">
      <c r="A3742" s="1" t="s">
        <v>29</v>
      </c>
      <c r="B3742" s="1" t="s">
        <v>30</v>
      </c>
      <c r="C3742" s="1" t="str">
        <f t="shared" si="76"/>
        <v>020006</v>
      </c>
      <c r="D3742" s="1" t="str">
        <f>"512416115"</f>
        <v>512416115</v>
      </c>
      <c r="E3742" s="1">
        <v>70</v>
      </c>
      <c r="F3742" s="1">
        <v>59.5</v>
      </c>
      <c r="H3742" s="1">
        <v>65.8</v>
      </c>
    </row>
    <row r="3743" s="1" customFormat="1" spans="1:8">
      <c r="A3743" s="1" t="s">
        <v>29</v>
      </c>
      <c r="B3743" s="1" t="s">
        <v>30</v>
      </c>
      <c r="C3743" s="1" t="str">
        <f t="shared" si="76"/>
        <v>020006</v>
      </c>
      <c r="D3743" s="1" t="str">
        <f>"512416116"</f>
        <v>512416116</v>
      </c>
      <c r="E3743" s="1">
        <v>74.5</v>
      </c>
      <c r="F3743" s="1">
        <v>75.5</v>
      </c>
      <c r="H3743" s="1">
        <v>74.9</v>
      </c>
    </row>
    <row r="3744" s="1" customFormat="1" spans="1:8">
      <c r="A3744" s="1" t="s">
        <v>29</v>
      </c>
      <c r="B3744" s="1" t="s">
        <v>30</v>
      </c>
      <c r="C3744" s="1" t="str">
        <f t="shared" si="76"/>
        <v>020006</v>
      </c>
      <c r="D3744" s="1" t="str">
        <f>"512416117"</f>
        <v>512416117</v>
      </c>
      <c r="E3744" s="1">
        <v>73.5</v>
      </c>
      <c r="F3744" s="1">
        <v>90.5</v>
      </c>
      <c r="H3744" s="1">
        <v>80.3</v>
      </c>
    </row>
    <row r="3745" s="1" customFormat="1" spans="1:8">
      <c r="A3745" s="1" t="s">
        <v>29</v>
      </c>
      <c r="B3745" s="1" t="s">
        <v>30</v>
      </c>
      <c r="C3745" s="1" t="str">
        <f t="shared" si="76"/>
        <v>020006</v>
      </c>
      <c r="D3745" s="1" t="str">
        <f>"512416118"</f>
        <v>512416118</v>
      </c>
      <c r="E3745" s="1">
        <v>77.5</v>
      </c>
      <c r="F3745" s="1">
        <v>66</v>
      </c>
      <c r="H3745" s="1">
        <v>72.9</v>
      </c>
    </row>
    <row r="3746" s="1" customFormat="1" spans="1:8">
      <c r="A3746" s="1" t="s">
        <v>29</v>
      </c>
      <c r="B3746" s="1" t="s">
        <v>30</v>
      </c>
      <c r="C3746" s="1" t="str">
        <f t="shared" si="76"/>
        <v>020006</v>
      </c>
      <c r="D3746" s="1" t="str">
        <f>"512416119"</f>
        <v>512416119</v>
      </c>
      <c r="E3746" s="1">
        <v>84</v>
      </c>
      <c r="F3746" s="1">
        <v>74</v>
      </c>
      <c r="H3746" s="1">
        <v>80</v>
      </c>
    </row>
    <row r="3747" s="1" customFormat="1" spans="1:8">
      <c r="A3747" s="1" t="s">
        <v>29</v>
      </c>
      <c r="B3747" s="1" t="s">
        <v>30</v>
      </c>
      <c r="C3747" s="1" t="str">
        <f t="shared" si="76"/>
        <v>020006</v>
      </c>
      <c r="D3747" s="1" t="str">
        <f>"512416120"</f>
        <v>512416120</v>
      </c>
      <c r="E3747" s="1">
        <v>66.5</v>
      </c>
      <c r="F3747" s="1">
        <v>67</v>
      </c>
      <c r="H3747" s="1">
        <v>66.7</v>
      </c>
    </row>
    <row r="3748" s="1" customFormat="1" spans="1:8">
      <c r="A3748" s="1" t="s">
        <v>29</v>
      </c>
      <c r="B3748" s="1" t="s">
        <v>30</v>
      </c>
      <c r="C3748" s="1" t="str">
        <f t="shared" si="76"/>
        <v>020006</v>
      </c>
      <c r="D3748" s="1" t="str">
        <f>"512416121"</f>
        <v>512416121</v>
      </c>
      <c r="E3748" s="1">
        <v>0</v>
      </c>
      <c r="F3748" s="1">
        <v>0</v>
      </c>
      <c r="H3748" s="1">
        <v>0</v>
      </c>
    </row>
    <row r="3749" s="1" customFormat="1" spans="1:8">
      <c r="A3749" s="1" t="s">
        <v>29</v>
      </c>
      <c r="B3749" s="1" t="s">
        <v>30</v>
      </c>
      <c r="C3749" s="1" t="str">
        <f t="shared" si="76"/>
        <v>020006</v>
      </c>
      <c r="D3749" s="1" t="str">
        <f>"512416122"</f>
        <v>512416122</v>
      </c>
      <c r="E3749" s="1">
        <v>78.5</v>
      </c>
      <c r="F3749" s="1">
        <v>73</v>
      </c>
      <c r="H3749" s="1">
        <v>76.3</v>
      </c>
    </row>
    <row r="3750" s="1" customFormat="1" spans="1:8">
      <c r="A3750" s="1" t="s">
        <v>29</v>
      </c>
      <c r="B3750" s="1" t="s">
        <v>30</v>
      </c>
      <c r="C3750" s="1" t="str">
        <f t="shared" si="76"/>
        <v>020006</v>
      </c>
      <c r="D3750" s="1" t="str">
        <f>"512416123"</f>
        <v>512416123</v>
      </c>
      <c r="E3750" s="1">
        <v>77.5</v>
      </c>
      <c r="F3750" s="1">
        <v>61</v>
      </c>
      <c r="H3750" s="1">
        <v>70.9</v>
      </c>
    </row>
    <row r="3751" s="1" customFormat="1" spans="1:8">
      <c r="A3751" s="1" t="s">
        <v>29</v>
      </c>
      <c r="B3751" s="1" t="s">
        <v>30</v>
      </c>
      <c r="C3751" s="1" t="str">
        <f t="shared" si="76"/>
        <v>020006</v>
      </c>
      <c r="D3751" s="1" t="str">
        <f>"512416124"</f>
        <v>512416124</v>
      </c>
      <c r="E3751" s="1">
        <v>83.5</v>
      </c>
      <c r="F3751" s="1">
        <v>92</v>
      </c>
      <c r="H3751" s="1">
        <v>86.9</v>
      </c>
    </row>
    <row r="3752" s="1" customFormat="1" spans="1:8">
      <c r="A3752" s="1" t="s">
        <v>29</v>
      </c>
      <c r="B3752" s="1" t="s">
        <v>30</v>
      </c>
      <c r="C3752" s="1" t="str">
        <f t="shared" si="76"/>
        <v>020006</v>
      </c>
      <c r="D3752" s="1" t="str">
        <f>"512416125"</f>
        <v>512416125</v>
      </c>
      <c r="E3752" s="1">
        <v>0</v>
      </c>
      <c r="F3752" s="1">
        <v>0</v>
      </c>
      <c r="H3752" s="1">
        <v>0</v>
      </c>
    </row>
    <row r="3753" s="1" customFormat="1" spans="1:8">
      <c r="A3753" s="1" t="s">
        <v>29</v>
      </c>
      <c r="B3753" s="1" t="s">
        <v>30</v>
      </c>
      <c r="C3753" s="1" t="str">
        <f t="shared" si="76"/>
        <v>020006</v>
      </c>
      <c r="D3753" s="1" t="str">
        <f>"512416126"</f>
        <v>512416126</v>
      </c>
      <c r="E3753" s="1">
        <v>81.5</v>
      </c>
      <c r="F3753" s="1">
        <v>69</v>
      </c>
      <c r="H3753" s="1">
        <v>76.5</v>
      </c>
    </row>
    <row r="3754" s="1" customFormat="1" spans="1:8">
      <c r="A3754" s="1" t="s">
        <v>29</v>
      </c>
      <c r="B3754" s="1" t="s">
        <v>30</v>
      </c>
      <c r="C3754" s="1" t="str">
        <f t="shared" si="76"/>
        <v>020006</v>
      </c>
      <c r="D3754" s="1" t="str">
        <f>"512416127"</f>
        <v>512416127</v>
      </c>
      <c r="E3754" s="1">
        <v>0</v>
      </c>
      <c r="F3754" s="1">
        <v>0</v>
      </c>
      <c r="H3754" s="1">
        <v>0</v>
      </c>
    </row>
    <row r="3755" s="1" customFormat="1" spans="1:8">
      <c r="A3755" s="1" t="s">
        <v>29</v>
      </c>
      <c r="B3755" s="1" t="s">
        <v>30</v>
      </c>
      <c r="C3755" s="1" t="str">
        <f t="shared" si="76"/>
        <v>020006</v>
      </c>
      <c r="D3755" s="1" t="str">
        <f>"512416128"</f>
        <v>512416128</v>
      </c>
      <c r="E3755" s="1">
        <v>76.5</v>
      </c>
      <c r="F3755" s="1">
        <v>88</v>
      </c>
      <c r="H3755" s="1">
        <v>81.1</v>
      </c>
    </row>
    <row r="3756" s="1" customFormat="1" spans="1:8">
      <c r="A3756" s="1" t="s">
        <v>29</v>
      </c>
      <c r="B3756" s="1" t="s">
        <v>30</v>
      </c>
      <c r="C3756" s="1" t="str">
        <f t="shared" si="76"/>
        <v>020006</v>
      </c>
      <c r="D3756" s="1" t="str">
        <f>"512416129"</f>
        <v>512416129</v>
      </c>
      <c r="E3756" s="1">
        <v>66.5</v>
      </c>
      <c r="F3756" s="1">
        <v>55</v>
      </c>
      <c r="H3756" s="1">
        <v>61.9</v>
      </c>
    </row>
    <row r="3757" s="1" customFormat="1" spans="1:8">
      <c r="A3757" s="1" t="s">
        <v>29</v>
      </c>
      <c r="B3757" s="1" t="s">
        <v>30</v>
      </c>
      <c r="C3757" s="1" t="str">
        <f t="shared" si="76"/>
        <v>020006</v>
      </c>
      <c r="D3757" s="1" t="str">
        <f>"512416130"</f>
        <v>512416130</v>
      </c>
      <c r="E3757" s="1">
        <v>0</v>
      </c>
      <c r="F3757" s="1">
        <v>0</v>
      </c>
      <c r="H3757" s="1">
        <v>0</v>
      </c>
    </row>
    <row r="3758" s="1" customFormat="1" spans="1:8">
      <c r="A3758" s="1" t="s">
        <v>29</v>
      </c>
      <c r="B3758" s="1" t="s">
        <v>30</v>
      </c>
      <c r="C3758" s="1" t="str">
        <f t="shared" si="76"/>
        <v>020006</v>
      </c>
      <c r="D3758" s="1" t="str">
        <f>"512416201"</f>
        <v>512416201</v>
      </c>
      <c r="E3758" s="1">
        <v>75.5</v>
      </c>
      <c r="F3758" s="1">
        <v>68.5</v>
      </c>
      <c r="H3758" s="1">
        <v>72.7</v>
      </c>
    </row>
    <row r="3759" s="1" customFormat="1" spans="1:8">
      <c r="A3759" s="1" t="s">
        <v>29</v>
      </c>
      <c r="B3759" s="1" t="s">
        <v>30</v>
      </c>
      <c r="C3759" s="1" t="str">
        <f t="shared" si="76"/>
        <v>020006</v>
      </c>
      <c r="D3759" s="1" t="str">
        <f>"512416202"</f>
        <v>512416202</v>
      </c>
      <c r="E3759" s="1">
        <v>66.5</v>
      </c>
      <c r="F3759" s="1">
        <v>65</v>
      </c>
      <c r="H3759" s="1">
        <v>65.9</v>
      </c>
    </row>
    <row r="3760" s="1" customFormat="1" spans="1:8">
      <c r="A3760" s="1" t="s">
        <v>29</v>
      </c>
      <c r="B3760" s="1" t="s">
        <v>30</v>
      </c>
      <c r="C3760" s="1" t="str">
        <f t="shared" si="76"/>
        <v>020006</v>
      </c>
      <c r="D3760" s="1" t="str">
        <f>"512416203"</f>
        <v>512416203</v>
      </c>
      <c r="E3760" s="1">
        <v>0</v>
      </c>
      <c r="F3760" s="1">
        <v>0</v>
      </c>
      <c r="H3760" s="1">
        <v>0</v>
      </c>
    </row>
    <row r="3761" s="1" customFormat="1" spans="1:8">
      <c r="A3761" s="1" t="s">
        <v>29</v>
      </c>
      <c r="B3761" s="1" t="s">
        <v>30</v>
      </c>
      <c r="C3761" s="1" t="str">
        <f t="shared" si="76"/>
        <v>020006</v>
      </c>
      <c r="D3761" s="1" t="str">
        <f>"512416204"</f>
        <v>512416204</v>
      </c>
      <c r="E3761" s="1">
        <v>0</v>
      </c>
      <c r="F3761" s="1">
        <v>0</v>
      </c>
      <c r="H3761" s="1">
        <v>0</v>
      </c>
    </row>
    <row r="3762" s="1" customFormat="1" spans="1:8">
      <c r="A3762" s="1" t="s">
        <v>29</v>
      </c>
      <c r="B3762" s="1" t="s">
        <v>30</v>
      </c>
      <c r="C3762" s="1" t="str">
        <f t="shared" si="76"/>
        <v>020006</v>
      </c>
      <c r="D3762" s="1" t="str">
        <f>"512416205"</f>
        <v>512416205</v>
      </c>
      <c r="E3762" s="1">
        <v>73.5</v>
      </c>
      <c r="F3762" s="1">
        <v>84</v>
      </c>
      <c r="H3762" s="1">
        <v>77.7</v>
      </c>
    </row>
    <row r="3763" s="1" customFormat="1" spans="1:8">
      <c r="A3763" s="1" t="s">
        <v>29</v>
      </c>
      <c r="B3763" s="1" t="s">
        <v>30</v>
      </c>
      <c r="C3763" s="1" t="str">
        <f t="shared" si="76"/>
        <v>020006</v>
      </c>
      <c r="D3763" s="1" t="str">
        <f>"512416206"</f>
        <v>512416206</v>
      </c>
      <c r="E3763" s="1">
        <v>0</v>
      </c>
      <c r="F3763" s="1">
        <v>0</v>
      </c>
      <c r="H3763" s="1">
        <v>0</v>
      </c>
    </row>
    <row r="3764" s="1" customFormat="1" spans="1:8">
      <c r="A3764" s="1" t="s">
        <v>29</v>
      </c>
      <c r="B3764" s="1" t="s">
        <v>30</v>
      </c>
      <c r="C3764" s="1" t="str">
        <f t="shared" si="76"/>
        <v>020006</v>
      </c>
      <c r="D3764" s="1" t="str">
        <f>"512416207"</f>
        <v>512416207</v>
      </c>
      <c r="E3764" s="1">
        <v>0</v>
      </c>
      <c r="F3764" s="1">
        <v>0</v>
      </c>
      <c r="H3764" s="1">
        <v>0</v>
      </c>
    </row>
    <row r="3765" s="1" customFormat="1" spans="1:8">
      <c r="A3765" s="1" t="s">
        <v>29</v>
      </c>
      <c r="B3765" s="1" t="s">
        <v>30</v>
      </c>
      <c r="C3765" s="1" t="str">
        <f t="shared" si="76"/>
        <v>020006</v>
      </c>
      <c r="D3765" s="1" t="str">
        <f>"512416208"</f>
        <v>512416208</v>
      </c>
      <c r="E3765" s="1">
        <v>80.5</v>
      </c>
      <c r="F3765" s="1">
        <v>76.5</v>
      </c>
      <c r="H3765" s="1">
        <v>78.9</v>
      </c>
    </row>
    <row r="3766" s="1" customFormat="1" spans="1:8">
      <c r="A3766" s="1" t="s">
        <v>29</v>
      </c>
      <c r="B3766" s="1" t="s">
        <v>30</v>
      </c>
      <c r="C3766" s="1" t="str">
        <f t="shared" si="76"/>
        <v>020006</v>
      </c>
      <c r="D3766" s="1" t="str">
        <f>"512416209"</f>
        <v>512416209</v>
      </c>
      <c r="E3766" s="1">
        <v>81.5</v>
      </c>
      <c r="F3766" s="1">
        <v>69.5</v>
      </c>
      <c r="H3766" s="1">
        <v>76.7</v>
      </c>
    </row>
    <row r="3767" s="1" customFormat="1" spans="1:8">
      <c r="A3767" s="1" t="s">
        <v>29</v>
      </c>
      <c r="B3767" s="1" t="s">
        <v>30</v>
      </c>
      <c r="C3767" s="1" t="str">
        <f t="shared" si="76"/>
        <v>020006</v>
      </c>
      <c r="D3767" s="1" t="str">
        <f>"512416210"</f>
        <v>512416210</v>
      </c>
      <c r="E3767" s="1">
        <v>87</v>
      </c>
      <c r="F3767" s="1">
        <v>82.5</v>
      </c>
      <c r="H3767" s="1">
        <v>85.2</v>
      </c>
    </row>
    <row r="3768" s="1" customFormat="1" spans="1:8">
      <c r="A3768" s="1" t="s">
        <v>29</v>
      </c>
      <c r="B3768" s="1" t="s">
        <v>30</v>
      </c>
      <c r="C3768" s="1" t="str">
        <f t="shared" si="76"/>
        <v>020006</v>
      </c>
      <c r="D3768" s="1" t="str">
        <f>"512416211"</f>
        <v>512416211</v>
      </c>
      <c r="E3768" s="1">
        <v>74</v>
      </c>
      <c r="F3768" s="1">
        <v>91</v>
      </c>
      <c r="H3768" s="1">
        <v>80.8</v>
      </c>
    </row>
    <row r="3769" s="1" customFormat="1" spans="1:8">
      <c r="A3769" s="1" t="s">
        <v>29</v>
      </c>
      <c r="B3769" s="1" t="s">
        <v>30</v>
      </c>
      <c r="C3769" s="1" t="str">
        <f t="shared" si="76"/>
        <v>020006</v>
      </c>
      <c r="D3769" s="1" t="str">
        <f>"512416212"</f>
        <v>512416212</v>
      </c>
      <c r="E3769" s="1">
        <v>0</v>
      </c>
      <c r="F3769" s="1">
        <v>0</v>
      </c>
      <c r="H3769" s="1">
        <v>0</v>
      </c>
    </row>
    <row r="3770" s="1" customFormat="1" spans="1:8">
      <c r="A3770" s="1" t="s">
        <v>29</v>
      </c>
      <c r="B3770" s="1" t="s">
        <v>30</v>
      </c>
      <c r="C3770" s="1" t="str">
        <f t="shared" si="76"/>
        <v>020006</v>
      </c>
      <c r="D3770" s="1" t="str">
        <f>"512416213"</f>
        <v>512416213</v>
      </c>
      <c r="E3770" s="1">
        <v>78.5</v>
      </c>
      <c r="F3770" s="1">
        <v>69</v>
      </c>
      <c r="H3770" s="1">
        <v>74.7</v>
      </c>
    </row>
    <row r="3771" s="1" customFormat="1" spans="1:8">
      <c r="A3771" s="1" t="s">
        <v>29</v>
      </c>
      <c r="B3771" s="1" t="s">
        <v>30</v>
      </c>
      <c r="C3771" s="1" t="str">
        <f t="shared" si="76"/>
        <v>020006</v>
      </c>
      <c r="D3771" s="1" t="str">
        <f>"512416214"</f>
        <v>512416214</v>
      </c>
      <c r="E3771" s="1">
        <v>69</v>
      </c>
      <c r="F3771" s="1">
        <v>85</v>
      </c>
      <c r="H3771" s="1">
        <v>75.4</v>
      </c>
    </row>
    <row r="3772" s="1" customFormat="1" spans="1:8">
      <c r="A3772" s="1" t="s">
        <v>29</v>
      </c>
      <c r="B3772" s="1" t="s">
        <v>30</v>
      </c>
      <c r="C3772" s="1" t="str">
        <f t="shared" ref="C3772:C3775" si="77">"020006"</f>
        <v>020006</v>
      </c>
      <c r="D3772" s="1" t="str">
        <f>"512416215"</f>
        <v>512416215</v>
      </c>
      <c r="E3772" s="1">
        <v>79.5</v>
      </c>
      <c r="F3772" s="1">
        <v>85.5</v>
      </c>
      <c r="H3772" s="1">
        <v>81.9</v>
      </c>
    </row>
    <row r="3773" s="1" customFormat="1" spans="1:8">
      <c r="A3773" s="1" t="s">
        <v>29</v>
      </c>
      <c r="B3773" s="1" t="s">
        <v>30</v>
      </c>
      <c r="C3773" s="1" t="str">
        <f t="shared" si="77"/>
        <v>020006</v>
      </c>
      <c r="D3773" s="1" t="str">
        <f>"512416216"</f>
        <v>512416216</v>
      </c>
      <c r="E3773" s="1">
        <v>74.5</v>
      </c>
      <c r="F3773" s="1">
        <v>69</v>
      </c>
      <c r="H3773" s="1">
        <v>72.3</v>
      </c>
    </row>
    <row r="3774" s="1" customFormat="1" spans="1:8">
      <c r="A3774" s="1" t="s">
        <v>29</v>
      </c>
      <c r="B3774" s="1" t="s">
        <v>30</v>
      </c>
      <c r="C3774" s="1" t="str">
        <f t="shared" si="77"/>
        <v>020006</v>
      </c>
      <c r="D3774" s="1" t="str">
        <f>"512416217"</f>
        <v>512416217</v>
      </c>
      <c r="E3774" s="1">
        <v>81</v>
      </c>
      <c r="F3774" s="1">
        <v>71.5</v>
      </c>
      <c r="H3774" s="1">
        <v>77.2</v>
      </c>
    </row>
    <row r="3775" s="1" customFormat="1" spans="1:8">
      <c r="A3775" s="1" t="s">
        <v>29</v>
      </c>
      <c r="B3775" s="1" t="s">
        <v>30</v>
      </c>
      <c r="C3775" s="1" t="str">
        <f t="shared" si="77"/>
        <v>020006</v>
      </c>
      <c r="D3775" s="1" t="str">
        <f>"512416218"</f>
        <v>512416218</v>
      </c>
      <c r="E3775" s="1">
        <v>73.5</v>
      </c>
      <c r="F3775" s="1">
        <v>68.5</v>
      </c>
      <c r="H3775" s="1">
        <v>71.5</v>
      </c>
    </row>
    <row r="3776" s="1" customFormat="1" spans="1:8">
      <c r="A3776" s="1" t="s">
        <v>31</v>
      </c>
      <c r="B3776" s="1" t="s">
        <v>30</v>
      </c>
      <c r="C3776" s="1" t="str">
        <f t="shared" ref="C3776:C3793" si="78">"020011"</f>
        <v>020011</v>
      </c>
      <c r="D3776" s="1" t="str">
        <f>"512416219"</f>
        <v>512416219</v>
      </c>
      <c r="E3776" s="1">
        <v>78.5</v>
      </c>
      <c r="F3776" s="1">
        <v>86</v>
      </c>
      <c r="H3776" s="1">
        <v>81.5</v>
      </c>
    </row>
    <row r="3777" s="1" customFormat="1" spans="1:8">
      <c r="A3777" s="1" t="s">
        <v>31</v>
      </c>
      <c r="B3777" s="1" t="s">
        <v>30</v>
      </c>
      <c r="C3777" s="1" t="str">
        <f t="shared" si="78"/>
        <v>020011</v>
      </c>
      <c r="D3777" s="1" t="str">
        <f>"512416220"</f>
        <v>512416220</v>
      </c>
      <c r="E3777" s="1">
        <v>78.5</v>
      </c>
      <c r="F3777" s="1">
        <v>73.5</v>
      </c>
      <c r="H3777" s="1">
        <v>76.5</v>
      </c>
    </row>
    <row r="3778" s="1" customFormat="1" spans="1:8">
      <c r="A3778" s="1" t="s">
        <v>31</v>
      </c>
      <c r="B3778" s="1" t="s">
        <v>30</v>
      </c>
      <c r="C3778" s="1" t="str">
        <f t="shared" si="78"/>
        <v>020011</v>
      </c>
      <c r="D3778" s="1" t="str">
        <f>"512416221"</f>
        <v>512416221</v>
      </c>
      <c r="E3778" s="1">
        <v>73</v>
      </c>
      <c r="F3778" s="1">
        <v>56.5</v>
      </c>
      <c r="H3778" s="1">
        <v>66.4</v>
      </c>
    </row>
    <row r="3779" s="1" customFormat="1" spans="1:8">
      <c r="A3779" s="1" t="s">
        <v>31</v>
      </c>
      <c r="B3779" s="1" t="s">
        <v>30</v>
      </c>
      <c r="C3779" s="1" t="str">
        <f t="shared" si="78"/>
        <v>020011</v>
      </c>
      <c r="D3779" s="1" t="str">
        <f>"512416222"</f>
        <v>512416222</v>
      </c>
      <c r="E3779" s="1">
        <v>0</v>
      </c>
      <c r="F3779" s="1">
        <v>0</v>
      </c>
      <c r="H3779" s="1">
        <v>0</v>
      </c>
    </row>
    <row r="3780" s="1" customFormat="1" spans="1:8">
      <c r="A3780" s="1" t="s">
        <v>31</v>
      </c>
      <c r="B3780" s="1" t="s">
        <v>30</v>
      </c>
      <c r="C3780" s="1" t="str">
        <f t="shared" si="78"/>
        <v>020011</v>
      </c>
      <c r="D3780" s="1" t="str">
        <f>"512416223"</f>
        <v>512416223</v>
      </c>
      <c r="E3780" s="1">
        <v>79</v>
      </c>
      <c r="F3780" s="1">
        <v>75.5</v>
      </c>
      <c r="H3780" s="1">
        <v>77.6</v>
      </c>
    </row>
    <row r="3781" s="1" customFormat="1" spans="1:8">
      <c r="A3781" s="1" t="s">
        <v>31</v>
      </c>
      <c r="B3781" s="1" t="s">
        <v>30</v>
      </c>
      <c r="C3781" s="1" t="str">
        <f t="shared" si="78"/>
        <v>020011</v>
      </c>
      <c r="D3781" s="1" t="str">
        <f>"512416224"</f>
        <v>512416224</v>
      </c>
      <c r="E3781" s="1">
        <v>0</v>
      </c>
      <c r="F3781" s="1">
        <v>0</v>
      </c>
      <c r="H3781" s="1">
        <v>0</v>
      </c>
    </row>
    <row r="3782" s="1" customFormat="1" spans="1:8">
      <c r="A3782" s="1" t="s">
        <v>31</v>
      </c>
      <c r="B3782" s="1" t="s">
        <v>30</v>
      </c>
      <c r="C3782" s="1" t="str">
        <f t="shared" si="78"/>
        <v>020011</v>
      </c>
      <c r="D3782" s="1" t="str">
        <f>"512416225"</f>
        <v>512416225</v>
      </c>
      <c r="E3782" s="1">
        <v>0</v>
      </c>
      <c r="F3782" s="1">
        <v>0</v>
      </c>
      <c r="H3782" s="1">
        <v>0</v>
      </c>
    </row>
    <row r="3783" s="1" customFormat="1" spans="1:8">
      <c r="A3783" s="1" t="s">
        <v>31</v>
      </c>
      <c r="B3783" s="1" t="s">
        <v>30</v>
      </c>
      <c r="C3783" s="1" t="str">
        <f t="shared" si="78"/>
        <v>020011</v>
      </c>
      <c r="D3783" s="1" t="str">
        <f>"512416226"</f>
        <v>512416226</v>
      </c>
      <c r="E3783" s="1">
        <v>73.5</v>
      </c>
      <c r="F3783" s="1">
        <v>66</v>
      </c>
      <c r="H3783" s="1">
        <v>70.5</v>
      </c>
    </row>
    <row r="3784" s="1" customFormat="1" spans="1:8">
      <c r="A3784" s="1" t="s">
        <v>31</v>
      </c>
      <c r="B3784" s="1" t="s">
        <v>30</v>
      </c>
      <c r="C3784" s="1" t="str">
        <f t="shared" si="78"/>
        <v>020011</v>
      </c>
      <c r="D3784" s="1" t="str">
        <f>"512416227"</f>
        <v>512416227</v>
      </c>
      <c r="E3784" s="1">
        <v>80.5</v>
      </c>
      <c r="F3784" s="1">
        <v>67.5</v>
      </c>
      <c r="H3784" s="1">
        <v>75.3</v>
      </c>
    </row>
    <row r="3785" s="1" customFormat="1" spans="1:8">
      <c r="A3785" s="1" t="s">
        <v>31</v>
      </c>
      <c r="B3785" s="1" t="s">
        <v>30</v>
      </c>
      <c r="C3785" s="1" t="str">
        <f t="shared" si="78"/>
        <v>020011</v>
      </c>
      <c r="D3785" s="1" t="str">
        <f>"512416228"</f>
        <v>512416228</v>
      </c>
      <c r="E3785" s="1">
        <v>74.5</v>
      </c>
      <c r="F3785" s="1">
        <v>71.5</v>
      </c>
      <c r="H3785" s="1">
        <v>73.3</v>
      </c>
    </row>
    <row r="3786" s="1" customFormat="1" spans="1:8">
      <c r="A3786" s="1" t="s">
        <v>31</v>
      </c>
      <c r="B3786" s="1" t="s">
        <v>30</v>
      </c>
      <c r="C3786" s="1" t="str">
        <f t="shared" si="78"/>
        <v>020011</v>
      </c>
      <c r="D3786" s="1" t="str">
        <f>"512416229"</f>
        <v>512416229</v>
      </c>
      <c r="E3786" s="1">
        <v>73.5</v>
      </c>
      <c r="F3786" s="1">
        <v>81.5</v>
      </c>
      <c r="H3786" s="1">
        <v>76.7</v>
      </c>
    </row>
    <row r="3787" s="1" customFormat="1" spans="1:8">
      <c r="A3787" s="1" t="s">
        <v>31</v>
      </c>
      <c r="B3787" s="1" t="s">
        <v>30</v>
      </c>
      <c r="C3787" s="1" t="str">
        <f t="shared" si="78"/>
        <v>020011</v>
      </c>
      <c r="D3787" s="1" t="str">
        <f>"512416230"</f>
        <v>512416230</v>
      </c>
      <c r="E3787" s="1">
        <v>69.5</v>
      </c>
      <c r="F3787" s="1">
        <v>54.5</v>
      </c>
      <c r="H3787" s="1">
        <v>63.5</v>
      </c>
    </row>
    <row r="3788" s="1" customFormat="1" spans="1:8">
      <c r="A3788" s="1" t="s">
        <v>31</v>
      </c>
      <c r="B3788" s="1" t="s">
        <v>30</v>
      </c>
      <c r="C3788" s="1" t="str">
        <f t="shared" si="78"/>
        <v>020011</v>
      </c>
      <c r="D3788" s="1" t="str">
        <f>"512416301"</f>
        <v>512416301</v>
      </c>
      <c r="E3788" s="1">
        <v>83</v>
      </c>
      <c r="F3788" s="1">
        <v>87.5</v>
      </c>
      <c r="H3788" s="1">
        <v>84.8</v>
      </c>
    </row>
    <row r="3789" s="1" customFormat="1" spans="1:8">
      <c r="A3789" s="1" t="s">
        <v>31</v>
      </c>
      <c r="B3789" s="1" t="s">
        <v>30</v>
      </c>
      <c r="C3789" s="1" t="str">
        <f t="shared" si="78"/>
        <v>020011</v>
      </c>
      <c r="D3789" s="1" t="str">
        <f>"512416302"</f>
        <v>512416302</v>
      </c>
      <c r="E3789" s="1">
        <v>71</v>
      </c>
      <c r="F3789" s="1">
        <v>80</v>
      </c>
      <c r="H3789" s="1">
        <v>74.6</v>
      </c>
    </row>
    <row r="3790" s="1" customFormat="1" spans="1:8">
      <c r="A3790" s="1" t="s">
        <v>31</v>
      </c>
      <c r="B3790" s="1" t="s">
        <v>30</v>
      </c>
      <c r="C3790" s="1" t="str">
        <f t="shared" si="78"/>
        <v>020011</v>
      </c>
      <c r="D3790" s="1" t="str">
        <f>"512416303"</f>
        <v>512416303</v>
      </c>
      <c r="E3790" s="1">
        <v>78.5</v>
      </c>
      <c r="F3790" s="1">
        <v>69</v>
      </c>
      <c r="H3790" s="1">
        <v>74.7</v>
      </c>
    </row>
    <row r="3791" s="1" customFormat="1" spans="1:8">
      <c r="A3791" s="1" t="s">
        <v>31</v>
      </c>
      <c r="B3791" s="1" t="s">
        <v>30</v>
      </c>
      <c r="C3791" s="1" t="str">
        <f t="shared" si="78"/>
        <v>020011</v>
      </c>
      <c r="D3791" s="1" t="str">
        <f>"512416304"</f>
        <v>512416304</v>
      </c>
      <c r="E3791" s="1">
        <v>83.5</v>
      </c>
      <c r="F3791" s="1">
        <v>67.5</v>
      </c>
      <c r="H3791" s="1">
        <v>77.1</v>
      </c>
    </row>
    <row r="3792" s="1" customFormat="1" spans="1:8">
      <c r="A3792" s="1" t="s">
        <v>31</v>
      </c>
      <c r="B3792" s="1" t="s">
        <v>30</v>
      </c>
      <c r="C3792" s="1" t="str">
        <f t="shared" si="78"/>
        <v>020011</v>
      </c>
      <c r="D3792" s="1" t="str">
        <f>"512416305"</f>
        <v>512416305</v>
      </c>
      <c r="E3792" s="1">
        <v>65.5</v>
      </c>
      <c r="F3792" s="1">
        <v>71</v>
      </c>
      <c r="H3792" s="1">
        <v>67.7</v>
      </c>
    </row>
    <row r="3793" s="1" customFormat="1" spans="1:8">
      <c r="A3793" s="1" t="s">
        <v>31</v>
      </c>
      <c r="B3793" s="1" t="s">
        <v>30</v>
      </c>
      <c r="C3793" s="1" t="str">
        <f t="shared" si="78"/>
        <v>020011</v>
      </c>
      <c r="D3793" s="1" t="str">
        <f>"512416306"</f>
        <v>512416306</v>
      </c>
      <c r="E3793" s="1">
        <v>71.5</v>
      </c>
      <c r="F3793" s="1">
        <v>62.5</v>
      </c>
      <c r="H3793" s="1">
        <v>67.9</v>
      </c>
    </row>
    <row r="3794" s="1" customFormat="1" spans="1:8">
      <c r="A3794" s="1" t="s">
        <v>32</v>
      </c>
      <c r="B3794" s="1" t="s">
        <v>30</v>
      </c>
      <c r="C3794" s="1" t="str">
        <f t="shared" ref="C3794:C3857" si="79">"020015"</f>
        <v>020015</v>
      </c>
      <c r="D3794" s="1" t="str">
        <f>"512416307"</f>
        <v>512416307</v>
      </c>
      <c r="E3794" s="1">
        <v>77.5</v>
      </c>
      <c r="F3794" s="1">
        <v>71.5</v>
      </c>
      <c r="H3794" s="1">
        <v>75.1</v>
      </c>
    </row>
    <row r="3795" s="1" customFormat="1" spans="1:8">
      <c r="A3795" s="1" t="s">
        <v>32</v>
      </c>
      <c r="B3795" s="1" t="s">
        <v>30</v>
      </c>
      <c r="C3795" s="1" t="str">
        <f t="shared" si="79"/>
        <v>020015</v>
      </c>
      <c r="D3795" s="1" t="str">
        <f>"512416308"</f>
        <v>512416308</v>
      </c>
      <c r="E3795" s="1">
        <v>81.5</v>
      </c>
      <c r="F3795" s="1">
        <v>71.5</v>
      </c>
      <c r="H3795" s="1">
        <v>77.5</v>
      </c>
    </row>
    <row r="3796" s="1" customFormat="1" spans="1:8">
      <c r="A3796" s="1" t="s">
        <v>32</v>
      </c>
      <c r="B3796" s="1" t="s">
        <v>30</v>
      </c>
      <c r="C3796" s="1" t="str">
        <f t="shared" si="79"/>
        <v>020015</v>
      </c>
      <c r="D3796" s="1" t="str">
        <f>"512416309"</f>
        <v>512416309</v>
      </c>
      <c r="E3796" s="1">
        <v>0</v>
      </c>
      <c r="F3796" s="1">
        <v>0</v>
      </c>
      <c r="H3796" s="1">
        <v>0</v>
      </c>
    </row>
    <row r="3797" s="1" customFormat="1" spans="1:8">
      <c r="A3797" s="1" t="s">
        <v>32</v>
      </c>
      <c r="B3797" s="1" t="s">
        <v>30</v>
      </c>
      <c r="C3797" s="1" t="str">
        <f t="shared" si="79"/>
        <v>020015</v>
      </c>
      <c r="D3797" s="1" t="str">
        <f>"512416310"</f>
        <v>512416310</v>
      </c>
      <c r="E3797" s="1">
        <v>0</v>
      </c>
      <c r="F3797" s="1">
        <v>0</v>
      </c>
      <c r="H3797" s="1">
        <v>0</v>
      </c>
    </row>
    <row r="3798" s="1" customFormat="1" spans="1:8">
      <c r="A3798" s="1" t="s">
        <v>32</v>
      </c>
      <c r="B3798" s="1" t="s">
        <v>30</v>
      </c>
      <c r="C3798" s="1" t="str">
        <f t="shared" si="79"/>
        <v>020015</v>
      </c>
      <c r="D3798" s="1" t="str">
        <f>"512416311"</f>
        <v>512416311</v>
      </c>
      <c r="E3798" s="1">
        <v>79.5</v>
      </c>
      <c r="F3798" s="1">
        <v>74.5</v>
      </c>
      <c r="H3798" s="1">
        <v>77.5</v>
      </c>
    </row>
    <row r="3799" s="1" customFormat="1" spans="1:8">
      <c r="A3799" s="1" t="s">
        <v>32</v>
      </c>
      <c r="B3799" s="1" t="s">
        <v>30</v>
      </c>
      <c r="C3799" s="1" t="str">
        <f t="shared" si="79"/>
        <v>020015</v>
      </c>
      <c r="D3799" s="1" t="str">
        <f>"512416312"</f>
        <v>512416312</v>
      </c>
      <c r="E3799" s="1">
        <v>74</v>
      </c>
      <c r="F3799" s="1">
        <v>83</v>
      </c>
      <c r="H3799" s="1">
        <v>77.6</v>
      </c>
    </row>
    <row r="3800" s="1" customFormat="1" spans="1:8">
      <c r="A3800" s="1" t="s">
        <v>32</v>
      </c>
      <c r="B3800" s="1" t="s">
        <v>30</v>
      </c>
      <c r="C3800" s="1" t="str">
        <f t="shared" si="79"/>
        <v>020015</v>
      </c>
      <c r="D3800" s="1" t="str">
        <f>"512416313"</f>
        <v>512416313</v>
      </c>
      <c r="E3800" s="1">
        <v>81</v>
      </c>
      <c r="F3800" s="1">
        <v>96.5</v>
      </c>
      <c r="H3800" s="1">
        <v>87.2</v>
      </c>
    </row>
    <row r="3801" s="1" customFormat="1" spans="1:8">
      <c r="A3801" s="1" t="s">
        <v>32</v>
      </c>
      <c r="B3801" s="1" t="s">
        <v>30</v>
      </c>
      <c r="C3801" s="1" t="str">
        <f t="shared" si="79"/>
        <v>020015</v>
      </c>
      <c r="D3801" s="1" t="str">
        <f>"512416314"</f>
        <v>512416314</v>
      </c>
      <c r="E3801" s="1">
        <v>75.5</v>
      </c>
      <c r="F3801" s="1">
        <v>76</v>
      </c>
      <c r="H3801" s="1">
        <v>75.7</v>
      </c>
    </row>
    <row r="3802" s="1" customFormat="1" spans="1:8">
      <c r="A3802" s="1" t="s">
        <v>32</v>
      </c>
      <c r="B3802" s="1" t="s">
        <v>30</v>
      </c>
      <c r="C3802" s="1" t="str">
        <f t="shared" si="79"/>
        <v>020015</v>
      </c>
      <c r="D3802" s="1" t="str">
        <f>"512416315"</f>
        <v>512416315</v>
      </c>
      <c r="E3802" s="1">
        <v>78.5</v>
      </c>
      <c r="F3802" s="1">
        <v>85.5</v>
      </c>
      <c r="H3802" s="1">
        <v>81.3</v>
      </c>
    </row>
    <row r="3803" s="1" customFormat="1" spans="1:8">
      <c r="A3803" s="1" t="s">
        <v>32</v>
      </c>
      <c r="B3803" s="1" t="s">
        <v>30</v>
      </c>
      <c r="C3803" s="1" t="str">
        <f t="shared" si="79"/>
        <v>020015</v>
      </c>
      <c r="D3803" s="1" t="str">
        <f>"512416316"</f>
        <v>512416316</v>
      </c>
      <c r="E3803" s="1">
        <v>0</v>
      </c>
      <c r="F3803" s="1">
        <v>0</v>
      </c>
      <c r="H3803" s="1">
        <v>0</v>
      </c>
    </row>
    <row r="3804" s="1" customFormat="1" spans="1:8">
      <c r="A3804" s="1" t="s">
        <v>32</v>
      </c>
      <c r="B3804" s="1" t="s">
        <v>30</v>
      </c>
      <c r="C3804" s="1" t="str">
        <f t="shared" si="79"/>
        <v>020015</v>
      </c>
      <c r="D3804" s="1" t="str">
        <f>"512416317"</f>
        <v>512416317</v>
      </c>
      <c r="E3804" s="1">
        <v>75.5</v>
      </c>
      <c r="F3804" s="1">
        <v>66</v>
      </c>
      <c r="H3804" s="1">
        <v>71.7</v>
      </c>
    </row>
    <row r="3805" s="1" customFormat="1" spans="1:8">
      <c r="A3805" s="1" t="s">
        <v>32</v>
      </c>
      <c r="B3805" s="1" t="s">
        <v>30</v>
      </c>
      <c r="C3805" s="1" t="str">
        <f t="shared" si="79"/>
        <v>020015</v>
      </c>
      <c r="D3805" s="1" t="str">
        <f>"512416318"</f>
        <v>512416318</v>
      </c>
      <c r="E3805" s="1">
        <v>74</v>
      </c>
      <c r="F3805" s="1">
        <v>0</v>
      </c>
      <c r="H3805" s="1">
        <v>44.4</v>
      </c>
    </row>
    <row r="3806" s="1" customFormat="1" spans="1:8">
      <c r="A3806" s="1" t="s">
        <v>32</v>
      </c>
      <c r="B3806" s="1" t="s">
        <v>30</v>
      </c>
      <c r="C3806" s="1" t="str">
        <f t="shared" si="79"/>
        <v>020015</v>
      </c>
      <c r="D3806" s="1" t="str">
        <f>"512416319"</f>
        <v>512416319</v>
      </c>
      <c r="E3806" s="1">
        <v>81.5</v>
      </c>
      <c r="F3806" s="1">
        <v>79.5</v>
      </c>
      <c r="H3806" s="1">
        <v>80.7</v>
      </c>
    </row>
    <row r="3807" s="1" customFormat="1" spans="1:8">
      <c r="A3807" s="1" t="s">
        <v>32</v>
      </c>
      <c r="B3807" s="1" t="s">
        <v>30</v>
      </c>
      <c r="C3807" s="1" t="str">
        <f t="shared" si="79"/>
        <v>020015</v>
      </c>
      <c r="D3807" s="1" t="str">
        <f>"512416320"</f>
        <v>512416320</v>
      </c>
      <c r="E3807" s="1">
        <v>72.5</v>
      </c>
      <c r="F3807" s="1">
        <v>66.5</v>
      </c>
      <c r="H3807" s="1">
        <v>70.1</v>
      </c>
    </row>
    <row r="3808" s="1" customFormat="1" spans="1:8">
      <c r="A3808" s="1" t="s">
        <v>32</v>
      </c>
      <c r="B3808" s="1" t="s">
        <v>30</v>
      </c>
      <c r="C3808" s="1" t="str">
        <f t="shared" si="79"/>
        <v>020015</v>
      </c>
      <c r="D3808" s="1" t="str">
        <f>"512416321"</f>
        <v>512416321</v>
      </c>
      <c r="E3808" s="1">
        <v>80</v>
      </c>
      <c r="F3808" s="1">
        <v>84.5</v>
      </c>
      <c r="H3808" s="1">
        <v>81.8</v>
      </c>
    </row>
    <row r="3809" s="1" customFormat="1" spans="1:8">
      <c r="A3809" s="1" t="s">
        <v>32</v>
      </c>
      <c r="B3809" s="1" t="s">
        <v>30</v>
      </c>
      <c r="C3809" s="1" t="str">
        <f t="shared" si="79"/>
        <v>020015</v>
      </c>
      <c r="D3809" s="1" t="str">
        <f>"512416322"</f>
        <v>512416322</v>
      </c>
      <c r="E3809" s="1">
        <v>0</v>
      </c>
      <c r="F3809" s="1">
        <v>0</v>
      </c>
      <c r="H3809" s="1">
        <v>0</v>
      </c>
    </row>
    <row r="3810" s="1" customFormat="1" spans="1:8">
      <c r="A3810" s="1" t="s">
        <v>32</v>
      </c>
      <c r="B3810" s="1" t="s">
        <v>30</v>
      </c>
      <c r="C3810" s="1" t="str">
        <f t="shared" si="79"/>
        <v>020015</v>
      </c>
      <c r="D3810" s="1" t="str">
        <f>"512416323"</f>
        <v>512416323</v>
      </c>
      <c r="E3810" s="1">
        <v>83</v>
      </c>
      <c r="F3810" s="1">
        <v>76.5</v>
      </c>
      <c r="H3810" s="1">
        <v>80.4</v>
      </c>
    </row>
    <row r="3811" s="1" customFormat="1" spans="1:8">
      <c r="A3811" s="1" t="s">
        <v>32</v>
      </c>
      <c r="B3811" s="1" t="s">
        <v>30</v>
      </c>
      <c r="C3811" s="1" t="str">
        <f t="shared" si="79"/>
        <v>020015</v>
      </c>
      <c r="D3811" s="1" t="str">
        <f>"512416324"</f>
        <v>512416324</v>
      </c>
      <c r="E3811" s="1">
        <v>75.5</v>
      </c>
      <c r="F3811" s="1">
        <v>69</v>
      </c>
      <c r="H3811" s="1">
        <v>72.9</v>
      </c>
    </row>
    <row r="3812" s="1" customFormat="1" spans="1:8">
      <c r="A3812" s="1" t="s">
        <v>32</v>
      </c>
      <c r="B3812" s="1" t="s">
        <v>30</v>
      </c>
      <c r="C3812" s="1" t="str">
        <f t="shared" si="79"/>
        <v>020015</v>
      </c>
      <c r="D3812" s="1" t="str">
        <f>"512416325"</f>
        <v>512416325</v>
      </c>
      <c r="E3812" s="1">
        <v>71.5</v>
      </c>
      <c r="F3812" s="1">
        <v>62</v>
      </c>
      <c r="H3812" s="1">
        <v>67.7</v>
      </c>
    </row>
    <row r="3813" s="1" customFormat="1" spans="1:8">
      <c r="A3813" s="1" t="s">
        <v>32</v>
      </c>
      <c r="B3813" s="1" t="s">
        <v>30</v>
      </c>
      <c r="C3813" s="1" t="str">
        <f t="shared" si="79"/>
        <v>020015</v>
      </c>
      <c r="D3813" s="1" t="str">
        <f>"512416326"</f>
        <v>512416326</v>
      </c>
      <c r="E3813" s="1">
        <v>69.5</v>
      </c>
      <c r="F3813" s="1">
        <v>75</v>
      </c>
      <c r="H3813" s="1">
        <v>71.7</v>
      </c>
    </row>
    <row r="3814" s="1" customFormat="1" spans="1:8">
      <c r="A3814" s="1" t="s">
        <v>32</v>
      </c>
      <c r="B3814" s="1" t="s">
        <v>30</v>
      </c>
      <c r="C3814" s="1" t="str">
        <f t="shared" si="79"/>
        <v>020015</v>
      </c>
      <c r="D3814" s="1" t="str">
        <f>"512416327"</f>
        <v>512416327</v>
      </c>
      <c r="E3814" s="1">
        <v>0</v>
      </c>
      <c r="F3814" s="1">
        <v>0</v>
      </c>
      <c r="H3814" s="1">
        <v>0</v>
      </c>
    </row>
    <row r="3815" s="1" customFormat="1" spans="1:8">
      <c r="A3815" s="1" t="s">
        <v>32</v>
      </c>
      <c r="B3815" s="1" t="s">
        <v>30</v>
      </c>
      <c r="C3815" s="1" t="str">
        <f t="shared" si="79"/>
        <v>020015</v>
      </c>
      <c r="D3815" s="1" t="str">
        <f>"512416328"</f>
        <v>512416328</v>
      </c>
      <c r="E3815" s="1">
        <v>69.5</v>
      </c>
      <c r="F3815" s="1">
        <v>80.5</v>
      </c>
      <c r="H3815" s="1">
        <v>73.9</v>
      </c>
    </row>
    <row r="3816" s="1" customFormat="1" spans="1:8">
      <c r="A3816" s="1" t="s">
        <v>32</v>
      </c>
      <c r="B3816" s="1" t="s">
        <v>30</v>
      </c>
      <c r="C3816" s="1" t="str">
        <f t="shared" si="79"/>
        <v>020015</v>
      </c>
      <c r="D3816" s="1" t="str">
        <f>"512416329"</f>
        <v>512416329</v>
      </c>
      <c r="E3816" s="1">
        <v>77.5</v>
      </c>
      <c r="F3816" s="1">
        <v>74.5</v>
      </c>
      <c r="H3816" s="1">
        <v>76.3</v>
      </c>
    </row>
    <row r="3817" s="1" customFormat="1" spans="1:8">
      <c r="A3817" s="1" t="s">
        <v>32</v>
      </c>
      <c r="B3817" s="1" t="s">
        <v>30</v>
      </c>
      <c r="C3817" s="1" t="str">
        <f t="shared" si="79"/>
        <v>020015</v>
      </c>
      <c r="D3817" s="1" t="str">
        <f>"512416330"</f>
        <v>512416330</v>
      </c>
      <c r="E3817" s="1">
        <v>81.5</v>
      </c>
      <c r="F3817" s="1">
        <v>87.5</v>
      </c>
      <c r="H3817" s="1">
        <v>83.9</v>
      </c>
    </row>
    <row r="3818" s="1" customFormat="1" spans="1:8">
      <c r="A3818" s="1" t="s">
        <v>32</v>
      </c>
      <c r="B3818" s="1" t="s">
        <v>30</v>
      </c>
      <c r="C3818" s="1" t="str">
        <f t="shared" si="79"/>
        <v>020015</v>
      </c>
      <c r="D3818" s="1" t="str">
        <f>"512416401"</f>
        <v>512416401</v>
      </c>
      <c r="E3818" s="1">
        <v>82</v>
      </c>
      <c r="F3818" s="1">
        <v>84</v>
      </c>
      <c r="H3818" s="1">
        <v>82.8</v>
      </c>
    </row>
    <row r="3819" s="1" customFormat="1" spans="1:8">
      <c r="A3819" s="1" t="s">
        <v>32</v>
      </c>
      <c r="B3819" s="1" t="s">
        <v>30</v>
      </c>
      <c r="C3819" s="1" t="str">
        <f t="shared" si="79"/>
        <v>020015</v>
      </c>
      <c r="D3819" s="1" t="str">
        <f>"512416402"</f>
        <v>512416402</v>
      </c>
      <c r="E3819" s="1">
        <v>59</v>
      </c>
      <c r="F3819" s="1">
        <v>72</v>
      </c>
      <c r="H3819" s="1">
        <v>64.2</v>
      </c>
    </row>
    <row r="3820" s="1" customFormat="1" spans="1:8">
      <c r="A3820" s="1" t="s">
        <v>32</v>
      </c>
      <c r="B3820" s="1" t="s">
        <v>30</v>
      </c>
      <c r="C3820" s="1" t="str">
        <f t="shared" si="79"/>
        <v>020015</v>
      </c>
      <c r="D3820" s="1" t="str">
        <f>"512416403"</f>
        <v>512416403</v>
      </c>
      <c r="E3820" s="1">
        <v>76.5</v>
      </c>
      <c r="F3820" s="1">
        <v>80.5</v>
      </c>
      <c r="H3820" s="1">
        <v>78.1</v>
      </c>
    </row>
    <row r="3821" s="1" customFormat="1" spans="1:8">
      <c r="A3821" s="1" t="s">
        <v>32</v>
      </c>
      <c r="B3821" s="1" t="s">
        <v>30</v>
      </c>
      <c r="C3821" s="1" t="str">
        <f t="shared" si="79"/>
        <v>020015</v>
      </c>
      <c r="D3821" s="1" t="str">
        <f>"512416404"</f>
        <v>512416404</v>
      </c>
      <c r="E3821" s="1">
        <v>87</v>
      </c>
      <c r="F3821" s="1">
        <v>91.5</v>
      </c>
      <c r="H3821" s="1">
        <v>88.8</v>
      </c>
    </row>
    <row r="3822" s="1" customFormat="1" spans="1:8">
      <c r="A3822" s="1" t="s">
        <v>32</v>
      </c>
      <c r="B3822" s="1" t="s">
        <v>30</v>
      </c>
      <c r="C3822" s="1" t="str">
        <f t="shared" si="79"/>
        <v>020015</v>
      </c>
      <c r="D3822" s="1" t="str">
        <f>"512416405"</f>
        <v>512416405</v>
      </c>
      <c r="E3822" s="1">
        <v>76</v>
      </c>
      <c r="F3822" s="1">
        <v>76.5</v>
      </c>
      <c r="H3822" s="1">
        <v>76.2</v>
      </c>
    </row>
    <row r="3823" s="1" customFormat="1" spans="1:8">
      <c r="A3823" s="1" t="s">
        <v>32</v>
      </c>
      <c r="B3823" s="1" t="s">
        <v>30</v>
      </c>
      <c r="C3823" s="1" t="str">
        <f t="shared" si="79"/>
        <v>020015</v>
      </c>
      <c r="D3823" s="1" t="str">
        <f>"512416406"</f>
        <v>512416406</v>
      </c>
      <c r="E3823" s="1">
        <v>79</v>
      </c>
      <c r="F3823" s="1">
        <v>77</v>
      </c>
      <c r="H3823" s="1">
        <v>78.2</v>
      </c>
    </row>
    <row r="3824" s="1" customFormat="1" spans="1:8">
      <c r="A3824" s="1" t="s">
        <v>32</v>
      </c>
      <c r="B3824" s="1" t="s">
        <v>30</v>
      </c>
      <c r="C3824" s="1" t="str">
        <f t="shared" si="79"/>
        <v>020015</v>
      </c>
      <c r="D3824" s="1" t="str">
        <f>"512416407"</f>
        <v>512416407</v>
      </c>
      <c r="E3824" s="1">
        <v>0</v>
      </c>
      <c r="F3824" s="1">
        <v>0</v>
      </c>
      <c r="H3824" s="1">
        <v>0</v>
      </c>
    </row>
    <row r="3825" s="1" customFormat="1" spans="1:8">
      <c r="A3825" s="1" t="s">
        <v>32</v>
      </c>
      <c r="B3825" s="1" t="s">
        <v>30</v>
      </c>
      <c r="C3825" s="1" t="str">
        <f t="shared" si="79"/>
        <v>020015</v>
      </c>
      <c r="D3825" s="1" t="str">
        <f>"512416408"</f>
        <v>512416408</v>
      </c>
      <c r="E3825" s="1">
        <v>0</v>
      </c>
      <c r="F3825" s="1">
        <v>0</v>
      </c>
      <c r="H3825" s="1">
        <v>0</v>
      </c>
    </row>
    <row r="3826" s="1" customFormat="1" spans="1:8">
      <c r="A3826" s="1" t="s">
        <v>32</v>
      </c>
      <c r="B3826" s="1" t="s">
        <v>30</v>
      </c>
      <c r="C3826" s="1" t="str">
        <f t="shared" si="79"/>
        <v>020015</v>
      </c>
      <c r="D3826" s="1" t="str">
        <f>"512416409"</f>
        <v>512416409</v>
      </c>
      <c r="E3826" s="1">
        <v>67</v>
      </c>
      <c r="F3826" s="1">
        <v>0</v>
      </c>
      <c r="H3826" s="1">
        <v>40.2</v>
      </c>
    </row>
    <row r="3827" s="1" customFormat="1" spans="1:8">
      <c r="A3827" s="1" t="s">
        <v>32</v>
      </c>
      <c r="B3827" s="1" t="s">
        <v>30</v>
      </c>
      <c r="C3827" s="1" t="str">
        <f t="shared" si="79"/>
        <v>020015</v>
      </c>
      <c r="D3827" s="1" t="str">
        <f>"512416410"</f>
        <v>512416410</v>
      </c>
      <c r="E3827" s="1">
        <v>80</v>
      </c>
      <c r="F3827" s="1">
        <v>95</v>
      </c>
      <c r="H3827" s="1">
        <v>86</v>
      </c>
    </row>
    <row r="3828" s="1" customFormat="1" spans="1:8">
      <c r="A3828" s="1" t="s">
        <v>32</v>
      </c>
      <c r="B3828" s="1" t="s">
        <v>30</v>
      </c>
      <c r="C3828" s="1" t="str">
        <f t="shared" si="79"/>
        <v>020015</v>
      </c>
      <c r="D3828" s="1" t="str">
        <f>"512416411"</f>
        <v>512416411</v>
      </c>
      <c r="E3828" s="1">
        <v>63.5</v>
      </c>
      <c r="F3828" s="1">
        <v>62.5</v>
      </c>
      <c r="H3828" s="1">
        <v>63.1</v>
      </c>
    </row>
    <row r="3829" s="1" customFormat="1" spans="1:8">
      <c r="A3829" s="1" t="s">
        <v>32</v>
      </c>
      <c r="B3829" s="1" t="s">
        <v>30</v>
      </c>
      <c r="C3829" s="1" t="str">
        <f t="shared" si="79"/>
        <v>020015</v>
      </c>
      <c r="D3829" s="1" t="str">
        <f>"512416412"</f>
        <v>512416412</v>
      </c>
      <c r="E3829" s="1">
        <v>0</v>
      </c>
      <c r="F3829" s="1">
        <v>0</v>
      </c>
      <c r="H3829" s="1">
        <v>0</v>
      </c>
    </row>
    <row r="3830" s="1" customFormat="1" spans="1:8">
      <c r="A3830" s="1" t="s">
        <v>32</v>
      </c>
      <c r="B3830" s="1" t="s">
        <v>30</v>
      </c>
      <c r="C3830" s="1" t="str">
        <f t="shared" si="79"/>
        <v>020015</v>
      </c>
      <c r="D3830" s="1" t="str">
        <f>"512416413"</f>
        <v>512416413</v>
      </c>
      <c r="E3830" s="1">
        <v>74.5</v>
      </c>
      <c r="F3830" s="1">
        <v>85.5</v>
      </c>
      <c r="H3830" s="1">
        <v>78.9</v>
      </c>
    </row>
    <row r="3831" s="1" customFormat="1" spans="1:8">
      <c r="A3831" s="1" t="s">
        <v>32</v>
      </c>
      <c r="B3831" s="1" t="s">
        <v>30</v>
      </c>
      <c r="C3831" s="1" t="str">
        <f t="shared" si="79"/>
        <v>020015</v>
      </c>
      <c r="D3831" s="1" t="str">
        <f>"512416414"</f>
        <v>512416414</v>
      </c>
      <c r="E3831" s="1">
        <v>0</v>
      </c>
      <c r="F3831" s="1">
        <v>0</v>
      </c>
      <c r="H3831" s="1">
        <v>0</v>
      </c>
    </row>
    <row r="3832" s="1" customFormat="1" spans="1:8">
      <c r="A3832" s="1" t="s">
        <v>32</v>
      </c>
      <c r="B3832" s="1" t="s">
        <v>30</v>
      </c>
      <c r="C3832" s="1" t="str">
        <f t="shared" si="79"/>
        <v>020015</v>
      </c>
      <c r="D3832" s="1" t="str">
        <f>"512416415"</f>
        <v>512416415</v>
      </c>
      <c r="E3832" s="1">
        <v>0</v>
      </c>
      <c r="F3832" s="1">
        <v>0</v>
      </c>
      <c r="H3832" s="1">
        <v>0</v>
      </c>
    </row>
    <row r="3833" s="1" customFormat="1" spans="1:8">
      <c r="A3833" s="1" t="s">
        <v>32</v>
      </c>
      <c r="B3833" s="1" t="s">
        <v>30</v>
      </c>
      <c r="C3833" s="1" t="str">
        <f t="shared" si="79"/>
        <v>020015</v>
      </c>
      <c r="D3833" s="1" t="str">
        <f>"512416416"</f>
        <v>512416416</v>
      </c>
      <c r="E3833" s="1">
        <v>0</v>
      </c>
      <c r="F3833" s="1">
        <v>0</v>
      </c>
      <c r="H3833" s="1">
        <v>0</v>
      </c>
    </row>
    <row r="3834" s="1" customFormat="1" spans="1:8">
      <c r="A3834" s="1" t="s">
        <v>32</v>
      </c>
      <c r="B3834" s="1" t="s">
        <v>30</v>
      </c>
      <c r="C3834" s="1" t="str">
        <f t="shared" si="79"/>
        <v>020015</v>
      </c>
      <c r="D3834" s="1" t="str">
        <f>"512416417"</f>
        <v>512416417</v>
      </c>
      <c r="E3834" s="1">
        <v>0</v>
      </c>
      <c r="F3834" s="1">
        <v>0</v>
      </c>
      <c r="H3834" s="1">
        <v>0</v>
      </c>
    </row>
    <row r="3835" s="1" customFormat="1" spans="1:8">
      <c r="A3835" s="1" t="s">
        <v>32</v>
      </c>
      <c r="B3835" s="1" t="s">
        <v>30</v>
      </c>
      <c r="C3835" s="1" t="str">
        <f t="shared" si="79"/>
        <v>020015</v>
      </c>
      <c r="D3835" s="1" t="str">
        <f>"512416418"</f>
        <v>512416418</v>
      </c>
      <c r="E3835" s="1">
        <v>76.5</v>
      </c>
      <c r="F3835" s="1">
        <v>70</v>
      </c>
      <c r="H3835" s="1">
        <v>73.9</v>
      </c>
    </row>
    <row r="3836" s="1" customFormat="1" spans="1:8">
      <c r="A3836" s="1" t="s">
        <v>32</v>
      </c>
      <c r="B3836" s="1" t="s">
        <v>30</v>
      </c>
      <c r="C3836" s="1" t="str">
        <f t="shared" si="79"/>
        <v>020015</v>
      </c>
      <c r="D3836" s="1" t="str">
        <f>"512416419"</f>
        <v>512416419</v>
      </c>
      <c r="E3836" s="1">
        <v>0</v>
      </c>
      <c r="F3836" s="1">
        <v>0</v>
      </c>
      <c r="H3836" s="1">
        <v>0</v>
      </c>
    </row>
    <row r="3837" s="1" customFormat="1" spans="1:8">
      <c r="A3837" s="1" t="s">
        <v>32</v>
      </c>
      <c r="B3837" s="1" t="s">
        <v>30</v>
      </c>
      <c r="C3837" s="1" t="str">
        <f t="shared" si="79"/>
        <v>020015</v>
      </c>
      <c r="D3837" s="1" t="str">
        <f>"512416420"</f>
        <v>512416420</v>
      </c>
      <c r="E3837" s="1">
        <v>0</v>
      </c>
      <c r="F3837" s="1">
        <v>0</v>
      </c>
      <c r="H3837" s="1">
        <v>0</v>
      </c>
    </row>
    <row r="3838" s="1" customFormat="1" spans="1:8">
      <c r="A3838" s="1" t="s">
        <v>32</v>
      </c>
      <c r="B3838" s="1" t="s">
        <v>30</v>
      </c>
      <c r="C3838" s="1" t="str">
        <f t="shared" si="79"/>
        <v>020015</v>
      </c>
      <c r="D3838" s="1" t="str">
        <f>"512416421"</f>
        <v>512416421</v>
      </c>
      <c r="E3838" s="1">
        <v>77.5</v>
      </c>
      <c r="F3838" s="1">
        <v>82</v>
      </c>
      <c r="H3838" s="1">
        <v>79.3</v>
      </c>
    </row>
    <row r="3839" s="1" customFormat="1" spans="1:8">
      <c r="A3839" s="1" t="s">
        <v>32</v>
      </c>
      <c r="B3839" s="1" t="s">
        <v>30</v>
      </c>
      <c r="C3839" s="1" t="str">
        <f t="shared" si="79"/>
        <v>020015</v>
      </c>
      <c r="D3839" s="1" t="str">
        <f>"512416422"</f>
        <v>512416422</v>
      </c>
      <c r="E3839" s="1">
        <v>60</v>
      </c>
      <c r="F3839" s="1">
        <v>70</v>
      </c>
      <c r="H3839" s="1">
        <v>64</v>
      </c>
    </row>
    <row r="3840" s="1" customFormat="1" spans="1:8">
      <c r="A3840" s="1" t="s">
        <v>32</v>
      </c>
      <c r="B3840" s="1" t="s">
        <v>30</v>
      </c>
      <c r="C3840" s="1" t="str">
        <f t="shared" si="79"/>
        <v>020015</v>
      </c>
      <c r="D3840" s="1" t="str">
        <f>"512416423"</f>
        <v>512416423</v>
      </c>
      <c r="E3840" s="1">
        <v>75.5</v>
      </c>
      <c r="F3840" s="1">
        <v>81.5</v>
      </c>
      <c r="H3840" s="1">
        <v>77.9</v>
      </c>
    </row>
    <row r="3841" s="1" customFormat="1" spans="1:8">
      <c r="A3841" s="1" t="s">
        <v>32</v>
      </c>
      <c r="B3841" s="1" t="s">
        <v>30</v>
      </c>
      <c r="C3841" s="1" t="str">
        <f t="shared" si="79"/>
        <v>020015</v>
      </c>
      <c r="D3841" s="1" t="str">
        <f>"512416424"</f>
        <v>512416424</v>
      </c>
      <c r="E3841" s="1">
        <v>0</v>
      </c>
      <c r="F3841" s="1">
        <v>0</v>
      </c>
      <c r="H3841" s="1">
        <v>0</v>
      </c>
    </row>
    <row r="3842" s="1" customFormat="1" spans="1:8">
      <c r="A3842" s="1" t="s">
        <v>32</v>
      </c>
      <c r="B3842" s="1" t="s">
        <v>30</v>
      </c>
      <c r="C3842" s="1" t="str">
        <f t="shared" si="79"/>
        <v>020015</v>
      </c>
      <c r="D3842" s="1" t="str">
        <f>"512416425"</f>
        <v>512416425</v>
      </c>
      <c r="E3842" s="1">
        <v>62.5</v>
      </c>
      <c r="F3842" s="1">
        <v>61.5</v>
      </c>
      <c r="H3842" s="1">
        <v>62.1</v>
      </c>
    </row>
    <row r="3843" s="1" customFormat="1" spans="1:8">
      <c r="A3843" s="1" t="s">
        <v>32</v>
      </c>
      <c r="B3843" s="1" t="s">
        <v>30</v>
      </c>
      <c r="C3843" s="1" t="str">
        <f t="shared" si="79"/>
        <v>020015</v>
      </c>
      <c r="D3843" s="1" t="str">
        <f>"512416426"</f>
        <v>512416426</v>
      </c>
      <c r="E3843" s="1">
        <v>78.5</v>
      </c>
      <c r="F3843" s="1">
        <v>87</v>
      </c>
      <c r="H3843" s="1">
        <v>81.9</v>
      </c>
    </row>
    <row r="3844" s="1" customFormat="1" spans="1:8">
      <c r="A3844" s="1" t="s">
        <v>32</v>
      </c>
      <c r="B3844" s="1" t="s">
        <v>30</v>
      </c>
      <c r="C3844" s="1" t="str">
        <f t="shared" si="79"/>
        <v>020015</v>
      </c>
      <c r="D3844" s="1" t="str">
        <f>"512416427"</f>
        <v>512416427</v>
      </c>
      <c r="E3844" s="1">
        <v>0</v>
      </c>
      <c r="F3844" s="1">
        <v>0</v>
      </c>
      <c r="H3844" s="1">
        <v>0</v>
      </c>
    </row>
    <row r="3845" s="1" customFormat="1" spans="1:8">
      <c r="A3845" s="1" t="s">
        <v>32</v>
      </c>
      <c r="B3845" s="1" t="s">
        <v>30</v>
      </c>
      <c r="C3845" s="1" t="str">
        <f t="shared" si="79"/>
        <v>020015</v>
      </c>
      <c r="D3845" s="1" t="str">
        <f>"512416428"</f>
        <v>512416428</v>
      </c>
      <c r="E3845" s="1">
        <v>59</v>
      </c>
      <c r="F3845" s="1">
        <v>80</v>
      </c>
      <c r="H3845" s="1">
        <v>67.4</v>
      </c>
    </row>
    <row r="3846" s="1" customFormat="1" spans="1:8">
      <c r="A3846" s="1" t="s">
        <v>32</v>
      </c>
      <c r="B3846" s="1" t="s">
        <v>30</v>
      </c>
      <c r="C3846" s="1" t="str">
        <f t="shared" si="79"/>
        <v>020015</v>
      </c>
      <c r="D3846" s="1" t="str">
        <f>"512416429"</f>
        <v>512416429</v>
      </c>
      <c r="E3846" s="1">
        <v>74.5</v>
      </c>
      <c r="F3846" s="1">
        <v>84.5</v>
      </c>
      <c r="H3846" s="1">
        <v>78.5</v>
      </c>
    </row>
    <row r="3847" s="1" customFormat="1" spans="1:8">
      <c r="A3847" s="1" t="s">
        <v>32</v>
      </c>
      <c r="B3847" s="1" t="s">
        <v>30</v>
      </c>
      <c r="C3847" s="1" t="str">
        <f t="shared" si="79"/>
        <v>020015</v>
      </c>
      <c r="D3847" s="1" t="str">
        <f>"512416430"</f>
        <v>512416430</v>
      </c>
      <c r="E3847" s="1">
        <v>84.5</v>
      </c>
      <c r="F3847" s="1">
        <v>74.5</v>
      </c>
      <c r="H3847" s="1">
        <v>80.5</v>
      </c>
    </row>
    <row r="3848" s="1" customFormat="1" spans="1:8">
      <c r="A3848" s="1" t="s">
        <v>32</v>
      </c>
      <c r="B3848" s="1" t="s">
        <v>30</v>
      </c>
      <c r="C3848" s="1" t="str">
        <f t="shared" si="79"/>
        <v>020015</v>
      </c>
      <c r="D3848" s="1" t="str">
        <f>"512416501"</f>
        <v>512416501</v>
      </c>
      <c r="E3848" s="1">
        <v>80.5</v>
      </c>
      <c r="F3848" s="1">
        <v>86</v>
      </c>
      <c r="H3848" s="1">
        <v>82.7</v>
      </c>
    </row>
    <row r="3849" s="1" customFormat="1" spans="1:8">
      <c r="A3849" s="1" t="s">
        <v>32</v>
      </c>
      <c r="B3849" s="1" t="s">
        <v>30</v>
      </c>
      <c r="C3849" s="1" t="str">
        <f t="shared" si="79"/>
        <v>020015</v>
      </c>
      <c r="D3849" s="1" t="str">
        <f>"512416502"</f>
        <v>512416502</v>
      </c>
      <c r="E3849" s="1">
        <v>81.5</v>
      </c>
      <c r="F3849" s="1">
        <v>77</v>
      </c>
      <c r="H3849" s="1">
        <v>79.7</v>
      </c>
    </row>
    <row r="3850" s="1" customFormat="1" spans="1:8">
      <c r="A3850" s="1" t="s">
        <v>32</v>
      </c>
      <c r="B3850" s="1" t="s">
        <v>30</v>
      </c>
      <c r="C3850" s="1" t="str">
        <f t="shared" si="79"/>
        <v>020015</v>
      </c>
      <c r="D3850" s="1" t="str">
        <f>"512416503"</f>
        <v>512416503</v>
      </c>
      <c r="E3850" s="1">
        <v>82.5</v>
      </c>
      <c r="F3850" s="1">
        <v>86.5</v>
      </c>
      <c r="H3850" s="1">
        <v>84.1</v>
      </c>
    </row>
    <row r="3851" s="1" customFormat="1" spans="1:8">
      <c r="A3851" s="1" t="s">
        <v>32</v>
      </c>
      <c r="B3851" s="1" t="s">
        <v>30</v>
      </c>
      <c r="C3851" s="1" t="str">
        <f t="shared" si="79"/>
        <v>020015</v>
      </c>
      <c r="D3851" s="1" t="str">
        <f>"512416504"</f>
        <v>512416504</v>
      </c>
      <c r="E3851" s="1">
        <v>75</v>
      </c>
      <c r="F3851" s="1">
        <v>73.5</v>
      </c>
      <c r="H3851" s="1">
        <v>74.4</v>
      </c>
    </row>
    <row r="3852" s="1" customFormat="1" spans="1:8">
      <c r="A3852" s="1" t="s">
        <v>32</v>
      </c>
      <c r="B3852" s="1" t="s">
        <v>30</v>
      </c>
      <c r="C3852" s="1" t="str">
        <f t="shared" si="79"/>
        <v>020015</v>
      </c>
      <c r="D3852" s="1" t="str">
        <f>"512416505"</f>
        <v>512416505</v>
      </c>
      <c r="E3852" s="1">
        <v>75</v>
      </c>
      <c r="F3852" s="1">
        <v>84</v>
      </c>
      <c r="H3852" s="1">
        <v>78.6</v>
      </c>
    </row>
    <row r="3853" s="1" customFormat="1" spans="1:8">
      <c r="A3853" s="1" t="s">
        <v>32</v>
      </c>
      <c r="B3853" s="1" t="s">
        <v>30</v>
      </c>
      <c r="C3853" s="1" t="str">
        <f t="shared" si="79"/>
        <v>020015</v>
      </c>
      <c r="D3853" s="1" t="str">
        <f>"512416506"</f>
        <v>512416506</v>
      </c>
      <c r="E3853" s="1">
        <v>79</v>
      </c>
      <c r="F3853" s="1">
        <v>74.5</v>
      </c>
      <c r="H3853" s="1">
        <v>77.2</v>
      </c>
    </row>
    <row r="3854" s="1" customFormat="1" spans="1:8">
      <c r="A3854" s="1" t="s">
        <v>32</v>
      </c>
      <c r="B3854" s="1" t="s">
        <v>30</v>
      </c>
      <c r="C3854" s="1" t="str">
        <f t="shared" si="79"/>
        <v>020015</v>
      </c>
      <c r="D3854" s="1" t="str">
        <f>"512416507"</f>
        <v>512416507</v>
      </c>
      <c r="E3854" s="1">
        <v>76</v>
      </c>
      <c r="F3854" s="1">
        <v>60</v>
      </c>
      <c r="H3854" s="1">
        <v>69.6</v>
      </c>
    </row>
    <row r="3855" s="1" customFormat="1" spans="1:8">
      <c r="A3855" s="1" t="s">
        <v>32</v>
      </c>
      <c r="B3855" s="1" t="s">
        <v>30</v>
      </c>
      <c r="C3855" s="1" t="str">
        <f t="shared" si="79"/>
        <v>020015</v>
      </c>
      <c r="D3855" s="1" t="str">
        <f>"512416508"</f>
        <v>512416508</v>
      </c>
      <c r="E3855" s="1">
        <v>0</v>
      </c>
      <c r="F3855" s="1">
        <v>0</v>
      </c>
      <c r="H3855" s="1">
        <v>0</v>
      </c>
    </row>
    <row r="3856" s="1" customFormat="1" spans="1:8">
      <c r="A3856" s="1" t="s">
        <v>32</v>
      </c>
      <c r="B3856" s="1" t="s">
        <v>30</v>
      </c>
      <c r="C3856" s="1" t="str">
        <f t="shared" si="79"/>
        <v>020015</v>
      </c>
      <c r="D3856" s="1" t="str">
        <f>"512416509"</f>
        <v>512416509</v>
      </c>
      <c r="E3856" s="1">
        <v>76.5</v>
      </c>
      <c r="F3856" s="1">
        <v>76.5</v>
      </c>
      <c r="H3856" s="1">
        <v>76.5</v>
      </c>
    </row>
    <row r="3857" s="1" customFormat="1" spans="1:8">
      <c r="A3857" s="1" t="s">
        <v>32</v>
      </c>
      <c r="B3857" s="1" t="s">
        <v>30</v>
      </c>
      <c r="C3857" s="1" t="str">
        <f t="shared" si="79"/>
        <v>020015</v>
      </c>
      <c r="D3857" s="1" t="str">
        <f>"512416510"</f>
        <v>512416510</v>
      </c>
      <c r="E3857" s="1">
        <v>0</v>
      </c>
      <c r="F3857" s="1">
        <v>0</v>
      </c>
      <c r="H3857" s="1">
        <v>0</v>
      </c>
    </row>
    <row r="3858" s="1" customFormat="1" spans="1:8">
      <c r="A3858" s="1" t="s">
        <v>32</v>
      </c>
      <c r="B3858" s="1" t="s">
        <v>30</v>
      </c>
      <c r="C3858" s="1" t="str">
        <f t="shared" ref="C3858:C3865" si="80">"020015"</f>
        <v>020015</v>
      </c>
      <c r="D3858" s="1" t="str">
        <f>"512416511"</f>
        <v>512416511</v>
      </c>
      <c r="E3858" s="1">
        <v>82</v>
      </c>
      <c r="F3858" s="1">
        <v>79</v>
      </c>
      <c r="H3858" s="1">
        <v>80.8</v>
      </c>
    </row>
    <row r="3859" s="1" customFormat="1" spans="1:8">
      <c r="A3859" s="1" t="s">
        <v>32</v>
      </c>
      <c r="B3859" s="1" t="s">
        <v>30</v>
      </c>
      <c r="C3859" s="1" t="str">
        <f t="shared" si="80"/>
        <v>020015</v>
      </c>
      <c r="D3859" s="1" t="str">
        <f>"512416512"</f>
        <v>512416512</v>
      </c>
      <c r="E3859" s="1">
        <v>0</v>
      </c>
      <c r="F3859" s="1">
        <v>0</v>
      </c>
      <c r="H3859" s="1">
        <v>0</v>
      </c>
    </row>
    <row r="3860" s="1" customFormat="1" spans="1:8">
      <c r="A3860" s="1" t="s">
        <v>32</v>
      </c>
      <c r="B3860" s="1" t="s">
        <v>30</v>
      </c>
      <c r="C3860" s="1" t="str">
        <f t="shared" si="80"/>
        <v>020015</v>
      </c>
      <c r="D3860" s="1" t="str">
        <f>"512416513"</f>
        <v>512416513</v>
      </c>
      <c r="E3860" s="1">
        <v>80</v>
      </c>
      <c r="F3860" s="1">
        <v>87.5</v>
      </c>
      <c r="H3860" s="1">
        <v>83</v>
      </c>
    </row>
    <row r="3861" s="1" customFormat="1" spans="1:8">
      <c r="A3861" s="1" t="s">
        <v>32</v>
      </c>
      <c r="B3861" s="1" t="s">
        <v>30</v>
      </c>
      <c r="C3861" s="1" t="str">
        <f t="shared" si="80"/>
        <v>020015</v>
      </c>
      <c r="D3861" s="1" t="str">
        <f>"512416514"</f>
        <v>512416514</v>
      </c>
      <c r="E3861" s="1">
        <v>74.5</v>
      </c>
      <c r="F3861" s="1">
        <v>79</v>
      </c>
      <c r="H3861" s="1">
        <v>76.3</v>
      </c>
    </row>
    <row r="3862" s="1" customFormat="1" spans="1:8">
      <c r="A3862" s="1" t="s">
        <v>32</v>
      </c>
      <c r="B3862" s="1" t="s">
        <v>30</v>
      </c>
      <c r="C3862" s="1" t="str">
        <f t="shared" si="80"/>
        <v>020015</v>
      </c>
      <c r="D3862" s="1" t="str">
        <f>"512416515"</f>
        <v>512416515</v>
      </c>
      <c r="E3862" s="1">
        <v>0</v>
      </c>
      <c r="F3862" s="1">
        <v>0</v>
      </c>
      <c r="H3862" s="1">
        <v>0</v>
      </c>
    </row>
    <row r="3863" s="1" customFormat="1" spans="1:8">
      <c r="A3863" s="1" t="s">
        <v>32</v>
      </c>
      <c r="B3863" s="1" t="s">
        <v>30</v>
      </c>
      <c r="C3863" s="1" t="str">
        <f t="shared" si="80"/>
        <v>020015</v>
      </c>
      <c r="D3863" s="1" t="str">
        <f>"512416516"</f>
        <v>512416516</v>
      </c>
      <c r="E3863" s="1">
        <v>0</v>
      </c>
      <c r="F3863" s="1">
        <v>0</v>
      </c>
      <c r="H3863" s="1">
        <v>0</v>
      </c>
    </row>
    <row r="3864" s="1" customFormat="1" spans="1:8">
      <c r="A3864" s="1" t="s">
        <v>32</v>
      </c>
      <c r="B3864" s="1" t="s">
        <v>30</v>
      </c>
      <c r="C3864" s="1" t="str">
        <f t="shared" si="80"/>
        <v>020015</v>
      </c>
      <c r="D3864" s="1" t="str">
        <f>"512416517"</f>
        <v>512416517</v>
      </c>
      <c r="E3864" s="1">
        <v>72.5</v>
      </c>
      <c r="F3864" s="1">
        <v>72.5</v>
      </c>
      <c r="H3864" s="1">
        <v>72.5</v>
      </c>
    </row>
    <row r="3865" s="1" customFormat="1" spans="1:8">
      <c r="A3865" s="1" t="s">
        <v>32</v>
      </c>
      <c r="B3865" s="1" t="s">
        <v>30</v>
      </c>
      <c r="C3865" s="1" t="str">
        <f t="shared" si="80"/>
        <v>020015</v>
      </c>
      <c r="D3865" s="1" t="str">
        <f>"512416518"</f>
        <v>512416518</v>
      </c>
      <c r="E3865" s="1">
        <v>74</v>
      </c>
      <c r="F3865" s="1">
        <v>79.5</v>
      </c>
      <c r="H3865" s="1">
        <v>76.2</v>
      </c>
    </row>
    <row r="3866" s="1" customFormat="1" spans="1:8">
      <c r="A3866" s="1" t="s">
        <v>33</v>
      </c>
      <c r="B3866" s="1" t="s">
        <v>30</v>
      </c>
      <c r="C3866" s="1" t="str">
        <f t="shared" ref="C3866:C3928" si="81">"020026"</f>
        <v>020026</v>
      </c>
      <c r="D3866" s="1" t="str">
        <f>"512416519"</f>
        <v>512416519</v>
      </c>
      <c r="E3866" s="1">
        <v>74</v>
      </c>
      <c r="F3866" s="1">
        <v>78</v>
      </c>
      <c r="H3866" s="1">
        <v>75.6</v>
      </c>
    </row>
    <row r="3867" s="1" customFormat="1" spans="1:8">
      <c r="A3867" s="1" t="s">
        <v>33</v>
      </c>
      <c r="B3867" s="1" t="s">
        <v>30</v>
      </c>
      <c r="C3867" s="1" t="str">
        <f t="shared" si="81"/>
        <v>020026</v>
      </c>
      <c r="D3867" s="1" t="str">
        <f>"512416520"</f>
        <v>512416520</v>
      </c>
      <c r="E3867" s="1">
        <v>73</v>
      </c>
      <c r="F3867" s="1">
        <v>62</v>
      </c>
      <c r="H3867" s="1">
        <v>68.6</v>
      </c>
    </row>
    <row r="3868" s="1" customFormat="1" spans="1:8">
      <c r="A3868" s="1" t="s">
        <v>33</v>
      </c>
      <c r="B3868" s="1" t="s">
        <v>30</v>
      </c>
      <c r="C3868" s="1" t="str">
        <f t="shared" si="81"/>
        <v>020026</v>
      </c>
      <c r="D3868" s="1" t="str">
        <f>"512416521"</f>
        <v>512416521</v>
      </c>
      <c r="E3868" s="1">
        <v>80.5</v>
      </c>
      <c r="F3868" s="1">
        <v>64.5</v>
      </c>
      <c r="H3868" s="1">
        <v>74.1</v>
      </c>
    </row>
    <row r="3869" s="1" customFormat="1" spans="1:8">
      <c r="A3869" s="1" t="s">
        <v>33</v>
      </c>
      <c r="B3869" s="1" t="s">
        <v>30</v>
      </c>
      <c r="C3869" s="1" t="str">
        <f t="shared" si="81"/>
        <v>020026</v>
      </c>
      <c r="D3869" s="1" t="str">
        <f>"512416522"</f>
        <v>512416522</v>
      </c>
      <c r="E3869" s="1">
        <v>82</v>
      </c>
      <c r="F3869" s="1">
        <v>84.5</v>
      </c>
      <c r="H3869" s="1">
        <v>83</v>
      </c>
    </row>
    <row r="3870" s="1" customFormat="1" spans="1:8">
      <c r="A3870" s="1" t="s">
        <v>33</v>
      </c>
      <c r="B3870" s="1" t="s">
        <v>30</v>
      </c>
      <c r="C3870" s="1" t="str">
        <f t="shared" si="81"/>
        <v>020026</v>
      </c>
      <c r="D3870" s="1" t="str">
        <f>"512416523"</f>
        <v>512416523</v>
      </c>
      <c r="E3870" s="1">
        <v>83</v>
      </c>
      <c r="F3870" s="1">
        <v>84.5</v>
      </c>
      <c r="H3870" s="1">
        <v>83.6</v>
      </c>
    </row>
    <row r="3871" s="1" customFormat="1" spans="1:8">
      <c r="A3871" s="1" t="s">
        <v>33</v>
      </c>
      <c r="B3871" s="1" t="s">
        <v>30</v>
      </c>
      <c r="C3871" s="1" t="str">
        <f t="shared" si="81"/>
        <v>020026</v>
      </c>
      <c r="D3871" s="1" t="str">
        <f>"512416524"</f>
        <v>512416524</v>
      </c>
      <c r="E3871" s="1">
        <v>0</v>
      </c>
      <c r="F3871" s="1">
        <v>0</v>
      </c>
      <c r="H3871" s="1">
        <v>0</v>
      </c>
    </row>
    <row r="3872" s="1" customFormat="1" spans="1:8">
      <c r="A3872" s="1" t="s">
        <v>33</v>
      </c>
      <c r="B3872" s="1" t="s">
        <v>30</v>
      </c>
      <c r="C3872" s="1" t="str">
        <f t="shared" si="81"/>
        <v>020026</v>
      </c>
      <c r="D3872" s="1" t="str">
        <f>"512416525"</f>
        <v>512416525</v>
      </c>
      <c r="E3872" s="1">
        <v>61.5</v>
      </c>
      <c r="F3872" s="1">
        <v>59</v>
      </c>
      <c r="H3872" s="1">
        <v>60.5</v>
      </c>
    </row>
    <row r="3873" s="1" customFormat="1" spans="1:8">
      <c r="A3873" s="1" t="s">
        <v>33</v>
      </c>
      <c r="B3873" s="1" t="s">
        <v>30</v>
      </c>
      <c r="C3873" s="1" t="str">
        <f t="shared" si="81"/>
        <v>020026</v>
      </c>
      <c r="D3873" s="1" t="str">
        <f>"512416526"</f>
        <v>512416526</v>
      </c>
      <c r="E3873" s="1">
        <v>77</v>
      </c>
      <c r="F3873" s="1">
        <v>86</v>
      </c>
      <c r="H3873" s="1">
        <v>80.6</v>
      </c>
    </row>
    <row r="3874" s="1" customFormat="1" spans="1:8">
      <c r="A3874" s="1" t="s">
        <v>33</v>
      </c>
      <c r="B3874" s="1" t="s">
        <v>30</v>
      </c>
      <c r="C3874" s="1" t="str">
        <f t="shared" si="81"/>
        <v>020026</v>
      </c>
      <c r="D3874" s="1" t="str">
        <f>"512416527"</f>
        <v>512416527</v>
      </c>
      <c r="E3874" s="1">
        <v>0</v>
      </c>
      <c r="F3874" s="1">
        <v>0</v>
      </c>
      <c r="H3874" s="1">
        <v>0</v>
      </c>
    </row>
    <row r="3875" s="1" customFormat="1" spans="1:8">
      <c r="A3875" s="1" t="s">
        <v>33</v>
      </c>
      <c r="B3875" s="1" t="s">
        <v>30</v>
      </c>
      <c r="C3875" s="1" t="str">
        <f t="shared" si="81"/>
        <v>020026</v>
      </c>
      <c r="D3875" s="1" t="str">
        <f>"512416528"</f>
        <v>512416528</v>
      </c>
      <c r="E3875" s="1">
        <v>74.5</v>
      </c>
      <c r="F3875" s="1">
        <v>73.5</v>
      </c>
      <c r="H3875" s="1">
        <v>74.1</v>
      </c>
    </row>
    <row r="3876" s="1" customFormat="1" spans="1:8">
      <c r="A3876" s="1" t="s">
        <v>33</v>
      </c>
      <c r="B3876" s="1" t="s">
        <v>30</v>
      </c>
      <c r="C3876" s="1" t="str">
        <f t="shared" si="81"/>
        <v>020026</v>
      </c>
      <c r="D3876" s="1" t="str">
        <f>"512416529"</f>
        <v>512416529</v>
      </c>
      <c r="E3876" s="1">
        <v>72</v>
      </c>
      <c r="F3876" s="1">
        <v>73</v>
      </c>
      <c r="H3876" s="1">
        <v>72.4</v>
      </c>
    </row>
    <row r="3877" s="1" customFormat="1" spans="1:8">
      <c r="A3877" s="1" t="s">
        <v>33</v>
      </c>
      <c r="B3877" s="1" t="s">
        <v>30</v>
      </c>
      <c r="C3877" s="1" t="str">
        <f t="shared" si="81"/>
        <v>020026</v>
      </c>
      <c r="D3877" s="1" t="str">
        <f>"512416530"</f>
        <v>512416530</v>
      </c>
      <c r="E3877" s="1">
        <v>75.5</v>
      </c>
      <c r="F3877" s="1">
        <v>60.5</v>
      </c>
      <c r="H3877" s="1">
        <v>69.5</v>
      </c>
    </row>
    <row r="3878" s="1" customFormat="1" spans="1:8">
      <c r="A3878" s="1" t="s">
        <v>33</v>
      </c>
      <c r="B3878" s="1" t="s">
        <v>30</v>
      </c>
      <c r="C3878" s="1" t="str">
        <f t="shared" si="81"/>
        <v>020026</v>
      </c>
      <c r="D3878" s="1" t="str">
        <f>"512416601"</f>
        <v>512416601</v>
      </c>
      <c r="E3878" s="1">
        <v>71.5</v>
      </c>
      <c r="F3878" s="1">
        <v>72.5</v>
      </c>
      <c r="H3878" s="1">
        <v>71.9</v>
      </c>
    </row>
    <row r="3879" s="1" customFormat="1" spans="1:8">
      <c r="A3879" s="1" t="s">
        <v>33</v>
      </c>
      <c r="B3879" s="1" t="s">
        <v>30</v>
      </c>
      <c r="C3879" s="1" t="str">
        <f t="shared" si="81"/>
        <v>020026</v>
      </c>
      <c r="D3879" s="1" t="str">
        <f>"512416602"</f>
        <v>512416602</v>
      </c>
      <c r="E3879" s="1">
        <v>66</v>
      </c>
      <c r="F3879" s="1">
        <v>81</v>
      </c>
      <c r="H3879" s="1">
        <v>72</v>
      </c>
    </row>
    <row r="3880" s="1" customFormat="1" spans="1:8">
      <c r="A3880" s="1" t="s">
        <v>33</v>
      </c>
      <c r="B3880" s="1" t="s">
        <v>30</v>
      </c>
      <c r="C3880" s="1" t="str">
        <f t="shared" si="81"/>
        <v>020026</v>
      </c>
      <c r="D3880" s="1" t="str">
        <f>"512416603"</f>
        <v>512416603</v>
      </c>
      <c r="E3880" s="1">
        <v>0</v>
      </c>
      <c r="F3880" s="1">
        <v>0</v>
      </c>
      <c r="H3880" s="1">
        <v>0</v>
      </c>
    </row>
    <row r="3881" s="1" customFormat="1" spans="1:8">
      <c r="A3881" s="1" t="s">
        <v>33</v>
      </c>
      <c r="B3881" s="1" t="s">
        <v>30</v>
      </c>
      <c r="C3881" s="1" t="str">
        <f t="shared" si="81"/>
        <v>020026</v>
      </c>
      <c r="D3881" s="1" t="str">
        <f>"512416604"</f>
        <v>512416604</v>
      </c>
      <c r="E3881" s="1">
        <v>68</v>
      </c>
      <c r="F3881" s="1">
        <v>77.5</v>
      </c>
      <c r="H3881" s="1">
        <v>71.8</v>
      </c>
    </row>
    <row r="3882" s="1" customFormat="1" spans="1:8">
      <c r="A3882" s="1" t="s">
        <v>33</v>
      </c>
      <c r="B3882" s="1" t="s">
        <v>30</v>
      </c>
      <c r="C3882" s="1" t="str">
        <f t="shared" si="81"/>
        <v>020026</v>
      </c>
      <c r="D3882" s="1" t="str">
        <f>"512416605"</f>
        <v>512416605</v>
      </c>
      <c r="E3882" s="1">
        <v>0</v>
      </c>
      <c r="F3882" s="1">
        <v>0</v>
      </c>
      <c r="H3882" s="1">
        <v>0</v>
      </c>
    </row>
    <row r="3883" s="1" customFormat="1" spans="1:8">
      <c r="A3883" s="1" t="s">
        <v>33</v>
      </c>
      <c r="B3883" s="1" t="s">
        <v>30</v>
      </c>
      <c r="C3883" s="1" t="str">
        <f t="shared" si="81"/>
        <v>020026</v>
      </c>
      <c r="D3883" s="1" t="str">
        <f>"512416606"</f>
        <v>512416606</v>
      </c>
      <c r="E3883" s="1">
        <v>82.5</v>
      </c>
      <c r="F3883" s="1">
        <v>68.5</v>
      </c>
      <c r="H3883" s="1">
        <v>76.9</v>
      </c>
    </row>
    <row r="3884" s="1" customFormat="1" spans="1:8">
      <c r="A3884" s="1" t="s">
        <v>33</v>
      </c>
      <c r="B3884" s="1" t="s">
        <v>30</v>
      </c>
      <c r="C3884" s="1" t="str">
        <f t="shared" si="81"/>
        <v>020026</v>
      </c>
      <c r="D3884" s="1" t="str">
        <f>"512416607"</f>
        <v>512416607</v>
      </c>
      <c r="E3884" s="1">
        <v>79</v>
      </c>
      <c r="F3884" s="1">
        <v>74.5</v>
      </c>
      <c r="H3884" s="1">
        <v>77.2</v>
      </c>
    </row>
    <row r="3885" s="1" customFormat="1" spans="1:8">
      <c r="A3885" s="1" t="s">
        <v>33</v>
      </c>
      <c r="B3885" s="1" t="s">
        <v>30</v>
      </c>
      <c r="C3885" s="1" t="str">
        <f t="shared" si="81"/>
        <v>020026</v>
      </c>
      <c r="D3885" s="1" t="str">
        <f>"512416608"</f>
        <v>512416608</v>
      </c>
      <c r="E3885" s="1">
        <v>72</v>
      </c>
      <c r="F3885" s="1">
        <v>72.5</v>
      </c>
      <c r="H3885" s="1">
        <v>72.2</v>
      </c>
    </row>
    <row r="3886" s="1" customFormat="1" spans="1:8">
      <c r="A3886" s="1" t="s">
        <v>33</v>
      </c>
      <c r="B3886" s="1" t="s">
        <v>30</v>
      </c>
      <c r="C3886" s="1" t="str">
        <f t="shared" si="81"/>
        <v>020026</v>
      </c>
      <c r="D3886" s="1" t="str">
        <f>"512416609"</f>
        <v>512416609</v>
      </c>
      <c r="E3886" s="1">
        <v>73</v>
      </c>
      <c r="F3886" s="1">
        <v>66.5</v>
      </c>
      <c r="H3886" s="1">
        <v>70.4</v>
      </c>
    </row>
    <row r="3887" s="1" customFormat="1" spans="1:8">
      <c r="A3887" s="1" t="s">
        <v>33</v>
      </c>
      <c r="B3887" s="1" t="s">
        <v>30</v>
      </c>
      <c r="C3887" s="1" t="str">
        <f t="shared" si="81"/>
        <v>020026</v>
      </c>
      <c r="D3887" s="1" t="str">
        <f>"512416610"</f>
        <v>512416610</v>
      </c>
      <c r="E3887" s="1">
        <v>80.5</v>
      </c>
      <c r="F3887" s="1">
        <v>66</v>
      </c>
      <c r="H3887" s="1">
        <v>74.7</v>
      </c>
    </row>
    <row r="3888" s="1" customFormat="1" spans="1:8">
      <c r="A3888" s="1" t="s">
        <v>33</v>
      </c>
      <c r="B3888" s="1" t="s">
        <v>30</v>
      </c>
      <c r="C3888" s="1" t="str">
        <f t="shared" si="81"/>
        <v>020026</v>
      </c>
      <c r="D3888" s="1" t="str">
        <f>"512416611"</f>
        <v>512416611</v>
      </c>
      <c r="E3888" s="1">
        <v>73</v>
      </c>
      <c r="F3888" s="1">
        <v>68.5</v>
      </c>
      <c r="H3888" s="1">
        <v>71.2</v>
      </c>
    </row>
    <row r="3889" s="1" customFormat="1" spans="1:8">
      <c r="A3889" s="1" t="s">
        <v>33</v>
      </c>
      <c r="B3889" s="1" t="s">
        <v>30</v>
      </c>
      <c r="C3889" s="1" t="str">
        <f t="shared" si="81"/>
        <v>020026</v>
      </c>
      <c r="D3889" s="1" t="str">
        <f>"512416612"</f>
        <v>512416612</v>
      </c>
      <c r="E3889" s="1">
        <v>67.5</v>
      </c>
      <c r="F3889" s="1">
        <v>66</v>
      </c>
      <c r="H3889" s="1">
        <v>66.9</v>
      </c>
    </row>
    <row r="3890" s="1" customFormat="1" spans="1:8">
      <c r="A3890" s="1" t="s">
        <v>33</v>
      </c>
      <c r="B3890" s="1" t="s">
        <v>30</v>
      </c>
      <c r="C3890" s="1" t="str">
        <f t="shared" si="81"/>
        <v>020026</v>
      </c>
      <c r="D3890" s="1" t="str">
        <f>"512416613"</f>
        <v>512416613</v>
      </c>
      <c r="E3890" s="1">
        <v>71</v>
      </c>
      <c r="F3890" s="1">
        <v>63.5</v>
      </c>
      <c r="H3890" s="1">
        <v>68</v>
      </c>
    </row>
    <row r="3891" s="1" customFormat="1" spans="1:8">
      <c r="A3891" s="1" t="s">
        <v>33</v>
      </c>
      <c r="B3891" s="1" t="s">
        <v>30</v>
      </c>
      <c r="C3891" s="1" t="str">
        <f t="shared" si="81"/>
        <v>020026</v>
      </c>
      <c r="D3891" s="1" t="str">
        <f>"512416614"</f>
        <v>512416614</v>
      </c>
      <c r="E3891" s="1">
        <v>74.5</v>
      </c>
      <c r="F3891" s="1">
        <v>71.5</v>
      </c>
      <c r="H3891" s="1">
        <v>73.3</v>
      </c>
    </row>
    <row r="3892" s="1" customFormat="1" spans="1:8">
      <c r="A3892" s="1" t="s">
        <v>33</v>
      </c>
      <c r="B3892" s="1" t="s">
        <v>30</v>
      </c>
      <c r="C3892" s="1" t="str">
        <f t="shared" si="81"/>
        <v>020026</v>
      </c>
      <c r="D3892" s="1" t="str">
        <f>"512416615"</f>
        <v>512416615</v>
      </c>
      <c r="E3892" s="1">
        <v>77</v>
      </c>
      <c r="F3892" s="1">
        <v>74</v>
      </c>
      <c r="H3892" s="1">
        <v>75.8</v>
      </c>
    </row>
    <row r="3893" s="1" customFormat="1" spans="1:8">
      <c r="A3893" s="1" t="s">
        <v>33</v>
      </c>
      <c r="B3893" s="1" t="s">
        <v>30</v>
      </c>
      <c r="C3893" s="1" t="str">
        <f t="shared" si="81"/>
        <v>020026</v>
      </c>
      <c r="D3893" s="1" t="str">
        <f>"512416616"</f>
        <v>512416616</v>
      </c>
      <c r="E3893" s="1">
        <v>78.5</v>
      </c>
      <c r="F3893" s="1">
        <v>78.5</v>
      </c>
      <c r="H3893" s="1">
        <v>78.5</v>
      </c>
    </row>
    <row r="3894" s="1" customFormat="1" spans="1:8">
      <c r="A3894" s="1" t="s">
        <v>33</v>
      </c>
      <c r="B3894" s="1" t="s">
        <v>30</v>
      </c>
      <c r="C3894" s="1" t="str">
        <f t="shared" si="81"/>
        <v>020026</v>
      </c>
      <c r="D3894" s="1" t="str">
        <f>"512416617"</f>
        <v>512416617</v>
      </c>
      <c r="E3894" s="1">
        <v>80.5</v>
      </c>
      <c r="F3894" s="1">
        <v>74</v>
      </c>
      <c r="H3894" s="1">
        <v>77.9</v>
      </c>
    </row>
    <row r="3895" s="1" customFormat="1" spans="1:8">
      <c r="A3895" s="1" t="s">
        <v>33</v>
      </c>
      <c r="B3895" s="1" t="s">
        <v>30</v>
      </c>
      <c r="C3895" s="1" t="str">
        <f t="shared" si="81"/>
        <v>020026</v>
      </c>
      <c r="D3895" s="1" t="str">
        <f>"512416618"</f>
        <v>512416618</v>
      </c>
      <c r="E3895" s="1">
        <v>75</v>
      </c>
      <c r="F3895" s="1">
        <v>74.5</v>
      </c>
      <c r="H3895" s="1">
        <v>74.8</v>
      </c>
    </row>
    <row r="3896" s="1" customFormat="1" spans="1:8">
      <c r="A3896" s="1" t="s">
        <v>33</v>
      </c>
      <c r="B3896" s="1" t="s">
        <v>30</v>
      </c>
      <c r="C3896" s="1" t="str">
        <f t="shared" si="81"/>
        <v>020026</v>
      </c>
      <c r="D3896" s="1" t="str">
        <f>"512416619"</f>
        <v>512416619</v>
      </c>
      <c r="E3896" s="1">
        <v>71.5</v>
      </c>
      <c r="F3896" s="1">
        <v>55.5</v>
      </c>
      <c r="H3896" s="1">
        <v>65.1</v>
      </c>
    </row>
    <row r="3897" s="1" customFormat="1" spans="1:8">
      <c r="A3897" s="1" t="s">
        <v>33</v>
      </c>
      <c r="B3897" s="1" t="s">
        <v>30</v>
      </c>
      <c r="C3897" s="1" t="str">
        <f t="shared" si="81"/>
        <v>020026</v>
      </c>
      <c r="D3897" s="1" t="str">
        <f>"512416620"</f>
        <v>512416620</v>
      </c>
      <c r="E3897" s="1">
        <v>70</v>
      </c>
      <c r="F3897" s="1">
        <v>67</v>
      </c>
      <c r="H3897" s="1">
        <v>68.8</v>
      </c>
    </row>
    <row r="3898" s="1" customFormat="1" spans="1:8">
      <c r="A3898" s="1" t="s">
        <v>33</v>
      </c>
      <c r="B3898" s="1" t="s">
        <v>30</v>
      </c>
      <c r="C3898" s="1" t="str">
        <f t="shared" si="81"/>
        <v>020026</v>
      </c>
      <c r="D3898" s="1" t="str">
        <f>"512416621"</f>
        <v>512416621</v>
      </c>
      <c r="E3898" s="1">
        <v>80.5</v>
      </c>
      <c r="F3898" s="1">
        <v>89</v>
      </c>
      <c r="H3898" s="1">
        <v>83.9</v>
      </c>
    </row>
    <row r="3899" s="1" customFormat="1" spans="1:8">
      <c r="A3899" s="1" t="s">
        <v>33</v>
      </c>
      <c r="B3899" s="1" t="s">
        <v>30</v>
      </c>
      <c r="C3899" s="1" t="str">
        <f t="shared" si="81"/>
        <v>020026</v>
      </c>
      <c r="D3899" s="1" t="str">
        <f>"512416622"</f>
        <v>512416622</v>
      </c>
      <c r="E3899" s="1">
        <v>0</v>
      </c>
      <c r="F3899" s="1">
        <v>0</v>
      </c>
      <c r="H3899" s="1">
        <v>0</v>
      </c>
    </row>
    <row r="3900" s="1" customFormat="1" spans="1:8">
      <c r="A3900" s="1" t="s">
        <v>33</v>
      </c>
      <c r="B3900" s="1" t="s">
        <v>30</v>
      </c>
      <c r="C3900" s="1" t="str">
        <f t="shared" si="81"/>
        <v>020026</v>
      </c>
      <c r="D3900" s="1" t="str">
        <f>"512416623"</f>
        <v>512416623</v>
      </c>
      <c r="E3900" s="1">
        <v>65</v>
      </c>
      <c r="F3900" s="1">
        <v>71.5</v>
      </c>
      <c r="H3900" s="1">
        <v>67.6</v>
      </c>
    </row>
    <row r="3901" s="1" customFormat="1" spans="1:8">
      <c r="A3901" s="1" t="s">
        <v>33</v>
      </c>
      <c r="B3901" s="1" t="s">
        <v>30</v>
      </c>
      <c r="C3901" s="1" t="str">
        <f t="shared" si="81"/>
        <v>020026</v>
      </c>
      <c r="D3901" s="1" t="str">
        <f>"512416624"</f>
        <v>512416624</v>
      </c>
      <c r="E3901" s="1">
        <v>71</v>
      </c>
      <c r="F3901" s="1">
        <v>71.5</v>
      </c>
      <c r="H3901" s="1">
        <v>71.2</v>
      </c>
    </row>
    <row r="3902" s="1" customFormat="1" spans="1:8">
      <c r="A3902" s="1" t="s">
        <v>33</v>
      </c>
      <c r="B3902" s="1" t="s">
        <v>30</v>
      </c>
      <c r="C3902" s="1" t="str">
        <f t="shared" si="81"/>
        <v>020026</v>
      </c>
      <c r="D3902" s="1" t="str">
        <f>"512416625"</f>
        <v>512416625</v>
      </c>
      <c r="E3902" s="1">
        <v>0</v>
      </c>
      <c r="F3902" s="1">
        <v>0</v>
      </c>
      <c r="H3902" s="1">
        <v>0</v>
      </c>
    </row>
    <row r="3903" s="1" customFormat="1" spans="1:8">
      <c r="A3903" s="1" t="s">
        <v>33</v>
      </c>
      <c r="B3903" s="1" t="s">
        <v>30</v>
      </c>
      <c r="C3903" s="1" t="str">
        <f t="shared" si="81"/>
        <v>020026</v>
      </c>
      <c r="D3903" s="1" t="str">
        <f>"512416626"</f>
        <v>512416626</v>
      </c>
      <c r="E3903" s="1">
        <v>82.5</v>
      </c>
      <c r="F3903" s="1">
        <v>56.5</v>
      </c>
      <c r="H3903" s="1">
        <v>72.1</v>
      </c>
    </row>
    <row r="3904" s="1" customFormat="1" spans="1:8">
      <c r="A3904" s="1" t="s">
        <v>33</v>
      </c>
      <c r="B3904" s="1" t="s">
        <v>30</v>
      </c>
      <c r="C3904" s="1" t="str">
        <f t="shared" si="81"/>
        <v>020026</v>
      </c>
      <c r="D3904" s="1" t="str">
        <f>"512416627"</f>
        <v>512416627</v>
      </c>
      <c r="E3904" s="1">
        <v>71</v>
      </c>
      <c r="F3904" s="1">
        <v>80</v>
      </c>
      <c r="H3904" s="1">
        <v>74.6</v>
      </c>
    </row>
    <row r="3905" s="1" customFormat="1" spans="1:8">
      <c r="A3905" s="1" t="s">
        <v>33</v>
      </c>
      <c r="B3905" s="1" t="s">
        <v>30</v>
      </c>
      <c r="C3905" s="1" t="str">
        <f t="shared" si="81"/>
        <v>020026</v>
      </c>
      <c r="D3905" s="1" t="str">
        <f>"512416628"</f>
        <v>512416628</v>
      </c>
      <c r="E3905" s="1">
        <v>80.5</v>
      </c>
      <c r="F3905" s="1">
        <v>86.5</v>
      </c>
      <c r="H3905" s="1">
        <v>82.9</v>
      </c>
    </row>
    <row r="3906" s="1" customFormat="1" spans="1:8">
      <c r="A3906" s="1" t="s">
        <v>33</v>
      </c>
      <c r="B3906" s="1" t="s">
        <v>30</v>
      </c>
      <c r="C3906" s="1" t="str">
        <f t="shared" si="81"/>
        <v>020026</v>
      </c>
      <c r="D3906" s="1" t="str">
        <f>"512416629"</f>
        <v>512416629</v>
      </c>
      <c r="E3906" s="1">
        <v>0</v>
      </c>
      <c r="F3906" s="1">
        <v>0</v>
      </c>
      <c r="H3906" s="1">
        <v>0</v>
      </c>
    </row>
    <row r="3907" s="1" customFormat="1" spans="1:8">
      <c r="A3907" s="1" t="s">
        <v>33</v>
      </c>
      <c r="B3907" s="1" t="s">
        <v>30</v>
      </c>
      <c r="C3907" s="1" t="str">
        <f t="shared" si="81"/>
        <v>020026</v>
      </c>
      <c r="D3907" s="1" t="str">
        <f>"512416630"</f>
        <v>512416630</v>
      </c>
      <c r="E3907" s="1">
        <v>77.5</v>
      </c>
      <c r="F3907" s="1">
        <v>83.5</v>
      </c>
      <c r="H3907" s="1">
        <v>79.9</v>
      </c>
    </row>
    <row r="3908" s="1" customFormat="1" spans="1:8">
      <c r="A3908" s="1" t="s">
        <v>33</v>
      </c>
      <c r="B3908" s="1" t="s">
        <v>30</v>
      </c>
      <c r="C3908" s="1" t="str">
        <f t="shared" si="81"/>
        <v>020026</v>
      </c>
      <c r="D3908" s="1" t="str">
        <f>"512416701"</f>
        <v>512416701</v>
      </c>
      <c r="E3908" s="1">
        <v>74</v>
      </c>
      <c r="F3908" s="1">
        <v>0</v>
      </c>
      <c r="H3908" s="1">
        <v>44.4</v>
      </c>
    </row>
    <row r="3909" s="1" customFormat="1" spans="1:8">
      <c r="A3909" s="1" t="s">
        <v>33</v>
      </c>
      <c r="B3909" s="1" t="s">
        <v>30</v>
      </c>
      <c r="C3909" s="1" t="str">
        <f t="shared" si="81"/>
        <v>020026</v>
      </c>
      <c r="D3909" s="1" t="str">
        <f>"512416702"</f>
        <v>512416702</v>
      </c>
      <c r="E3909" s="1">
        <v>0</v>
      </c>
      <c r="F3909" s="1">
        <v>0</v>
      </c>
      <c r="H3909" s="1">
        <v>0</v>
      </c>
    </row>
    <row r="3910" s="1" customFormat="1" spans="1:8">
      <c r="A3910" s="1" t="s">
        <v>33</v>
      </c>
      <c r="B3910" s="1" t="s">
        <v>30</v>
      </c>
      <c r="C3910" s="1" t="str">
        <f t="shared" si="81"/>
        <v>020026</v>
      </c>
      <c r="D3910" s="1" t="str">
        <f>"512416703"</f>
        <v>512416703</v>
      </c>
      <c r="E3910" s="1">
        <v>64.5</v>
      </c>
      <c r="F3910" s="1">
        <v>68</v>
      </c>
      <c r="H3910" s="1">
        <v>65.9</v>
      </c>
    </row>
    <row r="3911" s="1" customFormat="1" spans="1:8">
      <c r="A3911" s="1" t="s">
        <v>33</v>
      </c>
      <c r="B3911" s="1" t="s">
        <v>30</v>
      </c>
      <c r="C3911" s="1" t="str">
        <f t="shared" si="81"/>
        <v>020026</v>
      </c>
      <c r="D3911" s="1" t="str">
        <f>"512416704"</f>
        <v>512416704</v>
      </c>
      <c r="E3911" s="1">
        <v>80.5</v>
      </c>
      <c r="F3911" s="1">
        <v>68.5</v>
      </c>
      <c r="H3911" s="1">
        <v>75.7</v>
      </c>
    </row>
    <row r="3912" s="1" customFormat="1" spans="1:8">
      <c r="A3912" s="1" t="s">
        <v>33</v>
      </c>
      <c r="B3912" s="1" t="s">
        <v>30</v>
      </c>
      <c r="C3912" s="1" t="str">
        <f t="shared" si="81"/>
        <v>020026</v>
      </c>
      <c r="D3912" s="1" t="str">
        <f>"512416705"</f>
        <v>512416705</v>
      </c>
      <c r="E3912" s="1">
        <v>80</v>
      </c>
      <c r="F3912" s="1">
        <v>84.5</v>
      </c>
      <c r="H3912" s="1">
        <v>81.8</v>
      </c>
    </row>
    <row r="3913" s="1" customFormat="1" spans="1:8">
      <c r="A3913" s="1" t="s">
        <v>33</v>
      </c>
      <c r="B3913" s="1" t="s">
        <v>30</v>
      </c>
      <c r="C3913" s="1" t="str">
        <f t="shared" si="81"/>
        <v>020026</v>
      </c>
      <c r="D3913" s="1" t="str">
        <f>"512416706"</f>
        <v>512416706</v>
      </c>
      <c r="E3913" s="1">
        <v>83.5</v>
      </c>
      <c r="F3913" s="1">
        <v>79</v>
      </c>
      <c r="H3913" s="1">
        <v>81.7</v>
      </c>
    </row>
    <row r="3914" s="1" customFormat="1" spans="1:8">
      <c r="A3914" s="1" t="s">
        <v>33</v>
      </c>
      <c r="B3914" s="1" t="s">
        <v>30</v>
      </c>
      <c r="C3914" s="1" t="str">
        <f t="shared" si="81"/>
        <v>020026</v>
      </c>
      <c r="D3914" s="1" t="str">
        <f>"512416707"</f>
        <v>512416707</v>
      </c>
      <c r="E3914" s="1">
        <v>7</v>
      </c>
      <c r="F3914" s="1">
        <v>43</v>
      </c>
      <c r="H3914" s="1">
        <v>21.4</v>
      </c>
    </row>
    <row r="3915" s="1" customFormat="1" spans="1:8">
      <c r="A3915" s="1" t="s">
        <v>33</v>
      </c>
      <c r="B3915" s="1" t="s">
        <v>30</v>
      </c>
      <c r="C3915" s="1" t="str">
        <f t="shared" si="81"/>
        <v>020026</v>
      </c>
      <c r="D3915" s="1" t="str">
        <f>"512416708"</f>
        <v>512416708</v>
      </c>
      <c r="E3915" s="1">
        <v>67.5</v>
      </c>
      <c r="F3915" s="1">
        <v>64</v>
      </c>
      <c r="H3915" s="1">
        <v>66.1</v>
      </c>
    </row>
    <row r="3916" s="1" customFormat="1" spans="1:8">
      <c r="A3916" s="1" t="s">
        <v>33</v>
      </c>
      <c r="B3916" s="1" t="s">
        <v>30</v>
      </c>
      <c r="C3916" s="1" t="str">
        <f t="shared" si="81"/>
        <v>020026</v>
      </c>
      <c r="D3916" s="1" t="str">
        <f>"512416709"</f>
        <v>512416709</v>
      </c>
      <c r="E3916" s="1">
        <v>0</v>
      </c>
      <c r="F3916" s="1">
        <v>0</v>
      </c>
      <c r="H3916" s="1">
        <v>0</v>
      </c>
    </row>
    <row r="3917" s="1" customFormat="1" spans="1:8">
      <c r="A3917" s="1" t="s">
        <v>33</v>
      </c>
      <c r="B3917" s="1" t="s">
        <v>30</v>
      </c>
      <c r="C3917" s="1" t="str">
        <f t="shared" si="81"/>
        <v>020026</v>
      </c>
      <c r="D3917" s="1" t="str">
        <f>"512416710"</f>
        <v>512416710</v>
      </c>
      <c r="E3917" s="1">
        <v>0</v>
      </c>
      <c r="F3917" s="1">
        <v>0</v>
      </c>
      <c r="H3917" s="1">
        <v>0</v>
      </c>
    </row>
    <row r="3918" s="1" customFormat="1" spans="1:8">
      <c r="A3918" s="1" t="s">
        <v>33</v>
      </c>
      <c r="B3918" s="1" t="s">
        <v>30</v>
      </c>
      <c r="C3918" s="1" t="str">
        <f t="shared" si="81"/>
        <v>020026</v>
      </c>
      <c r="D3918" s="1" t="str">
        <f>"512416711"</f>
        <v>512416711</v>
      </c>
      <c r="E3918" s="1">
        <v>73.5</v>
      </c>
      <c r="F3918" s="1">
        <v>70</v>
      </c>
      <c r="H3918" s="1">
        <v>72.1</v>
      </c>
    </row>
    <row r="3919" s="1" customFormat="1" spans="1:8">
      <c r="A3919" s="1" t="s">
        <v>33</v>
      </c>
      <c r="B3919" s="1" t="s">
        <v>30</v>
      </c>
      <c r="C3919" s="1" t="str">
        <f t="shared" si="81"/>
        <v>020026</v>
      </c>
      <c r="D3919" s="1" t="str">
        <f>"512416712"</f>
        <v>512416712</v>
      </c>
      <c r="E3919" s="1">
        <v>72.5</v>
      </c>
      <c r="F3919" s="1">
        <v>73.5</v>
      </c>
      <c r="H3919" s="1">
        <v>72.9</v>
      </c>
    </row>
    <row r="3920" s="1" customFormat="1" spans="1:8">
      <c r="A3920" s="1" t="s">
        <v>33</v>
      </c>
      <c r="B3920" s="1" t="s">
        <v>30</v>
      </c>
      <c r="C3920" s="1" t="str">
        <f t="shared" si="81"/>
        <v>020026</v>
      </c>
      <c r="D3920" s="1" t="str">
        <f>"512416713"</f>
        <v>512416713</v>
      </c>
      <c r="E3920" s="1">
        <v>79</v>
      </c>
      <c r="F3920" s="1">
        <v>86.5</v>
      </c>
      <c r="H3920" s="1">
        <v>82</v>
      </c>
    </row>
    <row r="3921" s="1" customFormat="1" spans="1:8">
      <c r="A3921" s="1" t="s">
        <v>33</v>
      </c>
      <c r="B3921" s="1" t="s">
        <v>30</v>
      </c>
      <c r="C3921" s="1" t="str">
        <f t="shared" si="81"/>
        <v>020026</v>
      </c>
      <c r="D3921" s="1" t="str">
        <f>"512416714"</f>
        <v>512416714</v>
      </c>
      <c r="E3921" s="1">
        <v>68</v>
      </c>
      <c r="F3921" s="1">
        <v>63</v>
      </c>
      <c r="H3921" s="1">
        <v>66</v>
      </c>
    </row>
    <row r="3922" s="1" customFormat="1" spans="1:8">
      <c r="A3922" s="1" t="s">
        <v>33</v>
      </c>
      <c r="B3922" s="1" t="s">
        <v>30</v>
      </c>
      <c r="C3922" s="1" t="str">
        <f t="shared" si="81"/>
        <v>020026</v>
      </c>
      <c r="D3922" s="1" t="str">
        <f>"512416715"</f>
        <v>512416715</v>
      </c>
      <c r="E3922" s="1">
        <v>81.5</v>
      </c>
      <c r="F3922" s="1">
        <v>92</v>
      </c>
      <c r="H3922" s="1">
        <v>85.7</v>
      </c>
    </row>
    <row r="3923" s="1" customFormat="1" spans="1:8">
      <c r="A3923" s="1" t="s">
        <v>33</v>
      </c>
      <c r="B3923" s="1" t="s">
        <v>30</v>
      </c>
      <c r="C3923" s="1" t="str">
        <f t="shared" si="81"/>
        <v>020026</v>
      </c>
      <c r="D3923" s="1" t="str">
        <f>"512416716"</f>
        <v>512416716</v>
      </c>
      <c r="E3923" s="1">
        <v>71.5</v>
      </c>
      <c r="F3923" s="1">
        <v>69.5</v>
      </c>
      <c r="H3923" s="1">
        <v>70.7</v>
      </c>
    </row>
    <row r="3924" s="1" customFormat="1" spans="1:8">
      <c r="A3924" s="1" t="s">
        <v>33</v>
      </c>
      <c r="B3924" s="1" t="s">
        <v>30</v>
      </c>
      <c r="C3924" s="1" t="str">
        <f t="shared" si="81"/>
        <v>020026</v>
      </c>
      <c r="D3924" s="1" t="str">
        <f>"512416717"</f>
        <v>512416717</v>
      </c>
      <c r="E3924" s="1">
        <v>81</v>
      </c>
      <c r="F3924" s="1">
        <v>87</v>
      </c>
      <c r="H3924" s="1">
        <v>83.4</v>
      </c>
    </row>
    <row r="3925" s="1" customFormat="1" spans="1:8">
      <c r="A3925" s="1" t="s">
        <v>33</v>
      </c>
      <c r="B3925" s="1" t="s">
        <v>30</v>
      </c>
      <c r="C3925" s="1" t="str">
        <f t="shared" si="81"/>
        <v>020026</v>
      </c>
      <c r="D3925" s="1" t="str">
        <f>"512416718"</f>
        <v>512416718</v>
      </c>
      <c r="E3925" s="1">
        <v>69.5</v>
      </c>
      <c r="F3925" s="1">
        <v>60.5</v>
      </c>
      <c r="H3925" s="1">
        <v>65.9</v>
      </c>
    </row>
    <row r="3926" s="1" customFormat="1" spans="1:8">
      <c r="A3926" s="1" t="s">
        <v>33</v>
      </c>
      <c r="B3926" s="1" t="s">
        <v>30</v>
      </c>
      <c r="C3926" s="1" t="str">
        <f t="shared" si="81"/>
        <v>020026</v>
      </c>
      <c r="D3926" s="1" t="str">
        <f>"512416719"</f>
        <v>512416719</v>
      </c>
      <c r="E3926" s="1">
        <v>0</v>
      </c>
      <c r="F3926" s="1">
        <v>0</v>
      </c>
      <c r="H3926" s="1">
        <v>0</v>
      </c>
    </row>
    <row r="3927" s="1" customFormat="1" spans="1:8">
      <c r="A3927" s="1" t="s">
        <v>33</v>
      </c>
      <c r="B3927" s="1" t="s">
        <v>30</v>
      </c>
      <c r="C3927" s="1" t="str">
        <f t="shared" si="81"/>
        <v>020026</v>
      </c>
      <c r="D3927" s="1" t="str">
        <f>"512416720"</f>
        <v>512416720</v>
      </c>
      <c r="E3927" s="1">
        <v>81</v>
      </c>
      <c r="F3927" s="1">
        <v>80.5</v>
      </c>
      <c r="H3927" s="1">
        <v>80.8</v>
      </c>
    </row>
    <row r="3928" s="1" customFormat="1" spans="1:8">
      <c r="A3928" s="1" t="s">
        <v>33</v>
      </c>
      <c r="B3928" s="1" t="s">
        <v>30</v>
      </c>
      <c r="C3928" s="1" t="str">
        <f t="shared" si="81"/>
        <v>020026</v>
      </c>
      <c r="D3928" s="1" t="str">
        <f>"512416721"</f>
        <v>512416721</v>
      </c>
      <c r="E3928" s="1">
        <v>69</v>
      </c>
      <c r="F3928" s="1">
        <v>79</v>
      </c>
      <c r="H3928" s="1">
        <v>73</v>
      </c>
    </row>
    <row r="3929" s="1" customFormat="1" spans="1:8">
      <c r="A3929" s="1" t="s">
        <v>34</v>
      </c>
      <c r="B3929" s="1" t="s">
        <v>30</v>
      </c>
      <c r="C3929" s="1" t="str">
        <f t="shared" ref="C3929:C3976" si="82">"020028"</f>
        <v>020028</v>
      </c>
      <c r="D3929" s="1" t="str">
        <f>"512416722"</f>
        <v>512416722</v>
      </c>
      <c r="E3929" s="1">
        <v>84.5</v>
      </c>
      <c r="F3929" s="1">
        <v>67</v>
      </c>
      <c r="H3929" s="1">
        <v>77.5</v>
      </c>
    </row>
    <row r="3930" s="1" customFormat="1" spans="1:8">
      <c r="A3930" s="1" t="s">
        <v>34</v>
      </c>
      <c r="B3930" s="1" t="s">
        <v>30</v>
      </c>
      <c r="C3930" s="1" t="str">
        <f t="shared" si="82"/>
        <v>020028</v>
      </c>
      <c r="D3930" s="1" t="str">
        <f>"512416723"</f>
        <v>512416723</v>
      </c>
      <c r="E3930" s="1">
        <v>0</v>
      </c>
      <c r="F3930" s="1">
        <v>0</v>
      </c>
      <c r="H3930" s="1">
        <v>0</v>
      </c>
    </row>
    <row r="3931" s="1" customFormat="1" spans="1:8">
      <c r="A3931" s="1" t="s">
        <v>34</v>
      </c>
      <c r="B3931" s="1" t="s">
        <v>30</v>
      </c>
      <c r="C3931" s="1" t="str">
        <f t="shared" si="82"/>
        <v>020028</v>
      </c>
      <c r="D3931" s="1" t="str">
        <f>"512416724"</f>
        <v>512416724</v>
      </c>
      <c r="E3931" s="1">
        <v>63.5</v>
      </c>
      <c r="F3931" s="1">
        <v>75</v>
      </c>
      <c r="H3931" s="1">
        <v>68.1</v>
      </c>
    </row>
    <row r="3932" s="1" customFormat="1" spans="1:8">
      <c r="A3932" s="1" t="s">
        <v>34</v>
      </c>
      <c r="B3932" s="1" t="s">
        <v>30</v>
      </c>
      <c r="C3932" s="1" t="str">
        <f t="shared" si="82"/>
        <v>020028</v>
      </c>
      <c r="D3932" s="1" t="str">
        <f>"512416725"</f>
        <v>512416725</v>
      </c>
      <c r="E3932" s="1">
        <v>76.5</v>
      </c>
      <c r="F3932" s="1">
        <v>57.5</v>
      </c>
      <c r="H3932" s="1">
        <v>68.9</v>
      </c>
    </row>
    <row r="3933" s="1" customFormat="1" spans="1:8">
      <c r="A3933" s="1" t="s">
        <v>34</v>
      </c>
      <c r="B3933" s="1" t="s">
        <v>30</v>
      </c>
      <c r="C3933" s="1" t="str">
        <f t="shared" si="82"/>
        <v>020028</v>
      </c>
      <c r="D3933" s="1" t="str">
        <f>"512416726"</f>
        <v>512416726</v>
      </c>
      <c r="E3933" s="1">
        <v>73.5</v>
      </c>
      <c r="F3933" s="1">
        <v>55.5</v>
      </c>
      <c r="H3933" s="1">
        <v>66.3</v>
      </c>
    </row>
    <row r="3934" s="1" customFormat="1" spans="1:8">
      <c r="A3934" s="1" t="s">
        <v>34</v>
      </c>
      <c r="B3934" s="1" t="s">
        <v>30</v>
      </c>
      <c r="C3934" s="1" t="str">
        <f t="shared" si="82"/>
        <v>020028</v>
      </c>
      <c r="D3934" s="1" t="str">
        <f>"512416727"</f>
        <v>512416727</v>
      </c>
      <c r="E3934" s="1">
        <v>81</v>
      </c>
      <c r="F3934" s="1">
        <v>85</v>
      </c>
      <c r="H3934" s="1">
        <v>82.6</v>
      </c>
    </row>
    <row r="3935" s="1" customFormat="1" spans="1:8">
      <c r="A3935" s="1" t="s">
        <v>34</v>
      </c>
      <c r="B3935" s="1" t="s">
        <v>30</v>
      </c>
      <c r="C3935" s="1" t="str">
        <f t="shared" si="82"/>
        <v>020028</v>
      </c>
      <c r="D3935" s="1" t="str">
        <f>"512416728"</f>
        <v>512416728</v>
      </c>
      <c r="E3935" s="1">
        <v>75.5</v>
      </c>
      <c r="F3935" s="1">
        <v>61.5</v>
      </c>
      <c r="H3935" s="1">
        <v>69.9</v>
      </c>
    </row>
    <row r="3936" s="1" customFormat="1" spans="1:8">
      <c r="A3936" s="1" t="s">
        <v>34</v>
      </c>
      <c r="B3936" s="1" t="s">
        <v>30</v>
      </c>
      <c r="C3936" s="1" t="str">
        <f t="shared" si="82"/>
        <v>020028</v>
      </c>
      <c r="D3936" s="1" t="str">
        <f>"512416729"</f>
        <v>512416729</v>
      </c>
      <c r="E3936" s="1">
        <v>0</v>
      </c>
      <c r="F3936" s="1">
        <v>0</v>
      </c>
      <c r="H3936" s="1">
        <v>0</v>
      </c>
    </row>
    <row r="3937" s="1" customFormat="1" spans="1:8">
      <c r="A3937" s="1" t="s">
        <v>34</v>
      </c>
      <c r="B3937" s="1" t="s">
        <v>30</v>
      </c>
      <c r="C3937" s="1" t="str">
        <f t="shared" si="82"/>
        <v>020028</v>
      </c>
      <c r="D3937" s="1" t="str">
        <f>"512416730"</f>
        <v>512416730</v>
      </c>
      <c r="E3937" s="1">
        <v>77.5</v>
      </c>
      <c r="F3937" s="1">
        <v>62.5</v>
      </c>
      <c r="H3937" s="1">
        <v>71.5</v>
      </c>
    </row>
    <row r="3938" s="1" customFormat="1" spans="1:8">
      <c r="A3938" s="1" t="s">
        <v>34</v>
      </c>
      <c r="B3938" s="1" t="s">
        <v>30</v>
      </c>
      <c r="C3938" s="1" t="str">
        <f t="shared" si="82"/>
        <v>020028</v>
      </c>
      <c r="D3938" s="1" t="str">
        <f>"512416801"</f>
        <v>512416801</v>
      </c>
      <c r="E3938" s="1">
        <v>74</v>
      </c>
      <c r="F3938" s="1">
        <v>69</v>
      </c>
      <c r="H3938" s="1">
        <v>72</v>
      </c>
    </row>
    <row r="3939" s="1" customFormat="1" spans="1:8">
      <c r="A3939" s="1" t="s">
        <v>34</v>
      </c>
      <c r="B3939" s="1" t="s">
        <v>30</v>
      </c>
      <c r="C3939" s="1" t="str">
        <f t="shared" si="82"/>
        <v>020028</v>
      </c>
      <c r="D3939" s="1" t="str">
        <f>"512416802"</f>
        <v>512416802</v>
      </c>
      <c r="E3939" s="1">
        <v>74</v>
      </c>
      <c r="F3939" s="1">
        <v>84.5</v>
      </c>
      <c r="H3939" s="1">
        <v>78.2</v>
      </c>
    </row>
    <row r="3940" s="1" customFormat="1" spans="1:8">
      <c r="A3940" s="1" t="s">
        <v>34</v>
      </c>
      <c r="B3940" s="1" t="s">
        <v>30</v>
      </c>
      <c r="C3940" s="1" t="str">
        <f t="shared" si="82"/>
        <v>020028</v>
      </c>
      <c r="D3940" s="1" t="str">
        <f>"512416803"</f>
        <v>512416803</v>
      </c>
      <c r="E3940" s="1">
        <v>0</v>
      </c>
      <c r="F3940" s="1">
        <v>0</v>
      </c>
      <c r="H3940" s="1">
        <v>0</v>
      </c>
    </row>
    <row r="3941" s="1" customFormat="1" spans="1:8">
      <c r="A3941" s="1" t="s">
        <v>34</v>
      </c>
      <c r="B3941" s="1" t="s">
        <v>30</v>
      </c>
      <c r="C3941" s="1" t="str">
        <f t="shared" si="82"/>
        <v>020028</v>
      </c>
      <c r="D3941" s="1" t="str">
        <f>"512416804"</f>
        <v>512416804</v>
      </c>
      <c r="E3941" s="1">
        <v>80.5</v>
      </c>
      <c r="F3941" s="1">
        <v>68.5</v>
      </c>
      <c r="H3941" s="1">
        <v>75.7</v>
      </c>
    </row>
    <row r="3942" s="1" customFormat="1" spans="1:8">
      <c r="A3942" s="1" t="s">
        <v>34</v>
      </c>
      <c r="B3942" s="1" t="s">
        <v>30</v>
      </c>
      <c r="C3942" s="1" t="str">
        <f t="shared" si="82"/>
        <v>020028</v>
      </c>
      <c r="D3942" s="1" t="str">
        <f>"512416805"</f>
        <v>512416805</v>
      </c>
      <c r="E3942" s="1">
        <v>80.5</v>
      </c>
      <c r="F3942" s="1">
        <v>71</v>
      </c>
      <c r="G3942" s="1">
        <v>2</v>
      </c>
      <c r="H3942" s="1">
        <v>78.7</v>
      </c>
    </row>
    <row r="3943" s="1" customFormat="1" spans="1:8">
      <c r="A3943" s="1" t="s">
        <v>34</v>
      </c>
      <c r="B3943" s="1" t="s">
        <v>30</v>
      </c>
      <c r="C3943" s="1" t="str">
        <f t="shared" si="82"/>
        <v>020028</v>
      </c>
      <c r="D3943" s="1" t="str">
        <f>"512416806"</f>
        <v>512416806</v>
      </c>
      <c r="E3943" s="1">
        <v>83</v>
      </c>
      <c r="F3943" s="1">
        <v>59.5</v>
      </c>
      <c r="H3943" s="1">
        <v>73.6</v>
      </c>
    </row>
    <row r="3944" s="1" customFormat="1" spans="1:8">
      <c r="A3944" s="1" t="s">
        <v>34</v>
      </c>
      <c r="B3944" s="1" t="s">
        <v>30</v>
      </c>
      <c r="C3944" s="1" t="str">
        <f t="shared" si="82"/>
        <v>020028</v>
      </c>
      <c r="D3944" s="1" t="str">
        <f>"512416807"</f>
        <v>512416807</v>
      </c>
      <c r="E3944" s="1">
        <v>72</v>
      </c>
      <c r="F3944" s="1">
        <v>74</v>
      </c>
      <c r="H3944" s="1">
        <v>72.8</v>
      </c>
    </row>
    <row r="3945" s="1" customFormat="1" spans="1:8">
      <c r="A3945" s="1" t="s">
        <v>34</v>
      </c>
      <c r="B3945" s="1" t="s">
        <v>30</v>
      </c>
      <c r="C3945" s="1" t="str">
        <f t="shared" si="82"/>
        <v>020028</v>
      </c>
      <c r="D3945" s="1" t="str">
        <f>"512416808"</f>
        <v>512416808</v>
      </c>
      <c r="E3945" s="1">
        <v>77.5</v>
      </c>
      <c r="F3945" s="1">
        <v>78</v>
      </c>
      <c r="H3945" s="1">
        <v>77.7</v>
      </c>
    </row>
    <row r="3946" s="1" customFormat="1" spans="1:8">
      <c r="A3946" s="1" t="s">
        <v>34</v>
      </c>
      <c r="B3946" s="1" t="s">
        <v>30</v>
      </c>
      <c r="C3946" s="1" t="str">
        <f t="shared" si="82"/>
        <v>020028</v>
      </c>
      <c r="D3946" s="1" t="str">
        <f>"512416809"</f>
        <v>512416809</v>
      </c>
      <c r="E3946" s="1">
        <v>84.5</v>
      </c>
      <c r="F3946" s="1">
        <v>78.5</v>
      </c>
      <c r="H3946" s="1">
        <v>82.1</v>
      </c>
    </row>
    <row r="3947" s="1" customFormat="1" spans="1:8">
      <c r="A3947" s="1" t="s">
        <v>34</v>
      </c>
      <c r="B3947" s="1" t="s">
        <v>30</v>
      </c>
      <c r="C3947" s="1" t="str">
        <f t="shared" si="82"/>
        <v>020028</v>
      </c>
      <c r="D3947" s="1" t="str">
        <f>"512416810"</f>
        <v>512416810</v>
      </c>
      <c r="E3947" s="1">
        <v>0</v>
      </c>
      <c r="F3947" s="1">
        <v>0</v>
      </c>
      <c r="H3947" s="1">
        <v>0</v>
      </c>
    </row>
    <row r="3948" s="1" customFormat="1" spans="1:8">
      <c r="A3948" s="1" t="s">
        <v>34</v>
      </c>
      <c r="B3948" s="1" t="s">
        <v>30</v>
      </c>
      <c r="C3948" s="1" t="str">
        <f t="shared" si="82"/>
        <v>020028</v>
      </c>
      <c r="D3948" s="1" t="str">
        <f>"512416811"</f>
        <v>512416811</v>
      </c>
      <c r="E3948" s="1">
        <v>73.5</v>
      </c>
      <c r="F3948" s="1">
        <v>76</v>
      </c>
      <c r="H3948" s="1">
        <v>74.5</v>
      </c>
    </row>
    <row r="3949" s="1" customFormat="1" spans="1:8">
      <c r="A3949" s="1" t="s">
        <v>34</v>
      </c>
      <c r="B3949" s="1" t="s">
        <v>30</v>
      </c>
      <c r="C3949" s="1" t="str">
        <f t="shared" si="82"/>
        <v>020028</v>
      </c>
      <c r="D3949" s="1" t="str">
        <f>"512416812"</f>
        <v>512416812</v>
      </c>
      <c r="E3949" s="1">
        <v>81</v>
      </c>
      <c r="F3949" s="1">
        <v>66</v>
      </c>
      <c r="H3949" s="1">
        <v>75</v>
      </c>
    </row>
    <row r="3950" s="1" customFormat="1" spans="1:8">
      <c r="A3950" s="1" t="s">
        <v>34</v>
      </c>
      <c r="B3950" s="1" t="s">
        <v>30</v>
      </c>
      <c r="C3950" s="1" t="str">
        <f t="shared" si="82"/>
        <v>020028</v>
      </c>
      <c r="D3950" s="1" t="str">
        <f>"512416813"</f>
        <v>512416813</v>
      </c>
      <c r="E3950" s="1">
        <v>83.5</v>
      </c>
      <c r="F3950" s="1">
        <v>78.5</v>
      </c>
      <c r="H3950" s="1">
        <v>81.5</v>
      </c>
    </row>
    <row r="3951" s="1" customFormat="1" spans="1:8">
      <c r="A3951" s="1" t="s">
        <v>34</v>
      </c>
      <c r="B3951" s="1" t="s">
        <v>30</v>
      </c>
      <c r="C3951" s="1" t="str">
        <f t="shared" si="82"/>
        <v>020028</v>
      </c>
      <c r="D3951" s="1" t="str">
        <f>"512416814"</f>
        <v>512416814</v>
      </c>
      <c r="E3951" s="1">
        <v>67</v>
      </c>
      <c r="F3951" s="1">
        <v>69</v>
      </c>
      <c r="H3951" s="1">
        <v>67.8</v>
      </c>
    </row>
    <row r="3952" s="1" customFormat="1" spans="1:8">
      <c r="A3952" s="1" t="s">
        <v>34</v>
      </c>
      <c r="B3952" s="1" t="s">
        <v>30</v>
      </c>
      <c r="C3952" s="1" t="str">
        <f t="shared" si="82"/>
        <v>020028</v>
      </c>
      <c r="D3952" s="1" t="str">
        <f>"512416815"</f>
        <v>512416815</v>
      </c>
      <c r="E3952" s="1">
        <v>0</v>
      </c>
      <c r="F3952" s="1">
        <v>0</v>
      </c>
      <c r="H3952" s="1">
        <v>0</v>
      </c>
    </row>
    <row r="3953" s="1" customFormat="1" spans="1:8">
      <c r="A3953" s="1" t="s">
        <v>34</v>
      </c>
      <c r="B3953" s="1" t="s">
        <v>30</v>
      </c>
      <c r="C3953" s="1" t="str">
        <f t="shared" si="82"/>
        <v>020028</v>
      </c>
      <c r="D3953" s="1" t="str">
        <f>"512416816"</f>
        <v>512416816</v>
      </c>
      <c r="E3953" s="1">
        <v>76.5</v>
      </c>
      <c r="F3953" s="1">
        <v>72</v>
      </c>
      <c r="H3953" s="1">
        <v>74.7</v>
      </c>
    </row>
    <row r="3954" s="1" customFormat="1" spans="1:8">
      <c r="A3954" s="1" t="s">
        <v>34</v>
      </c>
      <c r="B3954" s="1" t="s">
        <v>30</v>
      </c>
      <c r="C3954" s="1" t="str">
        <f t="shared" si="82"/>
        <v>020028</v>
      </c>
      <c r="D3954" s="1" t="str">
        <f>"512416817"</f>
        <v>512416817</v>
      </c>
      <c r="E3954" s="1">
        <v>70.5</v>
      </c>
      <c r="F3954" s="1">
        <v>69.5</v>
      </c>
      <c r="H3954" s="1">
        <v>70.1</v>
      </c>
    </row>
    <row r="3955" s="1" customFormat="1" spans="1:8">
      <c r="A3955" s="1" t="s">
        <v>34</v>
      </c>
      <c r="B3955" s="1" t="s">
        <v>30</v>
      </c>
      <c r="C3955" s="1" t="str">
        <f t="shared" si="82"/>
        <v>020028</v>
      </c>
      <c r="D3955" s="1" t="str">
        <f>"512416818"</f>
        <v>512416818</v>
      </c>
      <c r="E3955" s="1">
        <v>75</v>
      </c>
      <c r="F3955" s="1">
        <v>77.5</v>
      </c>
      <c r="H3955" s="1">
        <v>76</v>
      </c>
    </row>
    <row r="3956" s="1" customFormat="1" spans="1:8">
      <c r="A3956" s="1" t="s">
        <v>34</v>
      </c>
      <c r="B3956" s="1" t="s">
        <v>30</v>
      </c>
      <c r="C3956" s="1" t="str">
        <f t="shared" si="82"/>
        <v>020028</v>
      </c>
      <c r="D3956" s="1" t="str">
        <f>"512416819"</f>
        <v>512416819</v>
      </c>
      <c r="E3956" s="1">
        <v>0</v>
      </c>
      <c r="F3956" s="1">
        <v>0</v>
      </c>
      <c r="H3956" s="1">
        <v>0</v>
      </c>
    </row>
    <row r="3957" s="1" customFormat="1" spans="1:8">
      <c r="A3957" s="1" t="s">
        <v>34</v>
      </c>
      <c r="B3957" s="1" t="s">
        <v>30</v>
      </c>
      <c r="C3957" s="1" t="str">
        <f t="shared" si="82"/>
        <v>020028</v>
      </c>
      <c r="D3957" s="1" t="str">
        <f>"512416820"</f>
        <v>512416820</v>
      </c>
      <c r="E3957" s="1">
        <v>68.5</v>
      </c>
      <c r="F3957" s="1">
        <v>66.5</v>
      </c>
      <c r="H3957" s="1">
        <v>67.7</v>
      </c>
    </row>
    <row r="3958" s="1" customFormat="1" spans="1:8">
      <c r="A3958" s="1" t="s">
        <v>34</v>
      </c>
      <c r="B3958" s="1" t="s">
        <v>30</v>
      </c>
      <c r="C3958" s="1" t="str">
        <f t="shared" si="82"/>
        <v>020028</v>
      </c>
      <c r="D3958" s="1" t="str">
        <f>"512416821"</f>
        <v>512416821</v>
      </c>
      <c r="E3958" s="1">
        <v>63</v>
      </c>
      <c r="F3958" s="1">
        <v>61.5</v>
      </c>
      <c r="H3958" s="1">
        <v>62.4</v>
      </c>
    </row>
    <row r="3959" s="1" customFormat="1" spans="1:8">
      <c r="A3959" s="1" t="s">
        <v>34</v>
      </c>
      <c r="B3959" s="1" t="s">
        <v>30</v>
      </c>
      <c r="C3959" s="1" t="str">
        <f t="shared" si="82"/>
        <v>020028</v>
      </c>
      <c r="D3959" s="1" t="str">
        <f>"512416822"</f>
        <v>512416822</v>
      </c>
      <c r="E3959" s="1">
        <v>0</v>
      </c>
      <c r="F3959" s="1">
        <v>0</v>
      </c>
      <c r="H3959" s="1">
        <v>0</v>
      </c>
    </row>
    <row r="3960" s="1" customFormat="1" spans="1:8">
      <c r="A3960" s="1" t="s">
        <v>34</v>
      </c>
      <c r="B3960" s="1" t="s">
        <v>30</v>
      </c>
      <c r="C3960" s="1" t="str">
        <f t="shared" si="82"/>
        <v>020028</v>
      </c>
      <c r="D3960" s="1" t="str">
        <f>"512416823"</f>
        <v>512416823</v>
      </c>
      <c r="E3960" s="1">
        <v>84.5</v>
      </c>
      <c r="F3960" s="1">
        <v>88.5</v>
      </c>
      <c r="H3960" s="1">
        <v>86.1</v>
      </c>
    </row>
    <row r="3961" s="1" customFormat="1" spans="1:8">
      <c r="A3961" s="1" t="s">
        <v>34</v>
      </c>
      <c r="B3961" s="1" t="s">
        <v>30</v>
      </c>
      <c r="C3961" s="1" t="str">
        <f t="shared" si="82"/>
        <v>020028</v>
      </c>
      <c r="D3961" s="1" t="str">
        <f>"512416824"</f>
        <v>512416824</v>
      </c>
      <c r="E3961" s="1">
        <v>81.5</v>
      </c>
      <c r="F3961" s="1">
        <v>68</v>
      </c>
      <c r="H3961" s="1">
        <v>76.1</v>
      </c>
    </row>
    <row r="3962" s="1" customFormat="1" spans="1:8">
      <c r="A3962" s="1" t="s">
        <v>34</v>
      </c>
      <c r="B3962" s="1" t="s">
        <v>30</v>
      </c>
      <c r="C3962" s="1" t="str">
        <f t="shared" si="82"/>
        <v>020028</v>
      </c>
      <c r="D3962" s="1" t="str">
        <f>"512416825"</f>
        <v>512416825</v>
      </c>
      <c r="E3962" s="1">
        <v>75</v>
      </c>
      <c r="F3962" s="1">
        <v>83</v>
      </c>
      <c r="H3962" s="1">
        <v>78.2</v>
      </c>
    </row>
    <row r="3963" s="1" customFormat="1" spans="1:8">
      <c r="A3963" s="1" t="s">
        <v>34</v>
      </c>
      <c r="B3963" s="1" t="s">
        <v>30</v>
      </c>
      <c r="C3963" s="1" t="str">
        <f t="shared" si="82"/>
        <v>020028</v>
      </c>
      <c r="D3963" s="1" t="str">
        <f>"512416826"</f>
        <v>512416826</v>
      </c>
      <c r="E3963" s="1">
        <v>85</v>
      </c>
      <c r="F3963" s="1">
        <v>92</v>
      </c>
      <c r="H3963" s="1">
        <v>87.8</v>
      </c>
    </row>
    <row r="3964" s="1" customFormat="1" spans="1:8">
      <c r="A3964" s="1" t="s">
        <v>34</v>
      </c>
      <c r="B3964" s="1" t="s">
        <v>30</v>
      </c>
      <c r="C3964" s="1" t="str">
        <f t="shared" si="82"/>
        <v>020028</v>
      </c>
      <c r="D3964" s="1" t="str">
        <f>"512416827"</f>
        <v>512416827</v>
      </c>
      <c r="E3964" s="1">
        <v>78</v>
      </c>
      <c r="F3964" s="1">
        <v>66.5</v>
      </c>
      <c r="H3964" s="1">
        <v>73.4</v>
      </c>
    </row>
    <row r="3965" s="1" customFormat="1" spans="1:8">
      <c r="A3965" s="1" t="s">
        <v>34</v>
      </c>
      <c r="B3965" s="1" t="s">
        <v>30</v>
      </c>
      <c r="C3965" s="1" t="str">
        <f t="shared" si="82"/>
        <v>020028</v>
      </c>
      <c r="D3965" s="1" t="str">
        <f>"512416828"</f>
        <v>512416828</v>
      </c>
      <c r="E3965" s="1">
        <v>0</v>
      </c>
      <c r="F3965" s="1">
        <v>0</v>
      </c>
      <c r="H3965" s="1">
        <v>0</v>
      </c>
    </row>
    <row r="3966" s="1" customFormat="1" spans="1:8">
      <c r="A3966" s="1" t="s">
        <v>34</v>
      </c>
      <c r="B3966" s="1" t="s">
        <v>30</v>
      </c>
      <c r="C3966" s="1" t="str">
        <f t="shared" si="82"/>
        <v>020028</v>
      </c>
      <c r="D3966" s="1" t="str">
        <f>"512416829"</f>
        <v>512416829</v>
      </c>
      <c r="E3966" s="1">
        <v>79.5</v>
      </c>
      <c r="F3966" s="1">
        <v>69.5</v>
      </c>
      <c r="H3966" s="1">
        <v>75.5</v>
      </c>
    </row>
    <row r="3967" s="1" customFormat="1" spans="1:8">
      <c r="A3967" s="1" t="s">
        <v>34</v>
      </c>
      <c r="B3967" s="1" t="s">
        <v>30</v>
      </c>
      <c r="C3967" s="1" t="str">
        <f t="shared" si="82"/>
        <v>020028</v>
      </c>
      <c r="D3967" s="1" t="str">
        <f>"512416830"</f>
        <v>512416830</v>
      </c>
      <c r="E3967" s="1">
        <v>82</v>
      </c>
      <c r="F3967" s="1">
        <v>79.5</v>
      </c>
      <c r="H3967" s="1">
        <v>81</v>
      </c>
    </row>
    <row r="3968" s="1" customFormat="1" spans="1:8">
      <c r="A3968" s="1" t="s">
        <v>34</v>
      </c>
      <c r="B3968" s="1" t="s">
        <v>30</v>
      </c>
      <c r="C3968" s="1" t="str">
        <f t="shared" si="82"/>
        <v>020028</v>
      </c>
      <c r="D3968" s="1" t="str">
        <f>"512416901"</f>
        <v>512416901</v>
      </c>
      <c r="E3968" s="1">
        <v>60</v>
      </c>
      <c r="F3968" s="1">
        <v>67</v>
      </c>
      <c r="H3968" s="1">
        <v>62.8</v>
      </c>
    </row>
    <row r="3969" s="1" customFormat="1" spans="1:8">
      <c r="A3969" s="1" t="s">
        <v>34</v>
      </c>
      <c r="B3969" s="1" t="s">
        <v>30</v>
      </c>
      <c r="C3969" s="1" t="str">
        <f t="shared" si="82"/>
        <v>020028</v>
      </c>
      <c r="D3969" s="1" t="str">
        <f>"512416902"</f>
        <v>512416902</v>
      </c>
      <c r="E3969" s="1">
        <v>80</v>
      </c>
      <c r="F3969" s="1">
        <v>87</v>
      </c>
      <c r="H3969" s="1">
        <v>82.8</v>
      </c>
    </row>
    <row r="3970" s="1" customFormat="1" spans="1:8">
      <c r="A3970" s="1" t="s">
        <v>34</v>
      </c>
      <c r="B3970" s="1" t="s">
        <v>30</v>
      </c>
      <c r="C3970" s="1" t="str">
        <f t="shared" si="82"/>
        <v>020028</v>
      </c>
      <c r="D3970" s="1" t="str">
        <f>"512416903"</f>
        <v>512416903</v>
      </c>
      <c r="E3970" s="1">
        <v>68</v>
      </c>
      <c r="F3970" s="1">
        <v>73</v>
      </c>
      <c r="H3970" s="1">
        <v>70</v>
      </c>
    </row>
    <row r="3971" s="1" customFormat="1" spans="1:8">
      <c r="A3971" s="1" t="s">
        <v>34</v>
      </c>
      <c r="B3971" s="1" t="s">
        <v>30</v>
      </c>
      <c r="C3971" s="1" t="str">
        <f t="shared" si="82"/>
        <v>020028</v>
      </c>
      <c r="D3971" s="1" t="str">
        <f>"512416904"</f>
        <v>512416904</v>
      </c>
      <c r="E3971" s="1">
        <v>68.5</v>
      </c>
      <c r="F3971" s="1">
        <v>71</v>
      </c>
      <c r="H3971" s="1">
        <v>69.5</v>
      </c>
    </row>
    <row r="3972" s="1" customFormat="1" spans="1:8">
      <c r="A3972" s="1" t="s">
        <v>34</v>
      </c>
      <c r="B3972" s="1" t="s">
        <v>30</v>
      </c>
      <c r="C3972" s="1" t="str">
        <f t="shared" si="82"/>
        <v>020028</v>
      </c>
      <c r="D3972" s="1" t="str">
        <f>"512416905"</f>
        <v>512416905</v>
      </c>
      <c r="E3972" s="1">
        <v>74</v>
      </c>
      <c r="F3972" s="1">
        <v>79</v>
      </c>
      <c r="H3972" s="1">
        <v>76</v>
      </c>
    </row>
    <row r="3973" s="1" customFormat="1" spans="1:8">
      <c r="A3973" s="1" t="s">
        <v>34</v>
      </c>
      <c r="B3973" s="1" t="s">
        <v>30</v>
      </c>
      <c r="C3973" s="1" t="str">
        <f t="shared" si="82"/>
        <v>020028</v>
      </c>
      <c r="D3973" s="1" t="str">
        <f>"512416906"</f>
        <v>512416906</v>
      </c>
      <c r="E3973" s="1">
        <v>68.5</v>
      </c>
      <c r="F3973" s="1">
        <v>63</v>
      </c>
      <c r="H3973" s="1">
        <v>66.3</v>
      </c>
    </row>
    <row r="3974" s="1" customFormat="1" spans="1:8">
      <c r="A3974" s="1" t="s">
        <v>34</v>
      </c>
      <c r="B3974" s="1" t="s">
        <v>30</v>
      </c>
      <c r="C3974" s="1" t="str">
        <f t="shared" si="82"/>
        <v>020028</v>
      </c>
      <c r="D3974" s="1" t="str">
        <f>"512416907"</f>
        <v>512416907</v>
      </c>
      <c r="E3974" s="1">
        <v>82</v>
      </c>
      <c r="F3974" s="1">
        <v>81.5</v>
      </c>
      <c r="H3974" s="1">
        <v>81.8</v>
      </c>
    </row>
    <row r="3975" s="1" customFormat="1" spans="1:8">
      <c r="A3975" s="1" t="s">
        <v>34</v>
      </c>
      <c r="B3975" s="1" t="s">
        <v>30</v>
      </c>
      <c r="C3975" s="1" t="str">
        <f t="shared" si="82"/>
        <v>020028</v>
      </c>
      <c r="D3975" s="1" t="str">
        <f>"512416908"</f>
        <v>512416908</v>
      </c>
      <c r="E3975" s="1">
        <v>70</v>
      </c>
      <c r="F3975" s="1">
        <v>59.5</v>
      </c>
      <c r="H3975" s="1">
        <v>65.8</v>
      </c>
    </row>
    <row r="3976" s="1" customFormat="1" spans="1:8">
      <c r="A3976" s="1" t="s">
        <v>34</v>
      </c>
      <c r="B3976" s="1" t="s">
        <v>30</v>
      </c>
      <c r="C3976" s="1" t="str">
        <f t="shared" si="82"/>
        <v>020028</v>
      </c>
      <c r="D3976" s="1" t="str">
        <f>"512416909"</f>
        <v>512416909</v>
      </c>
      <c r="E3976" s="1">
        <v>73</v>
      </c>
      <c r="F3976" s="1">
        <v>77.5</v>
      </c>
      <c r="H3976" s="1">
        <v>74.8</v>
      </c>
    </row>
    <row r="3977" s="1" customFormat="1" spans="1:8">
      <c r="A3977" s="1" t="s">
        <v>34</v>
      </c>
      <c r="B3977" s="1" t="s">
        <v>35</v>
      </c>
      <c r="C3977" s="1" t="str">
        <f t="shared" ref="C3977:C4020" si="83">"020029"</f>
        <v>020029</v>
      </c>
      <c r="D3977" s="1" t="str">
        <f>"512416910"</f>
        <v>512416910</v>
      </c>
      <c r="E3977" s="1">
        <v>76.5</v>
      </c>
      <c r="F3977" s="1">
        <v>68</v>
      </c>
      <c r="H3977" s="1">
        <v>73.1</v>
      </c>
    </row>
    <row r="3978" s="1" customFormat="1" spans="1:8">
      <c r="A3978" s="1" t="s">
        <v>34</v>
      </c>
      <c r="B3978" s="1" t="s">
        <v>35</v>
      </c>
      <c r="C3978" s="1" t="str">
        <f t="shared" si="83"/>
        <v>020029</v>
      </c>
      <c r="D3978" s="1" t="str">
        <f>"512416911"</f>
        <v>512416911</v>
      </c>
      <c r="E3978" s="1">
        <v>79</v>
      </c>
      <c r="F3978" s="1">
        <v>72.5</v>
      </c>
      <c r="H3978" s="1">
        <v>76.4</v>
      </c>
    </row>
    <row r="3979" s="1" customFormat="1" spans="1:8">
      <c r="A3979" s="1" t="s">
        <v>34</v>
      </c>
      <c r="B3979" s="1" t="s">
        <v>35</v>
      </c>
      <c r="C3979" s="1" t="str">
        <f t="shared" si="83"/>
        <v>020029</v>
      </c>
      <c r="D3979" s="1" t="str">
        <f>"512416912"</f>
        <v>512416912</v>
      </c>
      <c r="E3979" s="1">
        <v>72</v>
      </c>
      <c r="F3979" s="1">
        <v>74.5</v>
      </c>
      <c r="H3979" s="1">
        <v>73</v>
      </c>
    </row>
    <row r="3980" s="1" customFormat="1" spans="1:8">
      <c r="A3980" s="1" t="s">
        <v>34</v>
      </c>
      <c r="B3980" s="1" t="s">
        <v>35</v>
      </c>
      <c r="C3980" s="1" t="str">
        <f t="shared" si="83"/>
        <v>020029</v>
      </c>
      <c r="D3980" s="1" t="str">
        <f>"512416913"</f>
        <v>512416913</v>
      </c>
      <c r="E3980" s="1">
        <v>67.5</v>
      </c>
      <c r="F3980" s="1">
        <v>68.5</v>
      </c>
      <c r="H3980" s="1">
        <v>67.9</v>
      </c>
    </row>
    <row r="3981" s="1" customFormat="1" spans="1:8">
      <c r="A3981" s="1" t="s">
        <v>34</v>
      </c>
      <c r="B3981" s="1" t="s">
        <v>35</v>
      </c>
      <c r="C3981" s="1" t="str">
        <f t="shared" si="83"/>
        <v>020029</v>
      </c>
      <c r="D3981" s="1" t="str">
        <f>"512416914"</f>
        <v>512416914</v>
      </c>
      <c r="E3981" s="1">
        <v>68.5</v>
      </c>
      <c r="F3981" s="1">
        <v>62</v>
      </c>
      <c r="H3981" s="1">
        <v>65.9</v>
      </c>
    </row>
    <row r="3982" s="1" customFormat="1" spans="1:8">
      <c r="A3982" s="1" t="s">
        <v>34</v>
      </c>
      <c r="B3982" s="1" t="s">
        <v>35</v>
      </c>
      <c r="C3982" s="1" t="str">
        <f t="shared" si="83"/>
        <v>020029</v>
      </c>
      <c r="D3982" s="1" t="str">
        <f>"512416915"</f>
        <v>512416915</v>
      </c>
      <c r="E3982" s="1">
        <v>78</v>
      </c>
      <c r="F3982" s="1">
        <v>68.5</v>
      </c>
      <c r="H3982" s="1">
        <v>74.2</v>
      </c>
    </row>
    <row r="3983" s="1" customFormat="1" spans="1:8">
      <c r="A3983" s="1" t="s">
        <v>34</v>
      </c>
      <c r="B3983" s="1" t="s">
        <v>35</v>
      </c>
      <c r="C3983" s="1" t="str">
        <f t="shared" si="83"/>
        <v>020029</v>
      </c>
      <c r="D3983" s="1" t="str">
        <f>"512416916"</f>
        <v>512416916</v>
      </c>
      <c r="E3983" s="1">
        <v>69.5</v>
      </c>
      <c r="F3983" s="1">
        <v>56.5</v>
      </c>
      <c r="H3983" s="1">
        <v>64.3</v>
      </c>
    </row>
    <row r="3984" s="1" customFormat="1" spans="1:8">
      <c r="A3984" s="1" t="s">
        <v>34</v>
      </c>
      <c r="B3984" s="1" t="s">
        <v>35</v>
      </c>
      <c r="C3984" s="1" t="str">
        <f t="shared" si="83"/>
        <v>020029</v>
      </c>
      <c r="D3984" s="1" t="str">
        <f>"512416917"</f>
        <v>512416917</v>
      </c>
      <c r="E3984" s="1">
        <v>78</v>
      </c>
      <c r="F3984" s="1">
        <v>92.5</v>
      </c>
      <c r="H3984" s="1">
        <v>83.8</v>
      </c>
    </row>
    <row r="3985" s="1" customFormat="1" spans="1:8">
      <c r="A3985" s="1" t="s">
        <v>34</v>
      </c>
      <c r="B3985" s="1" t="s">
        <v>35</v>
      </c>
      <c r="C3985" s="1" t="str">
        <f t="shared" si="83"/>
        <v>020029</v>
      </c>
      <c r="D3985" s="1" t="str">
        <f>"512416918"</f>
        <v>512416918</v>
      </c>
      <c r="E3985" s="1">
        <v>71.5</v>
      </c>
      <c r="F3985" s="1">
        <v>68</v>
      </c>
      <c r="H3985" s="1">
        <v>70.1</v>
      </c>
    </row>
    <row r="3986" s="1" customFormat="1" spans="1:8">
      <c r="A3986" s="1" t="s">
        <v>34</v>
      </c>
      <c r="B3986" s="1" t="s">
        <v>35</v>
      </c>
      <c r="C3986" s="1" t="str">
        <f t="shared" si="83"/>
        <v>020029</v>
      </c>
      <c r="D3986" s="1" t="str">
        <f>"512416919"</f>
        <v>512416919</v>
      </c>
      <c r="E3986" s="1">
        <v>80.5</v>
      </c>
      <c r="F3986" s="1">
        <v>66.5</v>
      </c>
      <c r="H3986" s="1">
        <v>74.9</v>
      </c>
    </row>
    <row r="3987" s="1" customFormat="1" spans="1:8">
      <c r="A3987" s="1" t="s">
        <v>34</v>
      </c>
      <c r="B3987" s="1" t="s">
        <v>35</v>
      </c>
      <c r="C3987" s="1" t="str">
        <f t="shared" si="83"/>
        <v>020029</v>
      </c>
      <c r="D3987" s="1" t="str">
        <f>"512416920"</f>
        <v>512416920</v>
      </c>
      <c r="E3987" s="1">
        <v>77.5</v>
      </c>
      <c r="F3987" s="1">
        <v>59</v>
      </c>
      <c r="H3987" s="1">
        <v>70.1</v>
      </c>
    </row>
    <row r="3988" s="1" customFormat="1" spans="1:8">
      <c r="A3988" s="1" t="s">
        <v>34</v>
      </c>
      <c r="B3988" s="1" t="s">
        <v>35</v>
      </c>
      <c r="C3988" s="1" t="str">
        <f t="shared" si="83"/>
        <v>020029</v>
      </c>
      <c r="D3988" s="1" t="str">
        <f>"512416921"</f>
        <v>512416921</v>
      </c>
      <c r="E3988" s="1">
        <v>82.5</v>
      </c>
      <c r="F3988" s="1">
        <v>88.5</v>
      </c>
      <c r="H3988" s="1">
        <v>84.9</v>
      </c>
    </row>
    <row r="3989" s="1" customFormat="1" spans="1:8">
      <c r="A3989" s="1" t="s">
        <v>34</v>
      </c>
      <c r="B3989" s="1" t="s">
        <v>35</v>
      </c>
      <c r="C3989" s="1" t="str">
        <f t="shared" si="83"/>
        <v>020029</v>
      </c>
      <c r="D3989" s="1" t="str">
        <f>"512416922"</f>
        <v>512416922</v>
      </c>
      <c r="E3989" s="1">
        <v>81.5</v>
      </c>
      <c r="F3989" s="1">
        <v>77</v>
      </c>
      <c r="H3989" s="1">
        <v>79.7</v>
      </c>
    </row>
    <row r="3990" s="1" customFormat="1" spans="1:8">
      <c r="A3990" s="1" t="s">
        <v>34</v>
      </c>
      <c r="B3990" s="1" t="s">
        <v>35</v>
      </c>
      <c r="C3990" s="1" t="str">
        <f t="shared" si="83"/>
        <v>020029</v>
      </c>
      <c r="D3990" s="1" t="str">
        <f>"512416923"</f>
        <v>512416923</v>
      </c>
      <c r="E3990" s="1">
        <v>71</v>
      </c>
      <c r="F3990" s="1">
        <v>76.5</v>
      </c>
      <c r="H3990" s="1">
        <v>73.2</v>
      </c>
    </row>
    <row r="3991" s="1" customFormat="1" spans="1:8">
      <c r="A3991" s="1" t="s">
        <v>34</v>
      </c>
      <c r="B3991" s="1" t="s">
        <v>35</v>
      </c>
      <c r="C3991" s="1" t="str">
        <f t="shared" si="83"/>
        <v>020029</v>
      </c>
      <c r="D3991" s="1" t="str">
        <f>"512416924"</f>
        <v>512416924</v>
      </c>
      <c r="E3991" s="1">
        <v>72.5</v>
      </c>
      <c r="F3991" s="1">
        <v>58.5</v>
      </c>
      <c r="H3991" s="1">
        <v>66.9</v>
      </c>
    </row>
    <row r="3992" s="1" customFormat="1" spans="1:8">
      <c r="A3992" s="1" t="s">
        <v>34</v>
      </c>
      <c r="B3992" s="1" t="s">
        <v>35</v>
      </c>
      <c r="C3992" s="1" t="str">
        <f t="shared" si="83"/>
        <v>020029</v>
      </c>
      <c r="D3992" s="1" t="str">
        <f>"512416925"</f>
        <v>512416925</v>
      </c>
      <c r="E3992" s="1">
        <v>80</v>
      </c>
      <c r="F3992" s="1">
        <v>63.5</v>
      </c>
      <c r="H3992" s="1">
        <v>73.4</v>
      </c>
    </row>
    <row r="3993" s="1" customFormat="1" spans="1:8">
      <c r="A3993" s="1" t="s">
        <v>34</v>
      </c>
      <c r="B3993" s="1" t="s">
        <v>35</v>
      </c>
      <c r="C3993" s="1" t="str">
        <f t="shared" si="83"/>
        <v>020029</v>
      </c>
      <c r="D3993" s="1" t="str">
        <f>"512416926"</f>
        <v>512416926</v>
      </c>
      <c r="E3993" s="1">
        <v>81.5</v>
      </c>
      <c r="F3993" s="1">
        <v>85</v>
      </c>
      <c r="H3993" s="1">
        <v>82.9</v>
      </c>
    </row>
    <row r="3994" s="1" customFormat="1" spans="1:8">
      <c r="A3994" s="1" t="s">
        <v>34</v>
      </c>
      <c r="B3994" s="1" t="s">
        <v>35</v>
      </c>
      <c r="C3994" s="1" t="str">
        <f t="shared" si="83"/>
        <v>020029</v>
      </c>
      <c r="D3994" s="1" t="str">
        <f>"512416927"</f>
        <v>512416927</v>
      </c>
      <c r="E3994" s="1">
        <v>76.5</v>
      </c>
      <c r="F3994" s="1">
        <v>78.5</v>
      </c>
      <c r="H3994" s="1">
        <v>77.3</v>
      </c>
    </row>
    <row r="3995" s="1" customFormat="1" spans="1:8">
      <c r="A3995" s="1" t="s">
        <v>34</v>
      </c>
      <c r="B3995" s="1" t="s">
        <v>35</v>
      </c>
      <c r="C3995" s="1" t="str">
        <f t="shared" si="83"/>
        <v>020029</v>
      </c>
      <c r="D3995" s="1" t="str">
        <f>"512416928"</f>
        <v>512416928</v>
      </c>
      <c r="E3995" s="1">
        <v>64</v>
      </c>
      <c r="F3995" s="1">
        <v>72.5</v>
      </c>
      <c r="H3995" s="1">
        <v>67.4</v>
      </c>
    </row>
    <row r="3996" s="1" customFormat="1" spans="1:8">
      <c r="A3996" s="1" t="s">
        <v>34</v>
      </c>
      <c r="B3996" s="1" t="s">
        <v>35</v>
      </c>
      <c r="C3996" s="1" t="str">
        <f t="shared" si="83"/>
        <v>020029</v>
      </c>
      <c r="D3996" s="1" t="str">
        <f>"512416929"</f>
        <v>512416929</v>
      </c>
      <c r="E3996" s="1">
        <v>82.5</v>
      </c>
      <c r="F3996" s="1">
        <v>91.5</v>
      </c>
      <c r="H3996" s="1">
        <v>86.1</v>
      </c>
    </row>
    <row r="3997" s="1" customFormat="1" spans="1:8">
      <c r="A3997" s="1" t="s">
        <v>34</v>
      </c>
      <c r="B3997" s="1" t="s">
        <v>35</v>
      </c>
      <c r="C3997" s="1" t="str">
        <f t="shared" si="83"/>
        <v>020029</v>
      </c>
      <c r="D3997" s="1" t="str">
        <f>"512416930"</f>
        <v>512416930</v>
      </c>
      <c r="E3997" s="1">
        <v>69.5</v>
      </c>
      <c r="F3997" s="1">
        <v>70.5</v>
      </c>
      <c r="H3997" s="1">
        <v>69.9</v>
      </c>
    </row>
    <row r="3998" s="1" customFormat="1" spans="1:8">
      <c r="A3998" s="1" t="s">
        <v>34</v>
      </c>
      <c r="B3998" s="1" t="s">
        <v>35</v>
      </c>
      <c r="C3998" s="1" t="str">
        <f t="shared" si="83"/>
        <v>020029</v>
      </c>
      <c r="D3998" s="1" t="str">
        <f>"512417001"</f>
        <v>512417001</v>
      </c>
      <c r="E3998" s="1">
        <v>81.5</v>
      </c>
      <c r="F3998" s="1">
        <v>75.5</v>
      </c>
      <c r="H3998" s="1">
        <v>79.1</v>
      </c>
    </row>
    <row r="3999" s="1" customFormat="1" spans="1:8">
      <c r="A3999" s="1" t="s">
        <v>34</v>
      </c>
      <c r="B3999" s="1" t="s">
        <v>35</v>
      </c>
      <c r="C3999" s="1" t="str">
        <f t="shared" si="83"/>
        <v>020029</v>
      </c>
      <c r="D3999" s="1" t="str">
        <f>"512417002"</f>
        <v>512417002</v>
      </c>
      <c r="E3999" s="1">
        <v>73.5</v>
      </c>
      <c r="F3999" s="1">
        <v>0</v>
      </c>
      <c r="H3999" s="1">
        <v>44.1</v>
      </c>
    </row>
    <row r="4000" s="1" customFormat="1" spans="1:8">
      <c r="A4000" s="1" t="s">
        <v>34</v>
      </c>
      <c r="B4000" s="1" t="s">
        <v>35</v>
      </c>
      <c r="C4000" s="1" t="str">
        <f t="shared" si="83"/>
        <v>020029</v>
      </c>
      <c r="D4000" s="1" t="str">
        <f>"512417003"</f>
        <v>512417003</v>
      </c>
      <c r="E4000" s="1">
        <v>64</v>
      </c>
      <c r="F4000" s="1">
        <v>74</v>
      </c>
      <c r="H4000" s="1">
        <v>68</v>
      </c>
    </row>
    <row r="4001" s="1" customFormat="1" spans="1:8">
      <c r="A4001" s="1" t="s">
        <v>34</v>
      </c>
      <c r="B4001" s="1" t="s">
        <v>35</v>
      </c>
      <c r="C4001" s="1" t="str">
        <f t="shared" si="83"/>
        <v>020029</v>
      </c>
      <c r="D4001" s="1" t="str">
        <f>"512417004"</f>
        <v>512417004</v>
      </c>
      <c r="E4001" s="1">
        <v>67</v>
      </c>
      <c r="F4001" s="1">
        <v>54.5</v>
      </c>
      <c r="H4001" s="1">
        <v>62</v>
      </c>
    </row>
    <row r="4002" s="1" customFormat="1" spans="1:8">
      <c r="A4002" s="1" t="s">
        <v>34</v>
      </c>
      <c r="B4002" s="1" t="s">
        <v>35</v>
      </c>
      <c r="C4002" s="1" t="str">
        <f t="shared" si="83"/>
        <v>020029</v>
      </c>
      <c r="D4002" s="1" t="str">
        <f>"512417005"</f>
        <v>512417005</v>
      </c>
      <c r="E4002" s="1">
        <v>80</v>
      </c>
      <c r="F4002" s="1">
        <v>63.5</v>
      </c>
      <c r="H4002" s="1">
        <v>73.4</v>
      </c>
    </row>
    <row r="4003" s="1" customFormat="1" spans="1:8">
      <c r="A4003" s="1" t="s">
        <v>34</v>
      </c>
      <c r="B4003" s="1" t="s">
        <v>35</v>
      </c>
      <c r="C4003" s="1" t="str">
        <f t="shared" si="83"/>
        <v>020029</v>
      </c>
      <c r="D4003" s="1" t="str">
        <f>"512417006"</f>
        <v>512417006</v>
      </c>
      <c r="E4003" s="1">
        <v>82</v>
      </c>
      <c r="F4003" s="1">
        <v>76</v>
      </c>
      <c r="H4003" s="1">
        <v>79.6</v>
      </c>
    </row>
    <row r="4004" s="1" customFormat="1" spans="1:8">
      <c r="A4004" s="1" t="s">
        <v>34</v>
      </c>
      <c r="B4004" s="1" t="s">
        <v>35</v>
      </c>
      <c r="C4004" s="1" t="str">
        <f t="shared" si="83"/>
        <v>020029</v>
      </c>
      <c r="D4004" s="1" t="str">
        <f>"512417007"</f>
        <v>512417007</v>
      </c>
      <c r="E4004" s="1">
        <v>0</v>
      </c>
      <c r="F4004" s="1">
        <v>0</v>
      </c>
      <c r="H4004" s="1">
        <v>0</v>
      </c>
    </row>
    <row r="4005" s="1" customFormat="1" spans="1:8">
      <c r="A4005" s="1" t="s">
        <v>34</v>
      </c>
      <c r="B4005" s="1" t="s">
        <v>35</v>
      </c>
      <c r="C4005" s="1" t="str">
        <f t="shared" si="83"/>
        <v>020029</v>
      </c>
      <c r="D4005" s="1" t="str">
        <f>"512417008"</f>
        <v>512417008</v>
      </c>
      <c r="E4005" s="1">
        <v>76</v>
      </c>
      <c r="F4005" s="1">
        <v>82</v>
      </c>
      <c r="H4005" s="1">
        <v>78.4</v>
      </c>
    </row>
    <row r="4006" s="1" customFormat="1" spans="1:8">
      <c r="A4006" s="1" t="s">
        <v>34</v>
      </c>
      <c r="B4006" s="1" t="s">
        <v>35</v>
      </c>
      <c r="C4006" s="1" t="str">
        <f t="shared" si="83"/>
        <v>020029</v>
      </c>
      <c r="D4006" s="1" t="str">
        <f>"512417009"</f>
        <v>512417009</v>
      </c>
      <c r="E4006" s="1">
        <v>66.5</v>
      </c>
      <c r="F4006" s="1">
        <v>61.5</v>
      </c>
      <c r="H4006" s="1">
        <v>64.5</v>
      </c>
    </row>
    <row r="4007" s="1" customFormat="1" spans="1:8">
      <c r="A4007" s="1" t="s">
        <v>34</v>
      </c>
      <c r="B4007" s="1" t="s">
        <v>35</v>
      </c>
      <c r="C4007" s="1" t="str">
        <f t="shared" si="83"/>
        <v>020029</v>
      </c>
      <c r="D4007" s="1" t="str">
        <f>"512417010"</f>
        <v>512417010</v>
      </c>
      <c r="E4007" s="1">
        <v>75</v>
      </c>
      <c r="F4007" s="1">
        <v>75</v>
      </c>
      <c r="H4007" s="1">
        <v>75</v>
      </c>
    </row>
    <row r="4008" s="1" customFormat="1" spans="1:8">
      <c r="A4008" s="1" t="s">
        <v>34</v>
      </c>
      <c r="B4008" s="1" t="s">
        <v>35</v>
      </c>
      <c r="C4008" s="1" t="str">
        <f t="shared" si="83"/>
        <v>020029</v>
      </c>
      <c r="D4008" s="1" t="str">
        <f>"512417011"</f>
        <v>512417011</v>
      </c>
      <c r="E4008" s="1">
        <v>79</v>
      </c>
      <c r="F4008" s="1">
        <v>82.5</v>
      </c>
      <c r="H4008" s="1">
        <v>80.4</v>
      </c>
    </row>
    <row r="4009" s="1" customFormat="1" spans="1:8">
      <c r="A4009" s="1" t="s">
        <v>34</v>
      </c>
      <c r="B4009" s="1" t="s">
        <v>35</v>
      </c>
      <c r="C4009" s="1" t="str">
        <f t="shared" si="83"/>
        <v>020029</v>
      </c>
      <c r="D4009" s="1" t="str">
        <f>"512417012"</f>
        <v>512417012</v>
      </c>
      <c r="E4009" s="1">
        <v>0</v>
      </c>
      <c r="F4009" s="1">
        <v>0</v>
      </c>
      <c r="H4009" s="1">
        <v>0</v>
      </c>
    </row>
    <row r="4010" s="1" customFormat="1" spans="1:8">
      <c r="A4010" s="1" t="s">
        <v>34</v>
      </c>
      <c r="B4010" s="1" t="s">
        <v>35</v>
      </c>
      <c r="C4010" s="1" t="str">
        <f t="shared" si="83"/>
        <v>020029</v>
      </c>
      <c r="D4010" s="1" t="str">
        <f>"512417013"</f>
        <v>512417013</v>
      </c>
      <c r="E4010" s="1">
        <v>77</v>
      </c>
      <c r="F4010" s="1">
        <v>76</v>
      </c>
      <c r="H4010" s="1">
        <v>76.6</v>
      </c>
    </row>
    <row r="4011" s="1" customFormat="1" spans="1:8">
      <c r="A4011" s="1" t="s">
        <v>34</v>
      </c>
      <c r="B4011" s="1" t="s">
        <v>35</v>
      </c>
      <c r="C4011" s="1" t="str">
        <f t="shared" si="83"/>
        <v>020029</v>
      </c>
      <c r="D4011" s="1" t="str">
        <f>"512417014"</f>
        <v>512417014</v>
      </c>
      <c r="E4011" s="1">
        <v>0</v>
      </c>
      <c r="F4011" s="1">
        <v>0</v>
      </c>
      <c r="H4011" s="1">
        <v>0</v>
      </c>
    </row>
    <row r="4012" s="1" customFormat="1" spans="1:8">
      <c r="A4012" s="1" t="s">
        <v>34</v>
      </c>
      <c r="B4012" s="1" t="s">
        <v>35</v>
      </c>
      <c r="C4012" s="1" t="str">
        <f t="shared" si="83"/>
        <v>020029</v>
      </c>
      <c r="D4012" s="1" t="str">
        <f>"512417015"</f>
        <v>512417015</v>
      </c>
      <c r="E4012" s="1">
        <v>78.5</v>
      </c>
      <c r="F4012" s="1">
        <v>75.5</v>
      </c>
      <c r="G4012" s="1">
        <v>2</v>
      </c>
      <c r="H4012" s="1">
        <v>79.3</v>
      </c>
    </row>
    <row r="4013" s="1" customFormat="1" spans="1:8">
      <c r="A4013" s="1" t="s">
        <v>34</v>
      </c>
      <c r="B4013" s="1" t="s">
        <v>35</v>
      </c>
      <c r="C4013" s="1" t="str">
        <f t="shared" si="83"/>
        <v>020029</v>
      </c>
      <c r="D4013" s="1" t="str">
        <f>"512417016"</f>
        <v>512417016</v>
      </c>
      <c r="E4013" s="1">
        <v>67.5</v>
      </c>
      <c r="F4013" s="1">
        <v>67.5</v>
      </c>
      <c r="H4013" s="1">
        <v>67.5</v>
      </c>
    </row>
    <row r="4014" s="1" customFormat="1" spans="1:8">
      <c r="A4014" s="1" t="s">
        <v>34</v>
      </c>
      <c r="B4014" s="1" t="s">
        <v>35</v>
      </c>
      <c r="C4014" s="1" t="str">
        <f t="shared" si="83"/>
        <v>020029</v>
      </c>
      <c r="D4014" s="1" t="str">
        <f>"512417017"</f>
        <v>512417017</v>
      </c>
      <c r="E4014" s="1">
        <v>77</v>
      </c>
      <c r="F4014" s="1">
        <v>65</v>
      </c>
      <c r="H4014" s="1">
        <v>72.2</v>
      </c>
    </row>
    <row r="4015" s="1" customFormat="1" spans="1:8">
      <c r="A4015" s="1" t="s">
        <v>34</v>
      </c>
      <c r="B4015" s="1" t="s">
        <v>35</v>
      </c>
      <c r="C4015" s="1" t="str">
        <f t="shared" si="83"/>
        <v>020029</v>
      </c>
      <c r="D4015" s="1" t="str">
        <f>"512417018"</f>
        <v>512417018</v>
      </c>
      <c r="E4015" s="1">
        <v>80</v>
      </c>
      <c r="F4015" s="1">
        <v>74.5</v>
      </c>
      <c r="H4015" s="1">
        <v>77.8</v>
      </c>
    </row>
    <row r="4016" s="1" customFormat="1" spans="1:8">
      <c r="A4016" s="1" t="s">
        <v>34</v>
      </c>
      <c r="B4016" s="1" t="s">
        <v>35</v>
      </c>
      <c r="C4016" s="1" t="str">
        <f t="shared" si="83"/>
        <v>020029</v>
      </c>
      <c r="D4016" s="1" t="str">
        <f>"512417019"</f>
        <v>512417019</v>
      </c>
      <c r="E4016" s="1">
        <v>83.5</v>
      </c>
      <c r="F4016" s="1">
        <v>76.5</v>
      </c>
      <c r="H4016" s="1">
        <v>80.7</v>
      </c>
    </row>
    <row r="4017" s="1" customFormat="1" spans="1:8">
      <c r="A4017" s="1" t="s">
        <v>34</v>
      </c>
      <c r="B4017" s="1" t="s">
        <v>35</v>
      </c>
      <c r="C4017" s="1" t="str">
        <f t="shared" si="83"/>
        <v>020029</v>
      </c>
      <c r="D4017" s="1" t="str">
        <f>"512417020"</f>
        <v>512417020</v>
      </c>
      <c r="E4017" s="1">
        <v>77</v>
      </c>
      <c r="F4017" s="1">
        <v>74.5</v>
      </c>
      <c r="H4017" s="1">
        <v>76</v>
      </c>
    </row>
    <row r="4018" s="1" customFormat="1" spans="1:8">
      <c r="A4018" s="1" t="s">
        <v>34</v>
      </c>
      <c r="B4018" s="1" t="s">
        <v>35</v>
      </c>
      <c r="C4018" s="1" t="str">
        <f t="shared" si="83"/>
        <v>020029</v>
      </c>
      <c r="D4018" s="1" t="str">
        <f>"512417021"</f>
        <v>512417021</v>
      </c>
      <c r="E4018" s="1">
        <v>74.5</v>
      </c>
      <c r="F4018" s="1">
        <v>74.5</v>
      </c>
      <c r="H4018" s="1">
        <v>74.5</v>
      </c>
    </row>
    <row r="4019" s="1" customFormat="1" spans="1:8">
      <c r="A4019" s="1" t="s">
        <v>34</v>
      </c>
      <c r="B4019" s="1" t="s">
        <v>35</v>
      </c>
      <c r="C4019" s="1" t="str">
        <f t="shared" si="83"/>
        <v>020029</v>
      </c>
      <c r="D4019" s="1" t="str">
        <f>"512417022"</f>
        <v>512417022</v>
      </c>
      <c r="E4019" s="1">
        <v>87</v>
      </c>
      <c r="F4019" s="1">
        <v>98</v>
      </c>
      <c r="H4019" s="1">
        <v>91.4</v>
      </c>
    </row>
    <row r="4020" s="1" customFormat="1" spans="1:8">
      <c r="A4020" s="1" t="s">
        <v>34</v>
      </c>
      <c r="B4020" s="1" t="s">
        <v>35</v>
      </c>
      <c r="C4020" s="1" t="str">
        <f t="shared" si="83"/>
        <v>020029</v>
      </c>
      <c r="D4020" s="1" t="str">
        <f>"512417023"</f>
        <v>512417023</v>
      </c>
      <c r="E4020" s="1">
        <v>86.5</v>
      </c>
      <c r="F4020" s="1">
        <v>87</v>
      </c>
      <c r="H4020" s="1">
        <v>86.7</v>
      </c>
    </row>
    <row r="4021" s="1" customFormat="1" spans="1:8">
      <c r="A4021" s="1" t="s">
        <v>36</v>
      </c>
      <c r="B4021" s="1" t="s">
        <v>30</v>
      </c>
      <c r="C4021" s="1" t="str">
        <f t="shared" ref="C4021:C4041" si="84">"020044"</f>
        <v>020044</v>
      </c>
      <c r="D4021" s="1" t="str">
        <f>"512417024"</f>
        <v>512417024</v>
      </c>
      <c r="E4021" s="1">
        <v>0</v>
      </c>
      <c r="F4021" s="1">
        <v>0</v>
      </c>
      <c r="H4021" s="1">
        <v>0</v>
      </c>
    </row>
    <row r="4022" s="1" customFormat="1" spans="1:8">
      <c r="A4022" s="1" t="s">
        <v>36</v>
      </c>
      <c r="B4022" s="1" t="s">
        <v>30</v>
      </c>
      <c r="C4022" s="1" t="str">
        <f t="shared" si="84"/>
        <v>020044</v>
      </c>
      <c r="D4022" s="1" t="str">
        <f>"512417025"</f>
        <v>512417025</v>
      </c>
      <c r="E4022" s="1">
        <v>68.5</v>
      </c>
      <c r="F4022" s="1">
        <v>74.5</v>
      </c>
      <c r="H4022" s="1">
        <v>70.9</v>
      </c>
    </row>
    <row r="4023" s="1" customFormat="1" spans="1:8">
      <c r="A4023" s="1" t="s">
        <v>36</v>
      </c>
      <c r="B4023" s="1" t="s">
        <v>30</v>
      </c>
      <c r="C4023" s="1" t="str">
        <f t="shared" si="84"/>
        <v>020044</v>
      </c>
      <c r="D4023" s="1" t="str">
        <f>"512417026"</f>
        <v>512417026</v>
      </c>
      <c r="E4023" s="1">
        <v>73.5</v>
      </c>
      <c r="F4023" s="1">
        <v>63.5</v>
      </c>
      <c r="H4023" s="1">
        <v>69.5</v>
      </c>
    </row>
    <row r="4024" s="1" customFormat="1" spans="1:8">
      <c r="A4024" s="1" t="s">
        <v>36</v>
      </c>
      <c r="B4024" s="1" t="s">
        <v>30</v>
      </c>
      <c r="C4024" s="1" t="str">
        <f t="shared" si="84"/>
        <v>020044</v>
      </c>
      <c r="D4024" s="1" t="str">
        <f>"512417027"</f>
        <v>512417027</v>
      </c>
      <c r="E4024" s="1">
        <v>62</v>
      </c>
      <c r="F4024" s="1">
        <v>69.5</v>
      </c>
      <c r="H4024" s="1">
        <v>65</v>
      </c>
    </row>
    <row r="4025" s="1" customFormat="1" spans="1:8">
      <c r="A4025" s="1" t="s">
        <v>36</v>
      </c>
      <c r="B4025" s="1" t="s">
        <v>30</v>
      </c>
      <c r="C4025" s="1" t="str">
        <f t="shared" si="84"/>
        <v>020044</v>
      </c>
      <c r="D4025" s="1" t="str">
        <f>"512417028"</f>
        <v>512417028</v>
      </c>
      <c r="E4025" s="1">
        <v>85.5</v>
      </c>
      <c r="F4025" s="1">
        <v>80.5</v>
      </c>
      <c r="H4025" s="1">
        <v>83.5</v>
      </c>
    </row>
    <row r="4026" s="1" customFormat="1" spans="1:8">
      <c r="A4026" s="1" t="s">
        <v>36</v>
      </c>
      <c r="B4026" s="1" t="s">
        <v>30</v>
      </c>
      <c r="C4026" s="1" t="str">
        <f t="shared" si="84"/>
        <v>020044</v>
      </c>
      <c r="D4026" s="1" t="str">
        <f>"512417029"</f>
        <v>512417029</v>
      </c>
      <c r="E4026" s="1">
        <v>77</v>
      </c>
      <c r="F4026" s="1">
        <v>78</v>
      </c>
      <c r="H4026" s="1">
        <v>77.4</v>
      </c>
    </row>
    <row r="4027" s="1" customFormat="1" spans="1:8">
      <c r="A4027" s="1" t="s">
        <v>36</v>
      </c>
      <c r="B4027" s="1" t="s">
        <v>30</v>
      </c>
      <c r="C4027" s="1" t="str">
        <f t="shared" si="84"/>
        <v>020044</v>
      </c>
      <c r="D4027" s="1" t="str">
        <f>"512417030"</f>
        <v>512417030</v>
      </c>
      <c r="E4027" s="1">
        <v>68</v>
      </c>
      <c r="F4027" s="1">
        <v>59.5</v>
      </c>
      <c r="H4027" s="1">
        <v>64.6</v>
      </c>
    </row>
    <row r="4028" s="1" customFormat="1" spans="1:8">
      <c r="A4028" s="1" t="s">
        <v>36</v>
      </c>
      <c r="B4028" s="1" t="s">
        <v>30</v>
      </c>
      <c r="C4028" s="1" t="str">
        <f t="shared" si="84"/>
        <v>020044</v>
      </c>
      <c r="D4028" s="1" t="str">
        <f>"512417101"</f>
        <v>512417101</v>
      </c>
      <c r="E4028" s="1">
        <v>73.5</v>
      </c>
      <c r="F4028" s="1">
        <v>74.5</v>
      </c>
      <c r="H4028" s="1">
        <v>73.9</v>
      </c>
    </row>
    <row r="4029" s="1" customFormat="1" spans="1:8">
      <c r="A4029" s="1" t="s">
        <v>36</v>
      </c>
      <c r="B4029" s="1" t="s">
        <v>30</v>
      </c>
      <c r="C4029" s="1" t="str">
        <f t="shared" si="84"/>
        <v>020044</v>
      </c>
      <c r="D4029" s="1" t="str">
        <f>"512417102"</f>
        <v>512417102</v>
      </c>
      <c r="E4029" s="1">
        <v>79</v>
      </c>
      <c r="F4029" s="1">
        <v>66.5</v>
      </c>
      <c r="H4029" s="1">
        <v>74</v>
      </c>
    </row>
    <row r="4030" s="1" customFormat="1" spans="1:8">
      <c r="A4030" s="1" t="s">
        <v>36</v>
      </c>
      <c r="B4030" s="1" t="s">
        <v>30</v>
      </c>
      <c r="C4030" s="1" t="str">
        <f t="shared" si="84"/>
        <v>020044</v>
      </c>
      <c r="D4030" s="1" t="str">
        <f>"512417103"</f>
        <v>512417103</v>
      </c>
      <c r="E4030" s="1">
        <v>0</v>
      </c>
      <c r="F4030" s="1">
        <v>0</v>
      </c>
      <c r="H4030" s="1">
        <v>0</v>
      </c>
    </row>
    <row r="4031" s="1" customFormat="1" spans="1:8">
      <c r="A4031" s="1" t="s">
        <v>36</v>
      </c>
      <c r="B4031" s="1" t="s">
        <v>30</v>
      </c>
      <c r="C4031" s="1" t="str">
        <f t="shared" si="84"/>
        <v>020044</v>
      </c>
      <c r="D4031" s="1" t="str">
        <f>"512417104"</f>
        <v>512417104</v>
      </c>
      <c r="E4031" s="1">
        <v>0</v>
      </c>
      <c r="F4031" s="1">
        <v>0</v>
      </c>
      <c r="H4031" s="1">
        <v>0</v>
      </c>
    </row>
    <row r="4032" s="1" customFormat="1" spans="1:8">
      <c r="A4032" s="1" t="s">
        <v>36</v>
      </c>
      <c r="B4032" s="1" t="s">
        <v>30</v>
      </c>
      <c r="C4032" s="1" t="str">
        <f t="shared" si="84"/>
        <v>020044</v>
      </c>
      <c r="D4032" s="1" t="str">
        <f>"512417105"</f>
        <v>512417105</v>
      </c>
      <c r="E4032" s="1">
        <v>70</v>
      </c>
      <c r="F4032" s="1">
        <v>67.5</v>
      </c>
      <c r="H4032" s="1">
        <v>69</v>
      </c>
    </row>
    <row r="4033" s="1" customFormat="1" spans="1:8">
      <c r="A4033" s="1" t="s">
        <v>36</v>
      </c>
      <c r="B4033" s="1" t="s">
        <v>30</v>
      </c>
      <c r="C4033" s="1" t="str">
        <f t="shared" si="84"/>
        <v>020044</v>
      </c>
      <c r="D4033" s="1" t="str">
        <f>"512417106"</f>
        <v>512417106</v>
      </c>
      <c r="E4033" s="1">
        <v>71.5</v>
      </c>
      <c r="F4033" s="1">
        <v>79.5</v>
      </c>
      <c r="H4033" s="1">
        <v>74.7</v>
      </c>
    </row>
    <row r="4034" s="1" customFormat="1" spans="1:8">
      <c r="A4034" s="1" t="s">
        <v>36</v>
      </c>
      <c r="B4034" s="1" t="s">
        <v>30</v>
      </c>
      <c r="C4034" s="1" t="str">
        <f t="shared" si="84"/>
        <v>020044</v>
      </c>
      <c r="D4034" s="1" t="str">
        <f>"512417107"</f>
        <v>512417107</v>
      </c>
      <c r="E4034" s="1">
        <v>82</v>
      </c>
      <c r="F4034" s="1">
        <v>76.5</v>
      </c>
      <c r="H4034" s="1">
        <v>79.8</v>
      </c>
    </row>
    <row r="4035" s="1" customFormat="1" spans="1:8">
      <c r="A4035" s="1" t="s">
        <v>36</v>
      </c>
      <c r="B4035" s="1" t="s">
        <v>30</v>
      </c>
      <c r="C4035" s="1" t="str">
        <f t="shared" si="84"/>
        <v>020044</v>
      </c>
      <c r="D4035" s="1" t="str">
        <f>"512417108"</f>
        <v>512417108</v>
      </c>
      <c r="E4035" s="1">
        <v>74.5</v>
      </c>
      <c r="F4035" s="1">
        <v>69</v>
      </c>
      <c r="H4035" s="1">
        <v>72.3</v>
      </c>
    </row>
    <row r="4036" s="1" customFormat="1" spans="1:8">
      <c r="A4036" s="1" t="s">
        <v>36</v>
      </c>
      <c r="B4036" s="1" t="s">
        <v>30</v>
      </c>
      <c r="C4036" s="1" t="str">
        <f t="shared" si="84"/>
        <v>020044</v>
      </c>
      <c r="D4036" s="1" t="str">
        <f>"512417109"</f>
        <v>512417109</v>
      </c>
      <c r="E4036" s="1">
        <v>0</v>
      </c>
      <c r="F4036" s="1">
        <v>0</v>
      </c>
      <c r="H4036" s="1">
        <v>0</v>
      </c>
    </row>
    <row r="4037" s="1" customFormat="1" spans="1:8">
      <c r="A4037" s="1" t="s">
        <v>36</v>
      </c>
      <c r="B4037" s="1" t="s">
        <v>30</v>
      </c>
      <c r="C4037" s="1" t="str">
        <f t="shared" si="84"/>
        <v>020044</v>
      </c>
      <c r="D4037" s="1" t="str">
        <f>"512417110"</f>
        <v>512417110</v>
      </c>
      <c r="E4037" s="1">
        <v>0</v>
      </c>
      <c r="F4037" s="1">
        <v>0</v>
      </c>
      <c r="H4037" s="1">
        <v>0</v>
      </c>
    </row>
    <row r="4038" s="1" customFormat="1" spans="1:8">
      <c r="A4038" s="1" t="s">
        <v>36</v>
      </c>
      <c r="B4038" s="1" t="s">
        <v>30</v>
      </c>
      <c r="C4038" s="1" t="str">
        <f t="shared" si="84"/>
        <v>020044</v>
      </c>
      <c r="D4038" s="1" t="str">
        <f>"512417111"</f>
        <v>512417111</v>
      </c>
      <c r="E4038" s="1">
        <v>78</v>
      </c>
      <c r="F4038" s="1">
        <v>63.5</v>
      </c>
      <c r="H4038" s="1">
        <v>72.2</v>
      </c>
    </row>
    <row r="4039" s="1" customFormat="1" spans="1:8">
      <c r="A4039" s="1" t="s">
        <v>36</v>
      </c>
      <c r="B4039" s="1" t="s">
        <v>30</v>
      </c>
      <c r="C4039" s="1" t="str">
        <f t="shared" si="84"/>
        <v>020044</v>
      </c>
      <c r="D4039" s="1" t="str">
        <f>"512417112"</f>
        <v>512417112</v>
      </c>
      <c r="E4039" s="1">
        <v>59</v>
      </c>
      <c r="F4039" s="1">
        <v>71</v>
      </c>
      <c r="H4039" s="1">
        <v>63.8</v>
      </c>
    </row>
    <row r="4040" s="1" customFormat="1" spans="1:8">
      <c r="A4040" s="1" t="s">
        <v>36</v>
      </c>
      <c r="B4040" s="1" t="s">
        <v>30</v>
      </c>
      <c r="C4040" s="1" t="str">
        <f t="shared" si="84"/>
        <v>020044</v>
      </c>
      <c r="D4040" s="1" t="str">
        <f>"512417113"</f>
        <v>512417113</v>
      </c>
      <c r="E4040" s="1">
        <v>80</v>
      </c>
      <c r="F4040" s="1">
        <v>80</v>
      </c>
      <c r="H4040" s="1">
        <v>80</v>
      </c>
    </row>
    <row r="4041" s="1" customFormat="1" spans="1:8">
      <c r="A4041" s="1" t="s">
        <v>36</v>
      </c>
      <c r="B4041" s="1" t="s">
        <v>30</v>
      </c>
      <c r="C4041" s="1" t="str">
        <f t="shared" si="84"/>
        <v>020044</v>
      </c>
      <c r="D4041" s="1" t="str">
        <f>"512417114"</f>
        <v>512417114</v>
      </c>
      <c r="E4041" s="1">
        <v>71</v>
      </c>
      <c r="F4041" s="1">
        <v>55</v>
      </c>
      <c r="H4041" s="1">
        <v>64.6</v>
      </c>
    </row>
    <row r="4042" s="1" customFormat="1" spans="1:8">
      <c r="A4042" s="1" t="s">
        <v>37</v>
      </c>
      <c r="B4042" s="1" t="s">
        <v>35</v>
      </c>
      <c r="C4042" s="1" t="str">
        <f t="shared" ref="C4042:C4105" si="85">"020046"</f>
        <v>020046</v>
      </c>
      <c r="D4042" s="1" t="str">
        <f>"512417115"</f>
        <v>512417115</v>
      </c>
      <c r="E4042" s="1">
        <v>82</v>
      </c>
      <c r="F4042" s="1">
        <v>70</v>
      </c>
      <c r="H4042" s="1">
        <v>77.2</v>
      </c>
    </row>
    <row r="4043" s="1" customFormat="1" spans="1:8">
      <c r="A4043" s="1" t="s">
        <v>37</v>
      </c>
      <c r="B4043" s="1" t="s">
        <v>35</v>
      </c>
      <c r="C4043" s="1" t="str">
        <f t="shared" si="85"/>
        <v>020046</v>
      </c>
      <c r="D4043" s="1" t="str">
        <f>"512417116"</f>
        <v>512417116</v>
      </c>
      <c r="E4043" s="1">
        <v>0</v>
      </c>
      <c r="F4043" s="1">
        <v>0</v>
      </c>
      <c r="H4043" s="1">
        <v>0</v>
      </c>
    </row>
    <row r="4044" s="1" customFormat="1" spans="1:8">
      <c r="A4044" s="1" t="s">
        <v>37</v>
      </c>
      <c r="B4044" s="1" t="s">
        <v>35</v>
      </c>
      <c r="C4044" s="1" t="str">
        <f t="shared" si="85"/>
        <v>020046</v>
      </c>
      <c r="D4044" s="1" t="str">
        <f>"512417117"</f>
        <v>512417117</v>
      </c>
      <c r="E4044" s="1">
        <v>76.5</v>
      </c>
      <c r="F4044" s="1">
        <v>71.5</v>
      </c>
      <c r="H4044" s="1">
        <v>74.5</v>
      </c>
    </row>
    <row r="4045" s="1" customFormat="1" spans="1:8">
      <c r="A4045" s="1" t="s">
        <v>37</v>
      </c>
      <c r="B4045" s="1" t="s">
        <v>35</v>
      </c>
      <c r="C4045" s="1" t="str">
        <f t="shared" si="85"/>
        <v>020046</v>
      </c>
      <c r="D4045" s="1" t="str">
        <f>"512417118"</f>
        <v>512417118</v>
      </c>
      <c r="E4045" s="1">
        <v>0</v>
      </c>
      <c r="F4045" s="1">
        <v>0</v>
      </c>
      <c r="H4045" s="1">
        <v>0</v>
      </c>
    </row>
    <row r="4046" s="1" customFormat="1" spans="1:8">
      <c r="A4046" s="1" t="s">
        <v>37</v>
      </c>
      <c r="B4046" s="1" t="s">
        <v>35</v>
      </c>
      <c r="C4046" s="1" t="str">
        <f t="shared" si="85"/>
        <v>020046</v>
      </c>
      <c r="D4046" s="1" t="str">
        <f>"512417119"</f>
        <v>512417119</v>
      </c>
      <c r="E4046" s="1">
        <v>0</v>
      </c>
      <c r="F4046" s="1">
        <v>0</v>
      </c>
      <c r="H4046" s="1">
        <v>0</v>
      </c>
    </row>
    <row r="4047" s="1" customFormat="1" spans="1:8">
      <c r="A4047" s="1" t="s">
        <v>37</v>
      </c>
      <c r="B4047" s="1" t="s">
        <v>35</v>
      </c>
      <c r="C4047" s="1" t="str">
        <f t="shared" si="85"/>
        <v>020046</v>
      </c>
      <c r="D4047" s="1" t="str">
        <f>"512417120"</f>
        <v>512417120</v>
      </c>
      <c r="E4047" s="1">
        <v>74.5</v>
      </c>
      <c r="F4047" s="1">
        <v>78.5</v>
      </c>
      <c r="H4047" s="1">
        <v>76.1</v>
      </c>
    </row>
    <row r="4048" s="1" customFormat="1" spans="1:8">
      <c r="A4048" s="1" t="s">
        <v>37</v>
      </c>
      <c r="B4048" s="1" t="s">
        <v>35</v>
      </c>
      <c r="C4048" s="1" t="str">
        <f t="shared" si="85"/>
        <v>020046</v>
      </c>
      <c r="D4048" s="1" t="str">
        <f>"512417121"</f>
        <v>512417121</v>
      </c>
      <c r="E4048" s="1">
        <v>0</v>
      </c>
      <c r="F4048" s="1">
        <v>0</v>
      </c>
      <c r="H4048" s="1">
        <v>0</v>
      </c>
    </row>
    <row r="4049" s="1" customFormat="1" spans="1:8">
      <c r="A4049" s="1" t="s">
        <v>37</v>
      </c>
      <c r="B4049" s="1" t="s">
        <v>35</v>
      </c>
      <c r="C4049" s="1" t="str">
        <f t="shared" si="85"/>
        <v>020046</v>
      </c>
      <c r="D4049" s="1" t="str">
        <f>"512417122"</f>
        <v>512417122</v>
      </c>
      <c r="E4049" s="1">
        <v>75.5</v>
      </c>
      <c r="F4049" s="1">
        <v>65.5</v>
      </c>
      <c r="H4049" s="1">
        <v>71.5</v>
      </c>
    </row>
    <row r="4050" s="1" customFormat="1" spans="1:8">
      <c r="A4050" s="1" t="s">
        <v>37</v>
      </c>
      <c r="B4050" s="1" t="s">
        <v>35</v>
      </c>
      <c r="C4050" s="1" t="str">
        <f t="shared" si="85"/>
        <v>020046</v>
      </c>
      <c r="D4050" s="1" t="str">
        <f>"512417123"</f>
        <v>512417123</v>
      </c>
      <c r="E4050" s="1">
        <v>71</v>
      </c>
      <c r="F4050" s="1">
        <v>66.5</v>
      </c>
      <c r="H4050" s="1">
        <v>69.2</v>
      </c>
    </row>
    <row r="4051" s="1" customFormat="1" spans="1:8">
      <c r="A4051" s="1" t="s">
        <v>37</v>
      </c>
      <c r="B4051" s="1" t="s">
        <v>35</v>
      </c>
      <c r="C4051" s="1" t="str">
        <f t="shared" si="85"/>
        <v>020046</v>
      </c>
      <c r="D4051" s="1" t="str">
        <f>"512417124"</f>
        <v>512417124</v>
      </c>
      <c r="E4051" s="1">
        <v>73</v>
      </c>
      <c r="F4051" s="1">
        <v>66.5</v>
      </c>
      <c r="H4051" s="1">
        <v>70.4</v>
      </c>
    </row>
    <row r="4052" s="1" customFormat="1" spans="1:8">
      <c r="A4052" s="1" t="s">
        <v>37</v>
      </c>
      <c r="B4052" s="1" t="s">
        <v>35</v>
      </c>
      <c r="C4052" s="1" t="str">
        <f t="shared" si="85"/>
        <v>020046</v>
      </c>
      <c r="D4052" s="1" t="str">
        <f>"512417125"</f>
        <v>512417125</v>
      </c>
      <c r="E4052" s="1">
        <v>70</v>
      </c>
      <c r="F4052" s="1">
        <v>66</v>
      </c>
      <c r="H4052" s="1">
        <v>68.4</v>
      </c>
    </row>
    <row r="4053" s="1" customFormat="1" spans="1:8">
      <c r="A4053" s="1" t="s">
        <v>37</v>
      </c>
      <c r="B4053" s="1" t="s">
        <v>35</v>
      </c>
      <c r="C4053" s="1" t="str">
        <f t="shared" si="85"/>
        <v>020046</v>
      </c>
      <c r="D4053" s="1" t="str">
        <f>"512417126"</f>
        <v>512417126</v>
      </c>
      <c r="E4053" s="1">
        <v>71.5</v>
      </c>
      <c r="F4053" s="1">
        <v>58</v>
      </c>
      <c r="H4053" s="1">
        <v>66.1</v>
      </c>
    </row>
    <row r="4054" s="1" customFormat="1" spans="1:8">
      <c r="A4054" s="1" t="s">
        <v>37</v>
      </c>
      <c r="B4054" s="1" t="s">
        <v>35</v>
      </c>
      <c r="C4054" s="1" t="str">
        <f t="shared" si="85"/>
        <v>020046</v>
      </c>
      <c r="D4054" s="1" t="str">
        <f>"512417127"</f>
        <v>512417127</v>
      </c>
      <c r="E4054" s="1">
        <v>0</v>
      </c>
      <c r="F4054" s="1">
        <v>0</v>
      </c>
      <c r="H4054" s="1">
        <v>0</v>
      </c>
    </row>
    <row r="4055" s="1" customFormat="1" spans="1:8">
      <c r="A4055" s="1" t="s">
        <v>37</v>
      </c>
      <c r="B4055" s="1" t="s">
        <v>35</v>
      </c>
      <c r="C4055" s="1" t="str">
        <f t="shared" si="85"/>
        <v>020046</v>
      </c>
      <c r="D4055" s="1" t="str">
        <f>"512417128"</f>
        <v>512417128</v>
      </c>
      <c r="E4055" s="1">
        <v>70</v>
      </c>
      <c r="F4055" s="1">
        <v>57.5</v>
      </c>
      <c r="H4055" s="1">
        <v>65</v>
      </c>
    </row>
    <row r="4056" s="1" customFormat="1" spans="1:8">
      <c r="A4056" s="1" t="s">
        <v>37</v>
      </c>
      <c r="B4056" s="1" t="s">
        <v>35</v>
      </c>
      <c r="C4056" s="1" t="str">
        <f t="shared" si="85"/>
        <v>020046</v>
      </c>
      <c r="D4056" s="1" t="str">
        <f>"512417129"</f>
        <v>512417129</v>
      </c>
      <c r="E4056" s="1">
        <v>78.5</v>
      </c>
      <c r="F4056" s="1">
        <v>69.5</v>
      </c>
      <c r="H4056" s="1">
        <v>74.9</v>
      </c>
    </row>
    <row r="4057" s="1" customFormat="1" spans="1:8">
      <c r="A4057" s="1" t="s">
        <v>37</v>
      </c>
      <c r="B4057" s="1" t="s">
        <v>35</v>
      </c>
      <c r="C4057" s="1" t="str">
        <f t="shared" si="85"/>
        <v>020046</v>
      </c>
      <c r="D4057" s="1" t="str">
        <f>"512417130"</f>
        <v>512417130</v>
      </c>
      <c r="E4057" s="1">
        <v>85.5</v>
      </c>
      <c r="F4057" s="1">
        <v>68.5</v>
      </c>
      <c r="H4057" s="1">
        <v>78.7</v>
      </c>
    </row>
    <row r="4058" s="1" customFormat="1" spans="1:8">
      <c r="A4058" s="1" t="s">
        <v>37</v>
      </c>
      <c r="B4058" s="1" t="s">
        <v>35</v>
      </c>
      <c r="C4058" s="1" t="str">
        <f t="shared" si="85"/>
        <v>020046</v>
      </c>
      <c r="D4058" s="1" t="str">
        <f>"512417201"</f>
        <v>512417201</v>
      </c>
      <c r="E4058" s="1">
        <v>82.5</v>
      </c>
      <c r="F4058" s="1">
        <v>74</v>
      </c>
      <c r="H4058" s="1">
        <v>79.1</v>
      </c>
    </row>
    <row r="4059" s="1" customFormat="1" spans="1:8">
      <c r="A4059" s="1" t="s">
        <v>37</v>
      </c>
      <c r="B4059" s="1" t="s">
        <v>35</v>
      </c>
      <c r="C4059" s="1" t="str">
        <f t="shared" si="85"/>
        <v>020046</v>
      </c>
      <c r="D4059" s="1" t="str">
        <f>"512417202"</f>
        <v>512417202</v>
      </c>
      <c r="E4059" s="1">
        <v>79</v>
      </c>
      <c r="F4059" s="1">
        <v>78</v>
      </c>
      <c r="H4059" s="1">
        <v>78.6</v>
      </c>
    </row>
    <row r="4060" s="1" customFormat="1" spans="1:8">
      <c r="A4060" s="1" t="s">
        <v>37</v>
      </c>
      <c r="B4060" s="1" t="s">
        <v>35</v>
      </c>
      <c r="C4060" s="1" t="str">
        <f t="shared" si="85"/>
        <v>020046</v>
      </c>
      <c r="D4060" s="1" t="str">
        <f>"512417203"</f>
        <v>512417203</v>
      </c>
      <c r="E4060" s="1">
        <v>76.5</v>
      </c>
      <c r="F4060" s="1">
        <v>73</v>
      </c>
      <c r="H4060" s="1">
        <v>75.1</v>
      </c>
    </row>
    <row r="4061" s="1" customFormat="1" spans="1:8">
      <c r="A4061" s="1" t="s">
        <v>37</v>
      </c>
      <c r="B4061" s="1" t="s">
        <v>35</v>
      </c>
      <c r="C4061" s="1" t="str">
        <f t="shared" si="85"/>
        <v>020046</v>
      </c>
      <c r="D4061" s="1" t="str">
        <f>"512417204"</f>
        <v>512417204</v>
      </c>
      <c r="E4061" s="1">
        <v>76.5</v>
      </c>
      <c r="F4061" s="1">
        <v>70.5</v>
      </c>
      <c r="H4061" s="1">
        <v>74.1</v>
      </c>
    </row>
    <row r="4062" s="1" customFormat="1" spans="1:8">
      <c r="A4062" s="1" t="s">
        <v>37</v>
      </c>
      <c r="B4062" s="1" t="s">
        <v>35</v>
      </c>
      <c r="C4062" s="1" t="str">
        <f t="shared" si="85"/>
        <v>020046</v>
      </c>
      <c r="D4062" s="1" t="str">
        <f>"512417205"</f>
        <v>512417205</v>
      </c>
      <c r="E4062" s="1">
        <v>30</v>
      </c>
      <c r="F4062" s="1">
        <v>60.5</v>
      </c>
      <c r="H4062" s="1">
        <v>42.2</v>
      </c>
    </row>
    <row r="4063" s="1" customFormat="1" spans="1:8">
      <c r="A4063" s="1" t="s">
        <v>37</v>
      </c>
      <c r="B4063" s="1" t="s">
        <v>35</v>
      </c>
      <c r="C4063" s="1" t="str">
        <f t="shared" si="85"/>
        <v>020046</v>
      </c>
      <c r="D4063" s="1" t="str">
        <f>"512417206"</f>
        <v>512417206</v>
      </c>
      <c r="E4063" s="1">
        <v>0</v>
      </c>
      <c r="F4063" s="1">
        <v>0</v>
      </c>
      <c r="H4063" s="1">
        <v>0</v>
      </c>
    </row>
    <row r="4064" s="1" customFormat="1" spans="1:8">
      <c r="A4064" s="1" t="s">
        <v>37</v>
      </c>
      <c r="B4064" s="1" t="s">
        <v>35</v>
      </c>
      <c r="C4064" s="1" t="str">
        <f t="shared" si="85"/>
        <v>020046</v>
      </c>
      <c r="D4064" s="1" t="str">
        <f>"512417207"</f>
        <v>512417207</v>
      </c>
      <c r="E4064" s="1">
        <v>75</v>
      </c>
      <c r="F4064" s="1">
        <v>69.5</v>
      </c>
      <c r="H4064" s="1">
        <v>72.8</v>
      </c>
    </row>
    <row r="4065" s="1" customFormat="1" spans="1:8">
      <c r="A4065" s="1" t="s">
        <v>37</v>
      </c>
      <c r="B4065" s="1" t="s">
        <v>35</v>
      </c>
      <c r="C4065" s="1" t="str">
        <f t="shared" si="85"/>
        <v>020046</v>
      </c>
      <c r="D4065" s="1" t="str">
        <f>"512417208"</f>
        <v>512417208</v>
      </c>
      <c r="E4065" s="1">
        <v>79</v>
      </c>
      <c r="F4065" s="1">
        <v>76.5</v>
      </c>
      <c r="H4065" s="1">
        <v>78</v>
      </c>
    </row>
    <row r="4066" s="1" customFormat="1" spans="1:8">
      <c r="A4066" s="1" t="s">
        <v>37</v>
      </c>
      <c r="B4066" s="1" t="s">
        <v>35</v>
      </c>
      <c r="C4066" s="1" t="str">
        <f t="shared" si="85"/>
        <v>020046</v>
      </c>
      <c r="D4066" s="1" t="str">
        <f>"512417209"</f>
        <v>512417209</v>
      </c>
      <c r="E4066" s="1">
        <v>79.5</v>
      </c>
      <c r="F4066" s="1">
        <v>65.5</v>
      </c>
      <c r="H4066" s="1">
        <v>73.9</v>
      </c>
    </row>
    <row r="4067" s="1" customFormat="1" spans="1:8">
      <c r="A4067" s="1" t="s">
        <v>37</v>
      </c>
      <c r="B4067" s="1" t="s">
        <v>35</v>
      </c>
      <c r="C4067" s="1" t="str">
        <f t="shared" si="85"/>
        <v>020046</v>
      </c>
      <c r="D4067" s="1" t="str">
        <f>"512417210"</f>
        <v>512417210</v>
      </c>
      <c r="E4067" s="1">
        <v>70.5</v>
      </c>
      <c r="F4067" s="1">
        <v>67</v>
      </c>
      <c r="H4067" s="1">
        <v>69.1</v>
      </c>
    </row>
    <row r="4068" s="1" customFormat="1" spans="1:8">
      <c r="A4068" s="1" t="s">
        <v>37</v>
      </c>
      <c r="B4068" s="1" t="s">
        <v>35</v>
      </c>
      <c r="C4068" s="1" t="str">
        <f t="shared" si="85"/>
        <v>020046</v>
      </c>
      <c r="D4068" s="1" t="str">
        <f>"512417211"</f>
        <v>512417211</v>
      </c>
      <c r="E4068" s="1">
        <v>70</v>
      </c>
      <c r="F4068" s="1">
        <v>64.5</v>
      </c>
      <c r="H4068" s="1">
        <v>67.8</v>
      </c>
    </row>
    <row r="4069" s="1" customFormat="1" spans="1:8">
      <c r="A4069" s="1" t="s">
        <v>37</v>
      </c>
      <c r="B4069" s="1" t="s">
        <v>35</v>
      </c>
      <c r="C4069" s="1" t="str">
        <f t="shared" si="85"/>
        <v>020046</v>
      </c>
      <c r="D4069" s="1" t="str">
        <f>"512417212"</f>
        <v>512417212</v>
      </c>
      <c r="E4069" s="1">
        <v>85</v>
      </c>
      <c r="F4069" s="1">
        <v>74</v>
      </c>
      <c r="H4069" s="1">
        <v>80.6</v>
      </c>
    </row>
    <row r="4070" s="1" customFormat="1" spans="1:8">
      <c r="A4070" s="1" t="s">
        <v>37</v>
      </c>
      <c r="B4070" s="1" t="s">
        <v>35</v>
      </c>
      <c r="C4070" s="1" t="str">
        <f t="shared" si="85"/>
        <v>020046</v>
      </c>
      <c r="D4070" s="1" t="str">
        <f>"512417213"</f>
        <v>512417213</v>
      </c>
      <c r="E4070" s="1">
        <v>67.5</v>
      </c>
      <c r="F4070" s="1">
        <v>62.5</v>
      </c>
      <c r="H4070" s="1">
        <v>65.5</v>
      </c>
    </row>
    <row r="4071" s="1" customFormat="1" spans="1:8">
      <c r="A4071" s="1" t="s">
        <v>37</v>
      </c>
      <c r="B4071" s="1" t="s">
        <v>35</v>
      </c>
      <c r="C4071" s="1" t="str">
        <f t="shared" si="85"/>
        <v>020046</v>
      </c>
      <c r="D4071" s="1" t="str">
        <f>"512417214"</f>
        <v>512417214</v>
      </c>
      <c r="E4071" s="1">
        <v>78.5</v>
      </c>
      <c r="F4071" s="1">
        <v>78</v>
      </c>
      <c r="H4071" s="1">
        <v>78.3</v>
      </c>
    </row>
    <row r="4072" s="1" customFormat="1" spans="1:8">
      <c r="A4072" s="1" t="s">
        <v>37</v>
      </c>
      <c r="B4072" s="1" t="s">
        <v>35</v>
      </c>
      <c r="C4072" s="1" t="str">
        <f t="shared" si="85"/>
        <v>020046</v>
      </c>
      <c r="D4072" s="1" t="str">
        <f>"512417215"</f>
        <v>512417215</v>
      </c>
      <c r="E4072" s="1">
        <v>65</v>
      </c>
      <c r="F4072" s="1">
        <v>67.5</v>
      </c>
      <c r="H4072" s="1">
        <v>66</v>
      </c>
    </row>
    <row r="4073" s="1" customFormat="1" spans="1:8">
      <c r="A4073" s="1" t="s">
        <v>37</v>
      </c>
      <c r="B4073" s="1" t="s">
        <v>35</v>
      </c>
      <c r="C4073" s="1" t="str">
        <f t="shared" si="85"/>
        <v>020046</v>
      </c>
      <c r="D4073" s="1" t="str">
        <f>"512417216"</f>
        <v>512417216</v>
      </c>
      <c r="E4073" s="1">
        <v>0</v>
      </c>
      <c r="F4073" s="1">
        <v>0</v>
      </c>
      <c r="H4073" s="1">
        <v>0</v>
      </c>
    </row>
    <row r="4074" s="1" customFormat="1" spans="1:8">
      <c r="A4074" s="1" t="s">
        <v>37</v>
      </c>
      <c r="B4074" s="1" t="s">
        <v>35</v>
      </c>
      <c r="C4074" s="1" t="str">
        <f t="shared" si="85"/>
        <v>020046</v>
      </c>
      <c r="D4074" s="1" t="str">
        <f>"512417217"</f>
        <v>512417217</v>
      </c>
      <c r="E4074" s="1">
        <v>86</v>
      </c>
      <c r="F4074" s="1">
        <v>84</v>
      </c>
      <c r="H4074" s="1">
        <v>85.2</v>
      </c>
    </row>
    <row r="4075" s="1" customFormat="1" spans="1:8">
      <c r="A4075" s="1" t="s">
        <v>37</v>
      </c>
      <c r="B4075" s="1" t="s">
        <v>35</v>
      </c>
      <c r="C4075" s="1" t="str">
        <f t="shared" si="85"/>
        <v>020046</v>
      </c>
      <c r="D4075" s="1" t="str">
        <f>"512417218"</f>
        <v>512417218</v>
      </c>
      <c r="E4075" s="1">
        <v>0</v>
      </c>
      <c r="F4075" s="1">
        <v>0</v>
      </c>
      <c r="H4075" s="1">
        <v>0</v>
      </c>
    </row>
    <row r="4076" s="1" customFormat="1" spans="1:8">
      <c r="A4076" s="1" t="s">
        <v>37</v>
      </c>
      <c r="B4076" s="1" t="s">
        <v>35</v>
      </c>
      <c r="C4076" s="1" t="str">
        <f t="shared" si="85"/>
        <v>020046</v>
      </c>
      <c r="D4076" s="1" t="str">
        <f>"512417219"</f>
        <v>512417219</v>
      </c>
      <c r="E4076" s="1">
        <v>77.5</v>
      </c>
      <c r="F4076" s="1">
        <v>68</v>
      </c>
      <c r="H4076" s="1">
        <v>73.7</v>
      </c>
    </row>
    <row r="4077" s="1" customFormat="1" spans="1:8">
      <c r="A4077" s="1" t="s">
        <v>37</v>
      </c>
      <c r="B4077" s="1" t="s">
        <v>35</v>
      </c>
      <c r="C4077" s="1" t="str">
        <f t="shared" si="85"/>
        <v>020046</v>
      </c>
      <c r="D4077" s="1" t="str">
        <f>"512417220"</f>
        <v>512417220</v>
      </c>
      <c r="E4077" s="1">
        <v>82.5</v>
      </c>
      <c r="F4077" s="1">
        <v>80</v>
      </c>
      <c r="H4077" s="1">
        <v>81.5</v>
      </c>
    </row>
    <row r="4078" s="1" customFormat="1" spans="1:8">
      <c r="A4078" s="1" t="s">
        <v>37</v>
      </c>
      <c r="B4078" s="1" t="s">
        <v>35</v>
      </c>
      <c r="C4078" s="1" t="str">
        <f t="shared" si="85"/>
        <v>020046</v>
      </c>
      <c r="D4078" s="1" t="str">
        <f>"512417221"</f>
        <v>512417221</v>
      </c>
      <c r="E4078" s="1">
        <v>59</v>
      </c>
      <c r="F4078" s="1">
        <v>55</v>
      </c>
      <c r="H4078" s="1">
        <v>57.4</v>
      </c>
    </row>
    <row r="4079" s="1" customFormat="1" spans="1:8">
      <c r="A4079" s="1" t="s">
        <v>37</v>
      </c>
      <c r="B4079" s="1" t="s">
        <v>35</v>
      </c>
      <c r="C4079" s="1" t="str">
        <f t="shared" si="85"/>
        <v>020046</v>
      </c>
      <c r="D4079" s="1" t="str">
        <f>"512417222"</f>
        <v>512417222</v>
      </c>
      <c r="E4079" s="1">
        <v>70</v>
      </c>
      <c r="F4079" s="1">
        <v>70</v>
      </c>
      <c r="H4079" s="1">
        <v>70</v>
      </c>
    </row>
    <row r="4080" s="1" customFormat="1" spans="1:8">
      <c r="A4080" s="1" t="s">
        <v>37</v>
      </c>
      <c r="B4080" s="1" t="s">
        <v>35</v>
      </c>
      <c r="C4080" s="1" t="str">
        <f t="shared" si="85"/>
        <v>020046</v>
      </c>
      <c r="D4080" s="1" t="str">
        <f>"512417223"</f>
        <v>512417223</v>
      </c>
      <c r="E4080" s="1">
        <v>77</v>
      </c>
      <c r="F4080" s="1">
        <v>78.5</v>
      </c>
      <c r="H4080" s="1">
        <v>77.6</v>
      </c>
    </row>
    <row r="4081" s="1" customFormat="1" spans="1:8">
      <c r="A4081" s="1" t="s">
        <v>37</v>
      </c>
      <c r="B4081" s="1" t="s">
        <v>35</v>
      </c>
      <c r="C4081" s="1" t="str">
        <f t="shared" si="85"/>
        <v>020046</v>
      </c>
      <c r="D4081" s="1" t="str">
        <f>"512417224"</f>
        <v>512417224</v>
      </c>
      <c r="E4081" s="1">
        <v>0</v>
      </c>
      <c r="F4081" s="1">
        <v>0</v>
      </c>
      <c r="H4081" s="1">
        <v>0</v>
      </c>
    </row>
    <row r="4082" s="1" customFormat="1" spans="1:8">
      <c r="A4082" s="1" t="s">
        <v>37</v>
      </c>
      <c r="B4082" s="1" t="s">
        <v>35</v>
      </c>
      <c r="C4082" s="1" t="str">
        <f t="shared" si="85"/>
        <v>020046</v>
      </c>
      <c r="D4082" s="1" t="str">
        <f>"512417225"</f>
        <v>512417225</v>
      </c>
      <c r="E4082" s="1">
        <v>77.5</v>
      </c>
      <c r="F4082" s="1">
        <v>78.5</v>
      </c>
      <c r="H4082" s="1">
        <v>77.9</v>
      </c>
    </row>
    <row r="4083" s="1" customFormat="1" spans="1:8">
      <c r="A4083" s="1" t="s">
        <v>37</v>
      </c>
      <c r="B4083" s="1" t="s">
        <v>35</v>
      </c>
      <c r="C4083" s="1" t="str">
        <f t="shared" si="85"/>
        <v>020046</v>
      </c>
      <c r="D4083" s="1" t="str">
        <f>"512417226"</f>
        <v>512417226</v>
      </c>
      <c r="E4083" s="1">
        <v>73.5</v>
      </c>
      <c r="F4083" s="1">
        <v>76.5</v>
      </c>
      <c r="H4083" s="1">
        <v>74.7</v>
      </c>
    </row>
    <row r="4084" s="1" customFormat="1" spans="1:8">
      <c r="A4084" s="1" t="s">
        <v>37</v>
      </c>
      <c r="B4084" s="1" t="s">
        <v>35</v>
      </c>
      <c r="C4084" s="1" t="str">
        <f t="shared" si="85"/>
        <v>020046</v>
      </c>
      <c r="D4084" s="1" t="str">
        <f>"512417227"</f>
        <v>512417227</v>
      </c>
      <c r="E4084" s="1">
        <v>83</v>
      </c>
      <c r="F4084" s="1">
        <v>82</v>
      </c>
      <c r="H4084" s="1">
        <v>82.6</v>
      </c>
    </row>
    <row r="4085" s="1" customFormat="1" spans="1:8">
      <c r="A4085" s="1" t="s">
        <v>37</v>
      </c>
      <c r="B4085" s="1" t="s">
        <v>35</v>
      </c>
      <c r="C4085" s="1" t="str">
        <f t="shared" si="85"/>
        <v>020046</v>
      </c>
      <c r="D4085" s="1" t="str">
        <f>"512417228"</f>
        <v>512417228</v>
      </c>
      <c r="E4085" s="1">
        <v>70.5</v>
      </c>
      <c r="F4085" s="1">
        <v>78.5</v>
      </c>
      <c r="H4085" s="1">
        <v>73.7</v>
      </c>
    </row>
    <row r="4086" s="1" customFormat="1" spans="1:8">
      <c r="A4086" s="1" t="s">
        <v>37</v>
      </c>
      <c r="B4086" s="1" t="s">
        <v>35</v>
      </c>
      <c r="C4086" s="1" t="str">
        <f t="shared" si="85"/>
        <v>020046</v>
      </c>
      <c r="D4086" s="1" t="str">
        <f>"512417229"</f>
        <v>512417229</v>
      </c>
      <c r="E4086" s="1">
        <v>84</v>
      </c>
      <c r="F4086" s="1">
        <v>75.5</v>
      </c>
      <c r="H4086" s="1">
        <v>80.6</v>
      </c>
    </row>
    <row r="4087" s="1" customFormat="1" spans="1:8">
      <c r="A4087" s="1" t="s">
        <v>37</v>
      </c>
      <c r="B4087" s="1" t="s">
        <v>35</v>
      </c>
      <c r="C4087" s="1" t="str">
        <f t="shared" si="85"/>
        <v>020046</v>
      </c>
      <c r="D4087" s="1" t="str">
        <f>"512417230"</f>
        <v>512417230</v>
      </c>
      <c r="E4087" s="1">
        <v>63.5</v>
      </c>
      <c r="F4087" s="1">
        <v>77.5</v>
      </c>
      <c r="H4087" s="1">
        <v>69.1</v>
      </c>
    </row>
    <row r="4088" s="1" customFormat="1" spans="1:8">
      <c r="A4088" s="1" t="s">
        <v>37</v>
      </c>
      <c r="B4088" s="1" t="s">
        <v>35</v>
      </c>
      <c r="C4088" s="1" t="str">
        <f t="shared" si="85"/>
        <v>020046</v>
      </c>
      <c r="D4088" s="1" t="str">
        <f>"512417301"</f>
        <v>512417301</v>
      </c>
      <c r="E4088" s="1">
        <v>73.5</v>
      </c>
      <c r="F4088" s="1">
        <v>74</v>
      </c>
      <c r="H4088" s="1">
        <v>73.7</v>
      </c>
    </row>
    <row r="4089" s="1" customFormat="1" spans="1:8">
      <c r="A4089" s="1" t="s">
        <v>37</v>
      </c>
      <c r="B4089" s="1" t="s">
        <v>35</v>
      </c>
      <c r="C4089" s="1" t="str">
        <f t="shared" si="85"/>
        <v>020046</v>
      </c>
      <c r="D4089" s="1" t="str">
        <f>"512417302"</f>
        <v>512417302</v>
      </c>
      <c r="E4089" s="1">
        <v>67</v>
      </c>
      <c r="F4089" s="1">
        <v>72.5</v>
      </c>
      <c r="H4089" s="1">
        <v>69.2</v>
      </c>
    </row>
    <row r="4090" s="1" customFormat="1" spans="1:8">
      <c r="A4090" s="1" t="s">
        <v>37</v>
      </c>
      <c r="B4090" s="1" t="s">
        <v>35</v>
      </c>
      <c r="C4090" s="1" t="str">
        <f t="shared" si="85"/>
        <v>020046</v>
      </c>
      <c r="D4090" s="1" t="str">
        <f>"512417303"</f>
        <v>512417303</v>
      </c>
      <c r="E4090" s="1">
        <v>0</v>
      </c>
      <c r="F4090" s="1">
        <v>0</v>
      </c>
      <c r="H4090" s="1">
        <v>0</v>
      </c>
    </row>
    <row r="4091" s="1" customFormat="1" spans="1:8">
      <c r="A4091" s="1" t="s">
        <v>37</v>
      </c>
      <c r="B4091" s="1" t="s">
        <v>35</v>
      </c>
      <c r="C4091" s="1" t="str">
        <f t="shared" si="85"/>
        <v>020046</v>
      </c>
      <c r="D4091" s="1" t="str">
        <f>"512417304"</f>
        <v>512417304</v>
      </c>
      <c r="E4091" s="1">
        <v>75.5</v>
      </c>
      <c r="F4091" s="1">
        <v>81</v>
      </c>
      <c r="H4091" s="1">
        <v>77.7</v>
      </c>
    </row>
    <row r="4092" s="1" customFormat="1" spans="1:8">
      <c r="A4092" s="1" t="s">
        <v>37</v>
      </c>
      <c r="B4092" s="1" t="s">
        <v>35</v>
      </c>
      <c r="C4092" s="1" t="str">
        <f t="shared" si="85"/>
        <v>020046</v>
      </c>
      <c r="D4092" s="1" t="str">
        <f>"512417305"</f>
        <v>512417305</v>
      </c>
      <c r="E4092" s="1">
        <v>80.5</v>
      </c>
      <c r="F4092" s="1">
        <v>92</v>
      </c>
      <c r="H4092" s="1">
        <v>85.1</v>
      </c>
    </row>
    <row r="4093" s="1" customFormat="1" spans="1:8">
      <c r="A4093" s="1" t="s">
        <v>37</v>
      </c>
      <c r="B4093" s="1" t="s">
        <v>35</v>
      </c>
      <c r="C4093" s="1" t="str">
        <f t="shared" si="85"/>
        <v>020046</v>
      </c>
      <c r="D4093" s="1" t="str">
        <f>"512417306"</f>
        <v>512417306</v>
      </c>
      <c r="E4093" s="1">
        <v>90</v>
      </c>
      <c r="F4093" s="1">
        <v>82</v>
      </c>
      <c r="H4093" s="1">
        <v>86.8</v>
      </c>
    </row>
    <row r="4094" s="1" customFormat="1" spans="1:8">
      <c r="A4094" s="1" t="s">
        <v>37</v>
      </c>
      <c r="B4094" s="1" t="s">
        <v>35</v>
      </c>
      <c r="C4094" s="1" t="str">
        <f t="shared" si="85"/>
        <v>020046</v>
      </c>
      <c r="D4094" s="1" t="str">
        <f>"512417307"</f>
        <v>512417307</v>
      </c>
      <c r="E4094" s="1">
        <v>78.5</v>
      </c>
      <c r="F4094" s="1">
        <v>69.5</v>
      </c>
      <c r="H4094" s="1">
        <v>74.9</v>
      </c>
    </row>
    <row r="4095" s="1" customFormat="1" spans="1:8">
      <c r="A4095" s="1" t="s">
        <v>37</v>
      </c>
      <c r="B4095" s="1" t="s">
        <v>35</v>
      </c>
      <c r="C4095" s="1" t="str">
        <f t="shared" si="85"/>
        <v>020046</v>
      </c>
      <c r="D4095" s="1" t="str">
        <f>"512417308"</f>
        <v>512417308</v>
      </c>
      <c r="E4095" s="1">
        <v>81</v>
      </c>
      <c r="F4095" s="1">
        <v>78</v>
      </c>
      <c r="H4095" s="1">
        <v>79.8</v>
      </c>
    </row>
    <row r="4096" s="1" customFormat="1" spans="1:8">
      <c r="A4096" s="1" t="s">
        <v>37</v>
      </c>
      <c r="B4096" s="1" t="s">
        <v>35</v>
      </c>
      <c r="C4096" s="1" t="str">
        <f t="shared" si="85"/>
        <v>020046</v>
      </c>
      <c r="D4096" s="1" t="str">
        <f>"512417309"</f>
        <v>512417309</v>
      </c>
      <c r="E4096" s="1">
        <v>82</v>
      </c>
      <c r="F4096" s="1">
        <v>74.5</v>
      </c>
      <c r="H4096" s="1">
        <v>79</v>
      </c>
    </row>
    <row r="4097" s="1" customFormat="1" spans="1:8">
      <c r="A4097" s="1" t="s">
        <v>37</v>
      </c>
      <c r="B4097" s="1" t="s">
        <v>35</v>
      </c>
      <c r="C4097" s="1" t="str">
        <f t="shared" si="85"/>
        <v>020046</v>
      </c>
      <c r="D4097" s="1" t="str">
        <f>"512417310"</f>
        <v>512417310</v>
      </c>
      <c r="E4097" s="1">
        <v>89.5</v>
      </c>
      <c r="F4097" s="1">
        <v>85.5</v>
      </c>
      <c r="H4097" s="1">
        <v>87.9</v>
      </c>
    </row>
    <row r="4098" s="1" customFormat="1" spans="1:8">
      <c r="A4098" s="1" t="s">
        <v>37</v>
      </c>
      <c r="B4098" s="1" t="s">
        <v>35</v>
      </c>
      <c r="C4098" s="1" t="str">
        <f t="shared" si="85"/>
        <v>020046</v>
      </c>
      <c r="D4098" s="1" t="str">
        <f>"512417311"</f>
        <v>512417311</v>
      </c>
      <c r="E4098" s="1">
        <v>74</v>
      </c>
      <c r="F4098" s="1">
        <v>85.5</v>
      </c>
      <c r="H4098" s="1">
        <v>78.6</v>
      </c>
    </row>
    <row r="4099" s="1" customFormat="1" spans="1:8">
      <c r="A4099" s="1" t="s">
        <v>37</v>
      </c>
      <c r="B4099" s="1" t="s">
        <v>35</v>
      </c>
      <c r="C4099" s="1" t="str">
        <f t="shared" si="85"/>
        <v>020046</v>
      </c>
      <c r="D4099" s="1" t="str">
        <f>"512417312"</f>
        <v>512417312</v>
      </c>
      <c r="E4099" s="1">
        <v>72</v>
      </c>
      <c r="F4099" s="1">
        <v>68</v>
      </c>
      <c r="H4099" s="1">
        <v>70.4</v>
      </c>
    </row>
    <row r="4100" s="1" customFormat="1" spans="1:8">
      <c r="A4100" s="1" t="s">
        <v>37</v>
      </c>
      <c r="B4100" s="1" t="s">
        <v>35</v>
      </c>
      <c r="C4100" s="1" t="str">
        <f t="shared" si="85"/>
        <v>020046</v>
      </c>
      <c r="D4100" s="1" t="str">
        <f>"512417313"</f>
        <v>512417313</v>
      </c>
      <c r="E4100" s="1">
        <v>72.5</v>
      </c>
      <c r="F4100" s="1">
        <v>71.5</v>
      </c>
      <c r="H4100" s="1">
        <v>72.1</v>
      </c>
    </row>
    <row r="4101" s="1" customFormat="1" spans="1:8">
      <c r="A4101" s="1" t="s">
        <v>37</v>
      </c>
      <c r="B4101" s="1" t="s">
        <v>35</v>
      </c>
      <c r="C4101" s="1" t="str">
        <f t="shared" si="85"/>
        <v>020046</v>
      </c>
      <c r="D4101" s="1" t="str">
        <f>"512417314"</f>
        <v>512417314</v>
      </c>
      <c r="E4101" s="1">
        <v>74</v>
      </c>
      <c r="F4101" s="1">
        <v>61.5</v>
      </c>
      <c r="H4101" s="1">
        <v>69</v>
      </c>
    </row>
    <row r="4102" s="1" customFormat="1" spans="1:8">
      <c r="A4102" s="1" t="s">
        <v>37</v>
      </c>
      <c r="B4102" s="1" t="s">
        <v>35</v>
      </c>
      <c r="C4102" s="1" t="str">
        <f t="shared" si="85"/>
        <v>020046</v>
      </c>
      <c r="D4102" s="1" t="str">
        <f>"512417315"</f>
        <v>512417315</v>
      </c>
      <c r="E4102" s="1">
        <v>0</v>
      </c>
      <c r="F4102" s="1">
        <v>0</v>
      </c>
      <c r="H4102" s="1">
        <v>0</v>
      </c>
    </row>
    <row r="4103" s="1" customFormat="1" spans="1:8">
      <c r="A4103" s="1" t="s">
        <v>37</v>
      </c>
      <c r="B4103" s="1" t="s">
        <v>35</v>
      </c>
      <c r="C4103" s="1" t="str">
        <f t="shared" si="85"/>
        <v>020046</v>
      </c>
      <c r="D4103" s="1" t="str">
        <f>"512417316"</f>
        <v>512417316</v>
      </c>
      <c r="E4103" s="1">
        <v>69</v>
      </c>
      <c r="F4103" s="1">
        <v>78</v>
      </c>
      <c r="H4103" s="1">
        <v>72.6</v>
      </c>
    </row>
    <row r="4104" s="1" customFormat="1" spans="1:8">
      <c r="A4104" s="1" t="s">
        <v>37</v>
      </c>
      <c r="B4104" s="1" t="s">
        <v>35</v>
      </c>
      <c r="C4104" s="1" t="str">
        <f t="shared" si="85"/>
        <v>020046</v>
      </c>
      <c r="D4104" s="1" t="str">
        <f>"512417317"</f>
        <v>512417317</v>
      </c>
      <c r="E4104" s="1">
        <v>0</v>
      </c>
      <c r="F4104" s="1">
        <v>0</v>
      </c>
      <c r="H4104" s="1">
        <v>0</v>
      </c>
    </row>
    <row r="4105" s="1" customFormat="1" spans="1:8">
      <c r="A4105" s="1" t="s">
        <v>37</v>
      </c>
      <c r="B4105" s="1" t="s">
        <v>35</v>
      </c>
      <c r="C4105" s="1" t="str">
        <f t="shared" si="85"/>
        <v>020046</v>
      </c>
      <c r="D4105" s="1" t="str">
        <f>"512417318"</f>
        <v>512417318</v>
      </c>
      <c r="E4105" s="1">
        <v>67.5</v>
      </c>
      <c r="F4105" s="1">
        <v>69.5</v>
      </c>
      <c r="H4105" s="1">
        <v>68.3</v>
      </c>
    </row>
    <row r="4106" s="1" customFormat="1" spans="1:8">
      <c r="A4106" s="1" t="s">
        <v>37</v>
      </c>
      <c r="B4106" s="1" t="s">
        <v>35</v>
      </c>
      <c r="C4106" s="1" t="str">
        <f t="shared" ref="C4106:C4113" si="86">"020046"</f>
        <v>020046</v>
      </c>
      <c r="D4106" s="1" t="str">
        <f>"512417319"</f>
        <v>512417319</v>
      </c>
      <c r="E4106" s="1">
        <v>0</v>
      </c>
      <c r="F4106" s="1">
        <v>0</v>
      </c>
      <c r="H4106" s="1">
        <v>0</v>
      </c>
    </row>
    <row r="4107" s="1" customFormat="1" spans="1:8">
      <c r="A4107" s="1" t="s">
        <v>37</v>
      </c>
      <c r="B4107" s="1" t="s">
        <v>35</v>
      </c>
      <c r="C4107" s="1" t="str">
        <f t="shared" si="86"/>
        <v>020046</v>
      </c>
      <c r="D4107" s="1" t="str">
        <f>"512417320"</f>
        <v>512417320</v>
      </c>
      <c r="E4107" s="1">
        <v>0</v>
      </c>
      <c r="F4107" s="1">
        <v>0</v>
      </c>
      <c r="H4107" s="1">
        <v>0</v>
      </c>
    </row>
    <row r="4108" s="1" customFormat="1" spans="1:8">
      <c r="A4108" s="1" t="s">
        <v>37</v>
      </c>
      <c r="B4108" s="1" t="s">
        <v>35</v>
      </c>
      <c r="C4108" s="1" t="str">
        <f t="shared" si="86"/>
        <v>020046</v>
      </c>
      <c r="D4108" s="1" t="str">
        <f>"512417321"</f>
        <v>512417321</v>
      </c>
      <c r="E4108" s="1">
        <v>70</v>
      </c>
      <c r="F4108" s="1">
        <v>86.5</v>
      </c>
      <c r="H4108" s="1">
        <v>76.6</v>
      </c>
    </row>
    <row r="4109" s="1" customFormat="1" spans="1:8">
      <c r="A4109" s="1" t="s">
        <v>37</v>
      </c>
      <c r="B4109" s="1" t="s">
        <v>35</v>
      </c>
      <c r="C4109" s="1" t="str">
        <f t="shared" si="86"/>
        <v>020046</v>
      </c>
      <c r="D4109" s="1" t="str">
        <f>"512417322"</f>
        <v>512417322</v>
      </c>
      <c r="E4109" s="1">
        <v>74.5</v>
      </c>
      <c r="F4109" s="1">
        <v>83.5</v>
      </c>
      <c r="H4109" s="1">
        <v>78.1</v>
      </c>
    </row>
    <row r="4110" s="1" customFormat="1" spans="1:8">
      <c r="A4110" s="1" t="s">
        <v>37</v>
      </c>
      <c r="B4110" s="1" t="s">
        <v>35</v>
      </c>
      <c r="C4110" s="1" t="str">
        <f t="shared" si="86"/>
        <v>020046</v>
      </c>
      <c r="D4110" s="1" t="str">
        <f>"512417323"</f>
        <v>512417323</v>
      </c>
      <c r="E4110" s="1">
        <v>70.5</v>
      </c>
      <c r="F4110" s="1">
        <v>46</v>
      </c>
      <c r="H4110" s="1">
        <v>60.7</v>
      </c>
    </row>
    <row r="4111" s="1" customFormat="1" spans="1:8">
      <c r="A4111" s="1" t="s">
        <v>37</v>
      </c>
      <c r="B4111" s="1" t="s">
        <v>35</v>
      </c>
      <c r="C4111" s="1" t="str">
        <f t="shared" si="86"/>
        <v>020046</v>
      </c>
      <c r="D4111" s="1" t="str">
        <f>"512417324"</f>
        <v>512417324</v>
      </c>
      <c r="E4111" s="1">
        <v>77.5</v>
      </c>
      <c r="F4111" s="1">
        <v>82</v>
      </c>
      <c r="H4111" s="1">
        <v>79.3</v>
      </c>
    </row>
    <row r="4112" s="1" customFormat="1" spans="1:8">
      <c r="A4112" s="1" t="s">
        <v>37</v>
      </c>
      <c r="B4112" s="1" t="s">
        <v>35</v>
      </c>
      <c r="C4112" s="1" t="str">
        <f t="shared" si="86"/>
        <v>020046</v>
      </c>
      <c r="D4112" s="1" t="str">
        <f>"512417325"</f>
        <v>512417325</v>
      </c>
      <c r="E4112" s="1">
        <v>75.5</v>
      </c>
      <c r="F4112" s="1">
        <v>89</v>
      </c>
      <c r="H4112" s="1">
        <v>80.9</v>
      </c>
    </row>
    <row r="4113" s="1" customFormat="1" spans="1:8">
      <c r="A4113" s="1" t="s">
        <v>37</v>
      </c>
      <c r="B4113" s="1" t="s">
        <v>35</v>
      </c>
      <c r="C4113" s="1" t="str">
        <f t="shared" si="86"/>
        <v>020046</v>
      </c>
      <c r="D4113" s="1" t="str">
        <f>"512417326"</f>
        <v>512417326</v>
      </c>
      <c r="E4113" s="1">
        <v>85.5</v>
      </c>
      <c r="F4113" s="1">
        <v>74.5</v>
      </c>
      <c r="H4113" s="1">
        <v>81.1</v>
      </c>
    </row>
    <row r="4114" s="1" customFormat="1" spans="1:8">
      <c r="A4114" s="1" t="s">
        <v>38</v>
      </c>
      <c r="B4114" s="1" t="s">
        <v>35</v>
      </c>
      <c r="C4114" s="1" t="str">
        <f t="shared" ref="C4114:C4125" si="87">"020054"</f>
        <v>020054</v>
      </c>
      <c r="D4114" s="1" t="str">
        <f>"512417327"</f>
        <v>512417327</v>
      </c>
      <c r="E4114" s="1">
        <v>0</v>
      </c>
      <c r="F4114" s="1">
        <v>0</v>
      </c>
      <c r="H4114" s="1">
        <v>0</v>
      </c>
    </row>
    <row r="4115" s="1" customFormat="1" spans="1:8">
      <c r="A4115" s="1" t="s">
        <v>38</v>
      </c>
      <c r="B4115" s="1" t="s">
        <v>35</v>
      </c>
      <c r="C4115" s="1" t="str">
        <f t="shared" si="87"/>
        <v>020054</v>
      </c>
      <c r="D4115" s="1" t="str">
        <f>"512417328"</f>
        <v>512417328</v>
      </c>
      <c r="E4115" s="1">
        <v>0</v>
      </c>
      <c r="F4115" s="1">
        <v>0</v>
      </c>
      <c r="H4115" s="1">
        <v>0</v>
      </c>
    </row>
    <row r="4116" s="1" customFormat="1" spans="1:8">
      <c r="A4116" s="1" t="s">
        <v>38</v>
      </c>
      <c r="B4116" s="1" t="s">
        <v>35</v>
      </c>
      <c r="C4116" s="1" t="str">
        <f t="shared" si="87"/>
        <v>020054</v>
      </c>
      <c r="D4116" s="1" t="str">
        <f>"512417329"</f>
        <v>512417329</v>
      </c>
      <c r="E4116" s="1">
        <v>79</v>
      </c>
      <c r="F4116" s="1">
        <v>81.5</v>
      </c>
      <c r="H4116" s="1">
        <v>80</v>
      </c>
    </row>
    <row r="4117" s="1" customFormat="1" spans="1:8">
      <c r="A4117" s="1" t="s">
        <v>38</v>
      </c>
      <c r="B4117" s="1" t="s">
        <v>35</v>
      </c>
      <c r="C4117" s="1" t="str">
        <f t="shared" si="87"/>
        <v>020054</v>
      </c>
      <c r="D4117" s="1" t="str">
        <f>"512417330"</f>
        <v>512417330</v>
      </c>
      <c r="E4117" s="1">
        <v>77.5</v>
      </c>
      <c r="F4117" s="1">
        <v>75.5</v>
      </c>
      <c r="G4117" s="1">
        <v>2</v>
      </c>
      <c r="H4117" s="1">
        <v>78.7</v>
      </c>
    </row>
    <row r="4118" s="1" customFormat="1" spans="1:8">
      <c r="A4118" s="1" t="s">
        <v>38</v>
      </c>
      <c r="B4118" s="1" t="s">
        <v>35</v>
      </c>
      <c r="C4118" s="1" t="str">
        <f t="shared" si="87"/>
        <v>020054</v>
      </c>
      <c r="D4118" s="1" t="str">
        <f>"512417401"</f>
        <v>512417401</v>
      </c>
      <c r="E4118" s="1">
        <v>75.5</v>
      </c>
      <c r="F4118" s="1">
        <v>75.5</v>
      </c>
      <c r="H4118" s="1">
        <v>75.5</v>
      </c>
    </row>
    <row r="4119" s="1" customFormat="1" spans="1:8">
      <c r="A4119" s="1" t="s">
        <v>38</v>
      </c>
      <c r="B4119" s="1" t="s">
        <v>35</v>
      </c>
      <c r="C4119" s="1" t="str">
        <f t="shared" si="87"/>
        <v>020054</v>
      </c>
      <c r="D4119" s="1" t="str">
        <f>"512417402"</f>
        <v>512417402</v>
      </c>
      <c r="E4119" s="1">
        <v>0</v>
      </c>
      <c r="F4119" s="1">
        <v>0</v>
      </c>
      <c r="H4119" s="1">
        <v>0</v>
      </c>
    </row>
    <row r="4120" s="1" customFormat="1" spans="1:8">
      <c r="A4120" s="1" t="s">
        <v>38</v>
      </c>
      <c r="B4120" s="1" t="s">
        <v>35</v>
      </c>
      <c r="C4120" s="1" t="str">
        <f t="shared" si="87"/>
        <v>020054</v>
      </c>
      <c r="D4120" s="1" t="str">
        <f>"512417403"</f>
        <v>512417403</v>
      </c>
      <c r="E4120" s="1">
        <v>67.5</v>
      </c>
      <c r="F4120" s="1">
        <v>74</v>
      </c>
      <c r="H4120" s="1">
        <v>70.1</v>
      </c>
    </row>
    <row r="4121" s="1" customFormat="1" spans="1:8">
      <c r="A4121" s="1" t="s">
        <v>38</v>
      </c>
      <c r="B4121" s="1" t="s">
        <v>35</v>
      </c>
      <c r="C4121" s="1" t="str">
        <f t="shared" si="87"/>
        <v>020054</v>
      </c>
      <c r="D4121" s="1" t="str">
        <f>"512417404"</f>
        <v>512417404</v>
      </c>
      <c r="E4121" s="1">
        <v>71.5</v>
      </c>
      <c r="F4121" s="1">
        <v>78.5</v>
      </c>
      <c r="H4121" s="1">
        <v>74.3</v>
      </c>
    </row>
    <row r="4122" s="1" customFormat="1" spans="1:8">
      <c r="A4122" s="1" t="s">
        <v>38</v>
      </c>
      <c r="B4122" s="1" t="s">
        <v>35</v>
      </c>
      <c r="C4122" s="1" t="str">
        <f t="shared" si="87"/>
        <v>020054</v>
      </c>
      <c r="D4122" s="1" t="str">
        <f>"512417405"</f>
        <v>512417405</v>
      </c>
      <c r="E4122" s="1">
        <v>0</v>
      </c>
      <c r="F4122" s="1">
        <v>0</v>
      </c>
      <c r="H4122" s="1">
        <v>0</v>
      </c>
    </row>
    <row r="4123" s="1" customFormat="1" spans="1:8">
      <c r="A4123" s="1" t="s">
        <v>38</v>
      </c>
      <c r="B4123" s="1" t="s">
        <v>35</v>
      </c>
      <c r="C4123" s="1" t="str">
        <f t="shared" si="87"/>
        <v>020054</v>
      </c>
      <c r="D4123" s="1" t="str">
        <f>"512417406"</f>
        <v>512417406</v>
      </c>
      <c r="E4123" s="1">
        <v>70.5</v>
      </c>
      <c r="F4123" s="1">
        <v>65</v>
      </c>
      <c r="H4123" s="1">
        <v>68.3</v>
      </c>
    </row>
    <row r="4124" s="1" customFormat="1" spans="1:8">
      <c r="A4124" s="1" t="s">
        <v>38</v>
      </c>
      <c r="B4124" s="1" t="s">
        <v>35</v>
      </c>
      <c r="C4124" s="1" t="str">
        <f t="shared" si="87"/>
        <v>020054</v>
      </c>
      <c r="D4124" s="1" t="str">
        <f>"512417407"</f>
        <v>512417407</v>
      </c>
      <c r="E4124" s="1">
        <v>55.5</v>
      </c>
      <c r="F4124" s="1">
        <v>65.5</v>
      </c>
      <c r="H4124" s="1">
        <v>59.5</v>
      </c>
    </row>
    <row r="4125" s="1" customFormat="1" spans="1:8">
      <c r="A4125" s="1" t="s">
        <v>38</v>
      </c>
      <c r="B4125" s="1" t="s">
        <v>35</v>
      </c>
      <c r="C4125" s="1" t="str">
        <f t="shared" si="87"/>
        <v>020054</v>
      </c>
      <c r="D4125" s="1" t="str">
        <f>"512417408"</f>
        <v>512417408</v>
      </c>
      <c r="E4125" s="1">
        <v>80.5</v>
      </c>
      <c r="F4125" s="1">
        <v>81.5</v>
      </c>
      <c r="H4125" s="1">
        <v>80.9</v>
      </c>
    </row>
    <row r="4126" s="1" customFormat="1" spans="1:8">
      <c r="A4126" s="1" t="s">
        <v>39</v>
      </c>
      <c r="B4126" s="1" t="s">
        <v>40</v>
      </c>
      <c r="C4126" s="1" t="str">
        <f t="shared" ref="C4126:C4139" si="88">"020002"</f>
        <v>020002</v>
      </c>
      <c r="D4126" s="1" t="str">
        <f>"512419801"</f>
        <v>512419801</v>
      </c>
      <c r="E4126" s="1">
        <v>89.5</v>
      </c>
      <c r="F4126" s="1">
        <v>67.5</v>
      </c>
      <c r="H4126" s="1">
        <v>80.7</v>
      </c>
    </row>
    <row r="4127" s="1" customFormat="1" spans="1:8">
      <c r="A4127" s="1" t="s">
        <v>39</v>
      </c>
      <c r="B4127" s="1" t="s">
        <v>40</v>
      </c>
      <c r="C4127" s="1" t="str">
        <f t="shared" si="88"/>
        <v>020002</v>
      </c>
      <c r="D4127" s="1" t="str">
        <f>"512419802"</f>
        <v>512419802</v>
      </c>
      <c r="E4127" s="1">
        <v>95</v>
      </c>
      <c r="F4127" s="1">
        <v>59</v>
      </c>
      <c r="H4127" s="1">
        <v>80.6</v>
      </c>
    </row>
    <row r="4128" s="1" customFormat="1" spans="1:8">
      <c r="A4128" s="1" t="s">
        <v>39</v>
      </c>
      <c r="B4128" s="1" t="s">
        <v>40</v>
      </c>
      <c r="C4128" s="1" t="str">
        <f t="shared" si="88"/>
        <v>020002</v>
      </c>
      <c r="D4128" s="1" t="str">
        <f>"512419803"</f>
        <v>512419803</v>
      </c>
      <c r="E4128" s="1">
        <v>79.5</v>
      </c>
      <c r="F4128" s="1">
        <v>74.5</v>
      </c>
      <c r="H4128" s="1">
        <v>77.5</v>
      </c>
    </row>
    <row r="4129" s="1" customFormat="1" spans="1:8">
      <c r="A4129" s="1" t="s">
        <v>39</v>
      </c>
      <c r="B4129" s="1" t="s">
        <v>40</v>
      </c>
      <c r="C4129" s="1" t="str">
        <f t="shared" si="88"/>
        <v>020002</v>
      </c>
      <c r="D4129" s="1" t="str">
        <f>"512419804"</f>
        <v>512419804</v>
      </c>
      <c r="E4129" s="1">
        <v>0</v>
      </c>
      <c r="F4129" s="1">
        <v>0</v>
      </c>
      <c r="H4129" s="1">
        <v>0</v>
      </c>
    </row>
    <row r="4130" s="1" customFormat="1" spans="1:8">
      <c r="A4130" s="1" t="s">
        <v>39</v>
      </c>
      <c r="B4130" s="1" t="s">
        <v>40</v>
      </c>
      <c r="C4130" s="1" t="str">
        <f t="shared" si="88"/>
        <v>020002</v>
      </c>
      <c r="D4130" s="1" t="str">
        <f>"512419805"</f>
        <v>512419805</v>
      </c>
      <c r="E4130" s="1">
        <v>59</v>
      </c>
      <c r="F4130" s="1">
        <v>55.5</v>
      </c>
      <c r="H4130" s="1">
        <v>57.6</v>
      </c>
    </row>
    <row r="4131" s="1" customFormat="1" spans="1:8">
      <c r="A4131" s="1" t="s">
        <v>39</v>
      </c>
      <c r="B4131" s="1" t="s">
        <v>40</v>
      </c>
      <c r="C4131" s="1" t="str">
        <f t="shared" si="88"/>
        <v>020002</v>
      </c>
      <c r="D4131" s="1" t="str">
        <f>"512419806"</f>
        <v>512419806</v>
      </c>
      <c r="E4131" s="1">
        <v>71.5</v>
      </c>
      <c r="F4131" s="1">
        <v>72.5</v>
      </c>
      <c r="H4131" s="1">
        <v>71.9</v>
      </c>
    </row>
    <row r="4132" s="1" customFormat="1" spans="1:8">
      <c r="A4132" s="1" t="s">
        <v>39</v>
      </c>
      <c r="B4132" s="1" t="s">
        <v>40</v>
      </c>
      <c r="C4132" s="1" t="str">
        <f t="shared" si="88"/>
        <v>020002</v>
      </c>
      <c r="D4132" s="1" t="str">
        <f>"512419807"</f>
        <v>512419807</v>
      </c>
      <c r="E4132" s="1">
        <v>71.5</v>
      </c>
      <c r="F4132" s="1">
        <v>55</v>
      </c>
      <c r="H4132" s="1">
        <v>64.9</v>
      </c>
    </row>
    <row r="4133" s="1" customFormat="1" spans="1:8">
      <c r="A4133" s="1" t="s">
        <v>39</v>
      </c>
      <c r="B4133" s="1" t="s">
        <v>40</v>
      </c>
      <c r="C4133" s="1" t="str">
        <f t="shared" si="88"/>
        <v>020002</v>
      </c>
      <c r="D4133" s="1" t="str">
        <f>"512419808"</f>
        <v>512419808</v>
      </c>
      <c r="E4133" s="1">
        <v>84</v>
      </c>
      <c r="F4133" s="1">
        <v>65</v>
      </c>
      <c r="H4133" s="1">
        <v>76.4</v>
      </c>
    </row>
    <row r="4134" s="1" customFormat="1" spans="1:8">
      <c r="A4134" s="1" t="s">
        <v>39</v>
      </c>
      <c r="B4134" s="1" t="s">
        <v>40</v>
      </c>
      <c r="C4134" s="1" t="str">
        <f t="shared" si="88"/>
        <v>020002</v>
      </c>
      <c r="D4134" s="1" t="str">
        <f>"512419809"</f>
        <v>512419809</v>
      </c>
      <c r="E4134" s="1">
        <v>0</v>
      </c>
      <c r="F4134" s="1">
        <v>0</v>
      </c>
      <c r="H4134" s="1">
        <v>0</v>
      </c>
    </row>
    <row r="4135" s="1" customFormat="1" spans="1:8">
      <c r="A4135" s="1" t="s">
        <v>39</v>
      </c>
      <c r="B4135" s="1" t="s">
        <v>40</v>
      </c>
      <c r="C4135" s="1" t="str">
        <f t="shared" si="88"/>
        <v>020002</v>
      </c>
      <c r="D4135" s="1" t="str">
        <f>"512419810"</f>
        <v>512419810</v>
      </c>
      <c r="E4135" s="1">
        <v>94</v>
      </c>
      <c r="F4135" s="1">
        <v>66.5</v>
      </c>
      <c r="H4135" s="1">
        <v>83</v>
      </c>
    </row>
    <row r="4136" s="1" customFormat="1" spans="1:8">
      <c r="A4136" s="1" t="s">
        <v>39</v>
      </c>
      <c r="B4136" s="1" t="s">
        <v>40</v>
      </c>
      <c r="C4136" s="1" t="str">
        <f t="shared" si="88"/>
        <v>020002</v>
      </c>
      <c r="D4136" s="1" t="str">
        <f>"512419811"</f>
        <v>512419811</v>
      </c>
      <c r="E4136" s="1">
        <v>0</v>
      </c>
      <c r="F4136" s="1">
        <v>0</v>
      </c>
      <c r="H4136" s="1">
        <v>0</v>
      </c>
    </row>
    <row r="4137" s="1" customFormat="1" spans="1:8">
      <c r="A4137" s="1" t="s">
        <v>39</v>
      </c>
      <c r="B4137" s="1" t="s">
        <v>40</v>
      </c>
      <c r="C4137" s="1" t="str">
        <f t="shared" si="88"/>
        <v>020002</v>
      </c>
      <c r="D4137" s="1" t="str">
        <f>"512419812"</f>
        <v>512419812</v>
      </c>
      <c r="E4137" s="1">
        <v>53.5</v>
      </c>
      <c r="F4137" s="1">
        <v>64</v>
      </c>
      <c r="H4137" s="1">
        <v>57.7</v>
      </c>
    </row>
    <row r="4138" s="1" customFormat="1" spans="1:8">
      <c r="A4138" s="1" t="s">
        <v>39</v>
      </c>
      <c r="B4138" s="1" t="s">
        <v>40</v>
      </c>
      <c r="C4138" s="1" t="str">
        <f t="shared" si="88"/>
        <v>020002</v>
      </c>
      <c r="D4138" s="1" t="str">
        <f>"512419813"</f>
        <v>512419813</v>
      </c>
      <c r="E4138" s="1">
        <v>0</v>
      </c>
      <c r="F4138" s="1">
        <v>0</v>
      </c>
      <c r="H4138" s="1">
        <v>0</v>
      </c>
    </row>
    <row r="4139" s="1" customFormat="1" spans="1:8">
      <c r="A4139" s="1" t="s">
        <v>39</v>
      </c>
      <c r="B4139" s="1" t="s">
        <v>40</v>
      </c>
      <c r="C4139" s="1" t="str">
        <f t="shared" si="88"/>
        <v>020002</v>
      </c>
      <c r="D4139" s="1" t="str">
        <f>"512419814"</f>
        <v>512419814</v>
      </c>
      <c r="E4139" s="1">
        <v>74</v>
      </c>
      <c r="F4139" s="1">
        <v>56.5</v>
      </c>
      <c r="H4139" s="1">
        <v>67</v>
      </c>
    </row>
    <row r="4140" s="1" customFormat="1" spans="1:8">
      <c r="A4140" s="1" t="s">
        <v>29</v>
      </c>
      <c r="B4140" s="1" t="s">
        <v>41</v>
      </c>
      <c r="C4140" s="1" t="str">
        <f t="shared" ref="C4140:C4146" si="89">"020009"</f>
        <v>020009</v>
      </c>
      <c r="D4140" s="1" t="str">
        <f>"512419815"</f>
        <v>512419815</v>
      </c>
      <c r="E4140" s="1">
        <v>0</v>
      </c>
      <c r="F4140" s="1">
        <v>0</v>
      </c>
      <c r="H4140" s="1">
        <v>0</v>
      </c>
    </row>
    <row r="4141" s="1" customFormat="1" spans="1:8">
      <c r="A4141" s="1" t="s">
        <v>29</v>
      </c>
      <c r="B4141" s="1" t="s">
        <v>41</v>
      </c>
      <c r="C4141" s="1" t="str">
        <f t="shared" si="89"/>
        <v>020009</v>
      </c>
      <c r="D4141" s="1" t="str">
        <f>"512419816"</f>
        <v>512419816</v>
      </c>
      <c r="E4141" s="1">
        <v>54</v>
      </c>
      <c r="F4141" s="1">
        <v>58.5</v>
      </c>
      <c r="H4141" s="1">
        <v>55.8</v>
      </c>
    </row>
    <row r="4142" s="1" customFormat="1" spans="1:8">
      <c r="A4142" s="1" t="s">
        <v>29</v>
      </c>
      <c r="B4142" s="1" t="s">
        <v>41</v>
      </c>
      <c r="C4142" s="1" t="str">
        <f t="shared" si="89"/>
        <v>020009</v>
      </c>
      <c r="D4142" s="1" t="str">
        <f>"512419817"</f>
        <v>512419817</v>
      </c>
      <c r="E4142" s="1">
        <v>0</v>
      </c>
      <c r="F4142" s="1">
        <v>0</v>
      </c>
      <c r="H4142" s="1">
        <v>0</v>
      </c>
    </row>
    <row r="4143" s="1" customFormat="1" spans="1:8">
      <c r="A4143" s="1" t="s">
        <v>29</v>
      </c>
      <c r="B4143" s="1" t="s">
        <v>41</v>
      </c>
      <c r="C4143" s="1" t="str">
        <f t="shared" si="89"/>
        <v>020009</v>
      </c>
      <c r="D4143" s="1" t="str">
        <f>"512419818"</f>
        <v>512419818</v>
      </c>
      <c r="E4143" s="1">
        <v>0</v>
      </c>
      <c r="F4143" s="1">
        <v>0</v>
      </c>
      <c r="H4143" s="1">
        <v>0</v>
      </c>
    </row>
    <row r="4144" s="1" customFormat="1" spans="1:8">
      <c r="A4144" s="1" t="s">
        <v>29</v>
      </c>
      <c r="B4144" s="1" t="s">
        <v>41</v>
      </c>
      <c r="C4144" s="1" t="str">
        <f t="shared" si="89"/>
        <v>020009</v>
      </c>
      <c r="D4144" s="1" t="str">
        <f>"512419819"</f>
        <v>512419819</v>
      </c>
      <c r="E4144" s="1">
        <v>59</v>
      </c>
      <c r="F4144" s="1">
        <v>59.5</v>
      </c>
      <c r="G4144" s="1">
        <v>2</v>
      </c>
      <c r="H4144" s="1">
        <v>61.2</v>
      </c>
    </row>
    <row r="4145" s="1" customFormat="1" spans="1:8">
      <c r="A4145" s="1" t="s">
        <v>29</v>
      </c>
      <c r="B4145" s="1" t="s">
        <v>41</v>
      </c>
      <c r="C4145" s="1" t="str">
        <f t="shared" si="89"/>
        <v>020009</v>
      </c>
      <c r="D4145" s="1" t="str">
        <f>"512419820"</f>
        <v>512419820</v>
      </c>
      <c r="E4145" s="1">
        <v>75.5</v>
      </c>
      <c r="F4145" s="1">
        <v>88.5</v>
      </c>
      <c r="H4145" s="1">
        <v>80.7</v>
      </c>
    </row>
    <row r="4146" s="1" customFormat="1" spans="1:8">
      <c r="A4146" s="1" t="s">
        <v>29</v>
      </c>
      <c r="B4146" s="1" t="s">
        <v>41</v>
      </c>
      <c r="C4146" s="1" t="str">
        <f t="shared" si="89"/>
        <v>020009</v>
      </c>
      <c r="D4146" s="1" t="str">
        <f>"512419821"</f>
        <v>512419821</v>
      </c>
      <c r="E4146" s="1">
        <v>80</v>
      </c>
      <c r="F4146" s="1">
        <v>69.5</v>
      </c>
      <c r="H4146" s="1">
        <v>75.8</v>
      </c>
    </row>
    <row r="4147" s="1" customFormat="1" spans="1:8">
      <c r="A4147" s="1" t="s">
        <v>31</v>
      </c>
      <c r="B4147" s="1" t="s">
        <v>41</v>
      </c>
      <c r="C4147" s="1" t="str">
        <f t="shared" ref="C4147:C4152" si="90">"020014"</f>
        <v>020014</v>
      </c>
      <c r="D4147" s="1" t="str">
        <f>"512419822"</f>
        <v>512419822</v>
      </c>
      <c r="E4147" s="1">
        <v>32</v>
      </c>
      <c r="F4147" s="1">
        <v>60.5</v>
      </c>
      <c r="H4147" s="1">
        <v>43.4</v>
      </c>
    </row>
    <row r="4148" s="1" customFormat="1" spans="1:8">
      <c r="A4148" s="1" t="s">
        <v>31</v>
      </c>
      <c r="B4148" s="1" t="s">
        <v>41</v>
      </c>
      <c r="C4148" s="1" t="str">
        <f t="shared" si="90"/>
        <v>020014</v>
      </c>
      <c r="D4148" s="1" t="str">
        <f>"512419823"</f>
        <v>512419823</v>
      </c>
      <c r="E4148" s="1">
        <v>67</v>
      </c>
      <c r="F4148" s="1">
        <v>48</v>
      </c>
      <c r="H4148" s="1">
        <v>59.4</v>
      </c>
    </row>
    <row r="4149" s="1" customFormat="1" spans="1:8">
      <c r="A4149" s="1" t="s">
        <v>31</v>
      </c>
      <c r="B4149" s="1" t="s">
        <v>41</v>
      </c>
      <c r="C4149" s="1" t="str">
        <f t="shared" si="90"/>
        <v>020014</v>
      </c>
      <c r="D4149" s="1" t="str">
        <f>"512419824"</f>
        <v>512419824</v>
      </c>
      <c r="E4149" s="1">
        <v>61.5</v>
      </c>
      <c r="F4149" s="1">
        <v>0</v>
      </c>
      <c r="H4149" s="1">
        <v>36.9</v>
      </c>
    </row>
    <row r="4150" s="1" customFormat="1" spans="1:8">
      <c r="A4150" s="1" t="s">
        <v>31</v>
      </c>
      <c r="B4150" s="1" t="s">
        <v>41</v>
      </c>
      <c r="C4150" s="1" t="str">
        <f t="shared" si="90"/>
        <v>020014</v>
      </c>
      <c r="D4150" s="1" t="str">
        <f>"512419825"</f>
        <v>512419825</v>
      </c>
      <c r="E4150" s="1">
        <v>62</v>
      </c>
      <c r="F4150" s="1">
        <v>60.5</v>
      </c>
      <c r="H4150" s="1">
        <v>61.4</v>
      </c>
    </row>
    <row r="4151" s="1" customFormat="1" spans="1:8">
      <c r="A4151" s="1" t="s">
        <v>31</v>
      </c>
      <c r="B4151" s="1" t="s">
        <v>41</v>
      </c>
      <c r="C4151" s="1" t="str">
        <f t="shared" si="90"/>
        <v>020014</v>
      </c>
      <c r="D4151" s="1" t="str">
        <f>"512419826"</f>
        <v>512419826</v>
      </c>
      <c r="E4151" s="1">
        <v>82.5</v>
      </c>
      <c r="F4151" s="1">
        <v>78.5</v>
      </c>
      <c r="H4151" s="1">
        <v>80.9</v>
      </c>
    </row>
    <row r="4152" s="1" customFormat="1" spans="1:8">
      <c r="A4152" s="1" t="s">
        <v>31</v>
      </c>
      <c r="B4152" s="1" t="s">
        <v>41</v>
      </c>
      <c r="C4152" s="1" t="str">
        <f t="shared" si="90"/>
        <v>020014</v>
      </c>
      <c r="D4152" s="1" t="str">
        <f>"512419827"</f>
        <v>512419827</v>
      </c>
      <c r="E4152" s="1">
        <v>83.5</v>
      </c>
      <c r="F4152" s="1">
        <v>75.5</v>
      </c>
      <c r="H4152" s="1">
        <v>80.3</v>
      </c>
    </row>
    <row r="4153" s="1" customFormat="1" spans="1:8">
      <c r="A4153" s="1" t="s">
        <v>32</v>
      </c>
      <c r="B4153" s="1" t="s">
        <v>41</v>
      </c>
      <c r="C4153" s="1" t="str">
        <f t="shared" ref="C4153:C4163" si="91">"020021"</f>
        <v>020021</v>
      </c>
      <c r="D4153" s="1" t="str">
        <f>"512419828"</f>
        <v>512419828</v>
      </c>
      <c r="E4153" s="1">
        <v>75</v>
      </c>
      <c r="F4153" s="1">
        <v>69</v>
      </c>
      <c r="H4153" s="1">
        <v>72.6</v>
      </c>
    </row>
    <row r="4154" s="1" customFormat="1" spans="1:8">
      <c r="A4154" s="1" t="s">
        <v>32</v>
      </c>
      <c r="B4154" s="1" t="s">
        <v>41</v>
      </c>
      <c r="C4154" s="1" t="str">
        <f t="shared" si="91"/>
        <v>020021</v>
      </c>
      <c r="D4154" s="1" t="str">
        <f>"512419829"</f>
        <v>512419829</v>
      </c>
      <c r="E4154" s="1">
        <v>0</v>
      </c>
      <c r="F4154" s="1">
        <v>0</v>
      </c>
      <c r="H4154" s="1">
        <v>0</v>
      </c>
    </row>
    <row r="4155" s="1" customFormat="1" spans="1:8">
      <c r="A4155" s="1" t="s">
        <v>32</v>
      </c>
      <c r="B4155" s="1" t="s">
        <v>41</v>
      </c>
      <c r="C4155" s="1" t="str">
        <f t="shared" si="91"/>
        <v>020021</v>
      </c>
      <c r="D4155" s="1" t="str">
        <f>"512419830"</f>
        <v>512419830</v>
      </c>
      <c r="E4155" s="1">
        <v>0</v>
      </c>
      <c r="F4155" s="1">
        <v>0</v>
      </c>
      <c r="H4155" s="1">
        <v>0</v>
      </c>
    </row>
    <row r="4156" s="1" customFormat="1" spans="1:8">
      <c r="A4156" s="1" t="s">
        <v>32</v>
      </c>
      <c r="B4156" s="1" t="s">
        <v>41</v>
      </c>
      <c r="C4156" s="1" t="str">
        <f t="shared" si="91"/>
        <v>020021</v>
      </c>
      <c r="D4156" s="1" t="str">
        <f>"512419901"</f>
        <v>512419901</v>
      </c>
      <c r="E4156" s="1">
        <v>0</v>
      </c>
      <c r="F4156" s="1">
        <v>0</v>
      </c>
      <c r="H4156" s="1">
        <v>0</v>
      </c>
    </row>
    <row r="4157" s="1" customFormat="1" spans="1:8">
      <c r="A4157" s="1" t="s">
        <v>32</v>
      </c>
      <c r="B4157" s="1" t="s">
        <v>41</v>
      </c>
      <c r="C4157" s="1" t="str">
        <f t="shared" si="91"/>
        <v>020021</v>
      </c>
      <c r="D4157" s="1" t="str">
        <f>"512419902"</f>
        <v>512419902</v>
      </c>
      <c r="E4157" s="1">
        <v>65.5</v>
      </c>
      <c r="F4157" s="1">
        <v>66.5</v>
      </c>
      <c r="H4157" s="1">
        <v>65.9</v>
      </c>
    </row>
    <row r="4158" s="1" customFormat="1" spans="1:8">
      <c r="A4158" s="1" t="s">
        <v>32</v>
      </c>
      <c r="B4158" s="1" t="s">
        <v>41</v>
      </c>
      <c r="C4158" s="1" t="str">
        <f t="shared" si="91"/>
        <v>020021</v>
      </c>
      <c r="D4158" s="1" t="str">
        <f>"512419903"</f>
        <v>512419903</v>
      </c>
      <c r="E4158" s="1">
        <v>0</v>
      </c>
      <c r="F4158" s="1">
        <v>0</v>
      </c>
      <c r="H4158" s="1">
        <v>0</v>
      </c>
    </row>
    <row r="4159" s="1" customFormat="1" spans="1:8">
      <c r="A4159" s="1" t="s">
        <v>32</v>
      </c>
      <c r="B4159" s="1" t="s">
        <v>41</v>
      </c>
      <c r="C4159" s="1" t="str">
        <f t="shared" si="91"/>
        <v>020021</v>
      </c>
      <c r="D4159" s="1" t="str">
        <f>"512419904"</f>
        <v>512419904</v>
      </c>
      <c r="E4159" s="1">
        <v>0</v>
      </c>
      <c r="F4159" s="1">
        <v>0</v>
      </c>
      <c r="H4159" s="1">
        <v>0</v>
      </c>
    </row>
    <row r="4160" s="1" customFormat="1" spans="1:8">
      <c r="A4160" s="1" t="s">
        <v>32</v>
      </c>
      <c r="B4160" s="1" t="s">
        <v>41</v>
      </c>
      <c r="C4160" s="1" t="str">
        <f t="shared" si="91"/>
        <v>020021</v>
      </c>
      <c r="D4160" s="1" t="str">
        <f>"512419905"</f>
        <v>512419905</v>
      </c>
      <c r="E4160" s="1">
        <v>0</v>
      </c>
      <c r="F4160" s="1">
        <v>0</v>
      </c>
      <c r="H4160" s="1">
        <v>0</v>
      </c>
    </row>
    <row r="4161" s="1" customFormat="1" spans="1:8">
      <c r="A4161" s="1" t="s">
        <v>32</v>
      </c>
      <c r="B4161" s="1" t="s">
        <v>41</v>
      </c>
      <c r="C4161" s="1" t="str">
        <f t="shared" si="91"/>
        <v>020021</v>
      </c>
      <c r="D4161" s="1" t="str">
        <f>"512419906"</f>
        <v>512419906</v>
      </c>
      <c r="E4161" s="1">
        <v>45</v>
      </c>
      <c r="F4161" s="1">
        <v>73</v>
      </c>
      <c r="H4161" s="1">
        <v>56.2</v>
      </c>
    </row>
    <row r="4162" s="1" customFormat="1" spans="1:8">
      <c r="A4162" s="1" t="s">
        <v>32</v>
      </c>
      <c r="B4162" s="1" t="s">
        <v>41</v>
      </c>
      <c r="C4162" s="1" t="str">
        <f t="shared" si="91"/>
        <v>020021</v>
      </c>
      <c r="D4162" s="1" t="str">
        <f>"512419907"</f>
        <v>512419907</v>
      </c>
      <c r="E4162" s="1">
        <v>0</v>
      </c>
      <c r="F4162" s="1">
        <v>0</v>
      </c>
      <c r="H4162" s="1">
        <v>0</v>
      </c>
    </row>
    <row r="4163" s="1" customFormat="1" spans="1:8">
      <c r="A4163" s="1" t="s">
        <v>32</v>
      </c>
      <c r="B4163" s="1" t="s">
        <v>41</v>
      </c>
      <c r="C4163" s="1" t="str">
        <f t="shared" si="91"/>
        <v>020021</v>
      </c>
      <c r="D4163" s="1" t="str">
        <f>"512419908"</f>
        <v>512419908</v>
      </c>
      <c r="E4163" s="1">
        <v>92.5</v>
      </c>
      <c r="F4163" s="1">
        <v>79.5</v>
      </c>
      <c r="H4163" s="1">
        <v>87.3</v>
      </c>
    </row>
    <row r="4164" s="1" customFormat="1" spans="1:8">
      <c r="A4164" s="1" t="s">
        <v>34</v>
      </c>
      <c r="B4164" s="1" t="s">
        <v>41</v>
      </c>
      <c r="C4164" s="1" t="str">
        <f t="shared" ref="C4164:C4174" si="92">"020035"</f>
        <v>020035</v>
      </c>
      <c r="D4164" s="1" t="str">
        <f>"512419909"</f>
        <v>512419909</v>
      </c>
      <c r="E4164" s="1">
        <v>0</v>
      </c>
      <c r="F4164" s="1">
        <v>0</v>
      </c>
      <c r="H4164" s="1">
        <v>0</v>
      </c>
    </row>
    <row r="4165" s="1" customFormat="1" spans="1:8">
      <c r="A4165" s="1" t="s">
        <v>34</v>
      </c>
      <c r="B4165" s="1" t="s">
        <v>41</v>
      </c>
      <c r="C4165" s="1" t="str">
        <f t="shared" si="92"/>
        <v>020035</v>
      </c>
      <c r="D4165" s="1" t="str">
        <f>"512419910"</f>
        <v>512419910</v>
      </c>
      <c r="E4165" s="1">
        <v>0</v>
      </c>
      <c r="F4165" s="1">
        <v>0</v>
      </c>
      <c r="H4165" s="1">
        <v>0</v>
      </c>
    </row>
    <row r="4166" s="1" customFormat="1" spans="1:8">
      <c r="A4166" s="1" t="s">
        <v>34</v>
      </c>
      <c r="B4166" s="1" t="s">
        <v>41</v>
      </c>
      <c r="C4166" s="1" t="str">
        <f t="shared" si="92"/>
        <v>020035</v>
      </c>
      <c r="D4166" s="1" t="str">
        <f>"512419911"</f>
        <v>512419911</v>
      </c>
      <c r="E4166" s="1">
        <v>0</v>
      </c>
      <c r="F4166" s="1">
        <v>0</v>
      </c>
      <c r="H4166" s="1">
        <v>0</v>
      </c>
    </row>
    <row r="4167" s="1" customFormat="1" spans="1:8">
      <c r="A4167" s="1" t="s">
        <v>34</v>
      </c>
      <c r="B4167" s="1" t="s">
        <v>41</v>
      </c>
      <c r="C4167" s="1" t="str">
        <f t="shared" si="92"/>
        <v>020035</v>
      </c>
      <c r="D4167" s="1" t="str">
        <f>"512419912"</f>
        <v>512419912</v>
      </c>
      <c r="E4167" s="1">
        <v>0</v>
      </c>
      <c r="F4167" s="1">
        <v>0</v>
      </c>
      <c r="H4167" s="1">
        <v>0</v>
      </c>
    </row>
    <row r="4168" s="1" customFormat="1" spans="1:8">
      <c r="A4168" s="1" t="s">
        <v>34</v>
      </c>
      <c r="B4168" s="1" t="s">
        <v>41</v>
      </c>
      <c r="C4168" s="1" t="str">
        <f t="shared" si="92"/>
        <v>020035</v>
      </c>
      <c r="D4168" s="1" t="str">
        <f>"512419913"</f>
        <v>512419913</v>
      </c>
      <c r="E4168" s="1">
        <v>85.5</v>
      </c>
      <c r="F4168" s="1">
        <v>91.5</v>
      </c>
      <c r="H4168" s="1">
        <v>87.9</v>
      </c>
    </row>
    <row r="4169" s="1" customFormat="1" spans="1:8">
      <c r="A4169" s="1" t="s">
        <v>34</v>
      </c>
      <c r="B4169" s="1" t="s">
        <v>41</v>
      </c>
      <c r="C4169" s="1" t="str">
        <f t="shared" si="92"/>
        <v>020035</v>
      </c>
      <c r="D4169" s="1" t="str">
        <f>"512419914"</f>
        <v>512419914</v>
      </c>
      <c r="E4169" s="1">
        <v>39</v>
      </c>
      <c r="F4169" s="1">
        <v>0</v>
      </c>
      <c r="H4169" s="1">
        <v>23.4</v>
      </c>
    </row>
    <row r="4170" s="1" customFormat="1" spans="1:8">
      <c r="A4170" s="1" t="s">
        <v>34</v>
      </c>
      <c r="B4170" s="1" t="s">
        <v>41</v>
      </c>
      <c r="C4170" s="1" t="str">
        <f t="shared" si="92"/>
        <v>020035</v>
      </c>
      <c r="D4170" s="1" t="str">
        <f>"512419915"</f>
        <v>512419915</v>
      </c>
      <c r="E4170" s="1">
        <v>67</v>
      </c>
      <c r="F4170" s="1">
        <v>72.5</v>
      </c>
      <c r="G4170" s="1">
        <v>2</v>
      </c>
      <c r="H4170" s="1">
        <v>71.2</v>
      </c>
    </row>
    <row r="4171" s="1" customFormat="1" spans="1:8">
      <c r="A4171" s="1" t="s">
        <v>34</v>
      </c>
      <c r="B4171" s="1" t="s">
        <v>41</v>
      </c>
      <c r="C4171" s="1" t="str">
        <f t="shared" si="92"/>
        <v>020035</v>
      </c>
      <c r="D4171" s="1" t="str">
        <f>"512419916"</f>
        <v>512419916</v>
      </c>
      <c r="E4171" s="1">
        <v>84.5</v>
      </c>
      <c r="F4171" s="1">
        <v>74.5</v>
      </c>
      <c r="H4171" s="1">
        <v>80.5</v>
      </c>
    </row>
    <row r="4172" s="1" customFormat="1" spans="1:8">
      <c r="A4172" s="1" t="s">
        <v>34</v>
      </c>
      <c r="B4172" s="1" t="s">
        <v>41</v>
      </c>
      <c r="C4172" s="1" t="str">
        <f t="shared" si="92"/>
        <v>020035</v>
      </c>
      <c r="D4172" s="1" t="str">
        <f>"512419917"</f>
        <v>512419917</v>
      </c>
      <c r="E4172" s="1">
        <v>59</v>
      </c>
      <c r="F4172" s="1">
        <v>59.5</v>
      </c>
      <c r="H4172" s="1">
        <v>59.2</v>
      </c>
    </row>
    <row r="4173" s="1" customFormat="1" spans="1:8">
      <c r="A4173" s="1" t="s">
        <v>34</v>
      </c>
      <c r="B4173" s="1" t="s">
        <v>41</v>
      </c>
      <c r="C4173" s="1" t="str">
        <f t="shared" si="92"/>
        <v>020035</v>
      </c>
      <c r="D4173" s="1" t="str">
        <f>"512419918"</f>
        <v>512419918</v>
      </c>
      <c r="E4173" s="1">
        <v>83</v>
      </c>
      <c r="F4173" s="1">
        <v>77.5</v>
      </c>
      <c r="H4173" s="1">
        <v>80.8</v>
      </c>
    </row>
    <row r="4174" s="1" customFormat="1" spans="1:8">
      <c r="A4174" s="1" t="s">
        <v>34</v>
      </c>
      <c r="B4174" s="1" t="s">
        <v>41</v>
      </c>
      <c r="C4174" s="1" t="str">
        <f t="shared" si="92"/>
        <v>020035</v>
      </c>
      <c r="D4174" s="1" t="str">
        <f>"512419919"</f>
        <v>512419919</v>
      </c>
      <c r="E4174" s="1">
        <v>0</v>
      </c>
      <c r="F4174" s="1">
        <v>0</v>
      </c>
      <c r="H4174" s="1">
        <v>0</v>
      </c>
    </row>
    <row r="4175" s="1" customFormat="1" spans="1:8">
      <c r="A4175" s="1" t="s">
        <v>34</v>
      </c>
      <c r="B4175" s="1" t="s">
        <v>42</v>
      </c>
      <c r="C4175" s="1" t="str">
        <f t="shared" ref="C4175:C4186" si="93">"020036"</f>
        <v>020036</v>
      </c>
      <c r="D4175" s="1" t="str">
        <f>"512419920"</f>
        <v>512419920</v>
      </c>
      <c r="E4175" s="1">
        <v>0</v>
      </c>
      <c r="F4175" s="1">
        <v>0</v>
      </c>
      <c r="H4175" s="1">
        <v>0</v>
      </c>
    </row>
    <row r="4176" s="1" customFormat="1" spans="1:8">
      <c r="A4176" s="1" t="s">
        <v>34</v>
      </c>
      <c r="B4176" s="1" t="s">
        <v>42</v>
      </c>
      <c r="C4176" s="1" t="str">
        <f t="shared" si="93"/>
        <v>020036</v>
      </c>
      <c r="D4176" s="1" t="str">
        <f>"512419921"</f>
        <v>512419921</v>
      </c>
      <c r="E4176" s="1">
        <v>73</v>
      </c>
      <c r="F4176" s="1">
        <v>71</v>
      </c>
      <c r="H4176" s="1">
        <v>72.2</v>
      </c>
    </row>
    <row r="4177" s="1" customFormat="1" spans="1:8">
      <c r="A4177" s="1" t="s">
        <v>34</v>
      </c>
      <c r="B4177" s="1" t="s">
        <v>42</v>
      </c>
      <c r="C4177" s="1" t="str">
        <f t="shared" si="93"/>
        <v>020036</v>
      </c>
      <c r="D4177" s="1" t="str">
        <f>"512419922"</f>
        <v>512419922</v>
      </c>
      <c r="E4177" s="1">
        <v>53.5</v>
      </c>
      <c r="F4177" s="1">
        <v>67</v>
      </c>
      <c r="H4177" s="1">
        <v>58.9</v>
      </c>
    </row>
    <row r="4178" s="1" customFormat="1" spans="1:8">
      <c r="A4178" s="1" t="s">
        <v>34</v>
      </c>
      <c r="B4178" s="1" t="s">
        <v>42</v>
      </c>
      <c r="C4178" s="1" t="str">
        <f t="shared" si="93"/>
        <v>020036</v>
      </c>
      <c r="D4178" s="1" t="str">
        <f>"512419923"</f>
        <v>512419923</v>
      </c>
      <c r="E4178" s="1">
        <v>41.5</v>
      </c>
      <c r="F4178" s="1">
        <v>64.5</v>
      </c>
      <c r="H4178" s="1">
        <v>50.7</v>
      </c>
    </row>
    <row r="4179" s="1" customFormat="1" spans="1:8">
      <c r="A4179" s="1" t="s">
        <v>34</v>
      </c>
      <c r="B4179" s="1" t="s">
        <v>42</v>
      </c>
      <c r="C4179" s="1" t="str">
        <f t="shared" si="93"/>
        <v>020036</v>
      </c>
      <c r="D4179" s="1" t="str">
        <f>"512419924"</f>
        <v>512419924</v>
      </c>
      <c r="E4179" s="1">
        <v>0</v>
      </c>
      <c r="F4179" s="1">
        <v>0</v>
      </c>
      <c r="H4179" s="1">
        <v>0</v>
      </c>
    </row>
    <row r="4180" s="1" customFormat="1" spans="1:8">
      <c r="A4180" s="1" t="s">
        <v>34</v>
      </c>
      <c r="B4180" s="1" t="s">
        <v>42</v>
      </c>
      <c r="C4180" s="1" t="str">
        <f t="shared" si="93"/>
        <v>020036</v>
      </c>
      <c r="D4180" s="1" t="str">
        <f>"512419925"</f>
        <v>512419925</v>
      </c>
      <c r="E4180" s="1">
        <v>0</v>
      </c>
      <c r="F4180" s="1">
        <v>0</v>
      </c>
      <c r="H4180" s="1">
        <v>0</v>
      </c>
    </row>
    <row r="4181" s="1" customFormat="1" spans="1:8">
      <c r="A4181" s="1" t="s">
        <v>34</v>
      </c>
      <c r="B4181" s="1" t="s">
        <v>42</v>
      </c>
      <c r="C4181" s="1" t="str">
        <f t="shared" si="93"/>
        <v>020036</v>
      </c>
      <c r="D4181" s="1" t="str">
        <f>"512419926"</f>
        <v>512419926</v>
      </c>
      <c r="E4181" s="1">
        <v>80</v>
      </c>
      <c r="F4181" s="1">
        <v>57</v>
      </c>
      <c r="H4181" s="1">
        <v>70.8</v>
      </c>
    </row>
    <row r="4182" s="1" customFormat="1" spans="1:8">
      <c r="A4182" s="1" t="s">
        <v>34</v>
      </c>
      <c r="B4182" s="1" t="s">
        <v>42</v>
      </c>
      <c r="C4182" s="1" t="str">
        <f t="shared" si="93"/>
        <v>020036</v>
      </c>
      <c r="D4182" s="1" t="str">
        <f>"512419927"</f>
        <v>512419927</v>
      </c>
      <c r="E4182" s="1">
        <v>0</v>
      </c>
      <c r="F4182" s="1">
        <v>0</v>
      </c>
      <c r="H4182" s="1">
        <v>0</v>
      </c>
    </row>
    <row r="4183" s="1" customFormat="1" spans="1:8">
      <c r="A4183" s="1" t="s">
        <v>34</v>
      </c>
      <c r="B4183" s="1" t="s">
        <v>42</v>
      </c>
      <c r="C4183" s="1" t="str">
        <f t="shared" si="93"/>
        <v>020036</v>
      </c>
      <c r="D4183" s="1" t="str">
        <f>"512419928"</f>
        <v>512419928</v>
      </c>
      <c r="E4183" s="1">
        <v>68</v>
      </c>
      <c r="F4183" s="1">
        <v>65.5</v>
      </c>
      <c r="H4183" s="1">
        <v>67</v>
      </c>
    </row>
    <row r="4184" s="1" customFormat="1" spans="1:8">
      <c r="A4184" s="1" t="s">
        <v>34</v>
      </c>
      <c r="B4184" s="1" t="s">
        <v>42</v>
      </c>
      <c r="C4184" s="1" t="str">
        <f t="shared" si="93"/>
        <v>020036</v>
      </c>
      <c r="D4184" s="1" t="str">
        <f>"512419929"</f>
        <v>512419929</v>
      </c>
      <c r="E4184" s="1">
        <v>42</v>
      </c>
      <c r="F4184" s="1">
        <v>64</v>
      </c>
      <c r="H4184" s="1">
        <v>50.8</v>
      </c>
    </row>
    <row r="4185" s="1" customFormat="1" spans="1:8">
      <c r="A4185" s="1" t="s">
        <v>34</v>
      </c>
      <c r="B4185" s="1" t="s">
        <v>42</v>
      </c>
      <c r="C4185" s="1" t="str">
        <f t="shared" si="93"/>
        <v>020036</v>
      </c>
      <c r="D4185" s="1" t="str">
        <f>"512419930"</f>
        <v>512419930</v>
      </c>
      <c r="E4185" s="1">
        <v>64.5</v>
      </c>
      <c r="F4185" s="1">
        <v>76.5</v>
      </c>
      <c r="H4185" s="1">
        <v>69.3</v>
      </c>
    </row>
    <row r="4186" s="1" customFormat="1" spans="1:8">
      <c r="A4186" s="1" t="s">
        <v>34</v>
      </c>
      <c r="B4186" s="1" t="s">
        <v>42</v>
      </c>
      <c r="C4186" s="1" t="str">
        <f t="shared" si="93"/>
        <v>020036</v>
      </c>
      <c r="D4186" s="1" t="str">
        <f>"512420001"</f>
        <v>512420001</v>
      </c>
      <c r="E4186" s="1">
        <v>72.5</v>
      </c>
      <c r="F4186" s="1">
        <v>63.5</v>
      </c>
      <c r="H4186" s="1">
        <v>68.9</v>
      </c>
    </row>
    <row r="4187" s="1" customFormat="1" spans="1:8">
      <c r="A4187" s="1" t="s">
        <v>37</v>
      </c>
      <c r="B4187" s="1" t="s">
        <v>42</v>
      </c>
      <c r="C4187" s="1" t="str">
        <f t="shared" ref="C4187:C4201" si="94">"020049"</f>
        <v>020049</v>
      </c>
      <c r="D4187" s="1" t="str">
        <f>"512420002"</f>
        <v>512420002</v>
      </c>
      <c r="E4187" s="1">
        <v>0</v>
      </c>
      <c r="F4187" s="1">
        <v>0</v>
      </c>
      <c r="H4187" s="1">
        <v>0</v>
      </c>
    </row>
    <row r="4188" s="1" customFormat="1" spans="1:8">
      <c r="A4188" s="1" t="s">
        <v>37</v>
      </c>
      <c r="B4188" s="1" t="s">
        <v>42</v>
      </c>
      <c r="C4188" s="1" t="str">
        <f t="shared" si="94"/>
        <v>020049</v>
      </c>
      <c r="D4188" s="1" t="str">
        <f>"512420003"</f>
        <v>512420003</v>
      </c>
      <c r="E4188" s="1">
        <v>0</v>
      </c>
      <c r="F4188" s="1">
        <v>0</v>
      </c>
      <c r="H4188" s="1">
        <v>0</v>
      </c>
    </row>
    <row r="4189" s="1" customFormat="1" spans="1:8">
      <c r="A4189" s="1" t="s">
        <v>37</v>
      </c>
      <c r="B4189" s="1" t="s">
        <v>42</v>
      </c>
      <c r="C4189" s="1" t="str">
        <f t="shared" si="94"/>
        <v>020049</v>
      </c>
      <c r="D4189" s="1" t="str">
        <f>"512420004"</f>
        <v>512420004</v>
      </c>
      <c r="E4189" s="1">
        <v>57</v>
      </c>
      <c r="F4189" s="1">
        <v>58.5</v>
      </c>
      <c r="H4189" s="1">
        <v>57.6</v>
      </c>
    </row>
    <row r="4190" s="1" customFormat="1" spans="1:8">
      <c r="A4190" s="1" t="s">
        <v>37</v>
      </c>
      <c r="B4190" s="1" t="s">
        <v>42</v>
      </c>
      <c r="C4190" s="1" t="str">
        <f t="shared" si="94"/>
        <v>020049</v>
      </c>
      <c r="D4190" s="1" t="str">
        <f>"512420005"</f>
        <v>512420005</v>
      </c>
      <c r="E4190" s="1">
        <v>59.5</v>
      </c>
      <c r="F4190" s="1">
        <v>71</v>
      </c>
      <c r="H4190" s="1">
        <v>64.1</v>
      </c>
    </row>
    <row r="4191" s="1" customFormat="1" spans="1:8">
      <c r="A4191" s="1" t="s">
        <v>37</v>
      </c>
      <c r="B4191" s="1" t="s">
        <v>42</v>
      </c>
      <c r="C4191" s="1" t="str">
        <f t="shared" si="94"/>
        <v>020049</v>
      </c>
      <c r="D4191" s="1" t="str">
        <f>"512420006"</f>
        <v>512420006</v>
      </c>
      <c r="E4191" s="1">
        <v>52</v>
      </c>
      <c r="F4191" s="1">
        <v>0</v>
      </c>
      <c r="H4191" s="1">
        <v>31.2</v>
      </c>
    </row>
    <row r="4192" s="1" customFormat="1" spans="1:8">
      <c r="A4192" s="1" t="s">
        <v>37</v>
      </c>
      <c r="B4192" s="1" t="s">
        <v>42</v>
      </c>
      <c r="C4192" s="1" t="str">
        <f t="shared" si="94"/>
        <v>020049</v>
      </c>
      <c r="D4192" s="1" t="str">
        <f>"512420007"</f>
        <v>512420007</v>
      </c>
      <c r="E4192" s="1">
        <v>0</v>
      </c>
      <c r="F4192" s="1">
        <v>0</v>
      </c>
      <c r="H4192" s="1">
        <v>0</v>
      </c>
    </row>
    <row r="4193" s="1" customFormat="1" spans="1:8">
      <c r="A4193" s="1" t="s">
        <v>37</v>
      </c>
      <c r="B4193" s="1" t="s">
        <v>42</v>
      </c>
      <c r="C4193" s="1" t="str">
        <f t="shared" si="94"/>
        <v>020049</v>
      </c>
      <c r="D4193" s="1" t="str">
        <f>"512420008"</f>
        <v>512420008</v>
      </c>
      <c r="E4193" s="1">
        <v>68</v>
      </c>
      <c r="F4193" s="1">
        <v>72.5</v>
      </c>
      <c r="H4193" s="1">
        <v>69.8</v>
      </c>
    </row>
    <row r="4194" s="1" customFormat="1" spans="1:8">
      <c r="A4194" s="1" t="s">
        <v>37</v>
      </c>
      <c r="B4194" s="1" t="s">
        <v>42</v>
      </c>
      <c r="C4194" s="1" t="str">
        <f t="shared" si="94"/>
        <v>020049</v>
      </c>
      <c r="D4194" s="1" t="str">
        <f>"512420009"</f>
        <v>512420009</v>
      </c>
      <c r="E4194" s="1">
        <v>65.5</v>
      </c>
      <c r="F4194" s="1">
        <v>0</v>
      </c>
      <c r="H4194" s="1">
        <v>39.3</v>
      </c>
    </row>
    <row r="4195" s="1" customFormat="1" spans="1:8">
      <c r="A4195" s="1" t="s">
        <v>37</v>
      </c>
      <c r="B4195" s="1" t="s">
        <v>42</v>
      </c>
      <c r="C4195" s="1" t="str">
        <f t="shared" si="94"/>
        <v>020049</v>
      </c>
      <c r="D4195" s="1" t="str">
        <f>"512420010"</f>
        <v>512420010</v>
      </c>
      <c r="E4195" s="1">
        <v>76.5</v>
      </c>
      <c r="F4195" s="1">
        <v>87</v>
      </c>
      <c r="H4195" s="1">
        <v>80.7</v>
      </c>
    </row>
    <row r="4196" s="1" customFormat="1" spans="1:8">
      <c r="A4196" s="1" t="s">
        <v>37</v>
      </c>
      <c r="B4196" s="1" t="s">
        <v>42</v>
      </c>
      <c r="C4196" s="1" t="str">
        <f t="shared" si="94"/>
        <v>020049</v>
      </c>
      <c r="D4196" s="1" t="str">
        <f>"512420011"</f>
        <v>512420011</v>
      </c>
      <c r="E4196" s="1">
        <v>55.5</v>
      </c>
      <c r="F4196" s="1">
        <v>51</v>
      </c>
      <c r="H4196" s="1">
        <v>53.7</v>
      </c>
    </row>
    <row r="4197" s="1" customFormat="1" spans="1:8">
      <c r="A4197" s="1" t="s">
        <v>37</v>
      </c>
      <c r="B4197" s="1" t="s">
        <v>42</v>
      </c>
      <c r="C4197" s="1" t="str">
        <f t="shared" si="94"/>
        <v>020049</v>
      </c>
      <c r="D4197" s="1" t="str">
        <f>"512420012"</f>
        <v>512420012</v>
      </c>
      <c r="E4197" s="1">
        <v>52.5</v>
      </c>
      <c r="F4197" s="1">
        <v>75.5</v>
      </c>
      <c r="H4197" s="1">
        <v>61.7</v>
      </c>
    </row>
    <row r="4198" s="1" customFormat="1" spans="1:8">
      <c r="A4198" s="1" t="s">
        <v>37</v>
      </c>
      <c r="B4198" s="1" t="s">
        <v>42</v>
      </c>
      <c r="C4198" s="1" t="str">
        <f t="shared" si="94"/>
        <v>020049</v>
      </c>
      <c r="D4198" s="1" t="str">
        <f>"512420013"</f>
        <v>512420013</v>
      </c>
      <c r="E4198" s="1">
        <v>68.5</v>
      </c>
      <c r="F4198" s="1">
        <v>61.5</v>
      </c>
      <c r="H4198" s="1">
        <v>65.7</v>
      </c>
    </row>
    <row r="4199" s="1" customFormat="1" spans="1:8">
      <c r="A4199" s="1" t="s">
        <v>37</v>
      </c>
      <c r="B4199" s="1" t="s">
        <v>42</v>
      </c>
      <c r="C4199" s="1" t="str">
        <f t="shared" si="94"/>
        <v>020049</v>
      </c>
      <c r="D4199" s="1" t="str">
        <f>"512420014"</f>
        <v>512420014</v>
      </c>
      <c r="E4199" s="1">
        <v>66.5</v>
      </c>
      <c r="F4199" s="1">
        <v>60.5</v>
      </c>
      <c r="H4199" s="1">
        <v>64.1</v>
      </c>
    </row>
    <row r="4200" s="1" customFormat="1" spans="1:8">
      <c r="A4200" s="1" t="s">
        <v>37</v>
      </c>
      <c r="B4200" s="1" t="s">
        <v>42</v>
      </c>
      <c r="C4200" s="1" t="str">
        <f t="shared" si="94"/>
        <v>020049</v>
      </c>
      <c r="D4200" s="1" t="str">
        <f>"512420015"</f>
        <v>512420015</v>
      </c>
      <c r="E4200" s="1">
        <v>88.5</v>
      </c>
      <c r="F4200" s="1">
        <v>76.5</v>
      </c>
      <c r="H4200" s="1">
        <v>83.7</v>
      </c>
    </row>
    <row r="4201" s="1" customFormat="1" spans="1:8">
      <c r="A4201" s="1" t="s">
        <v>37</v>
      </c>
      <c r="B4201" s="1" t="s">
        <v>42</v>
      </c>
      <c r="C4201" s="1" t="str">
        <f t="shared" si="94"/>
        <v>020049</v>
      </c>
      <c r="D4201" s="1" t="str">
        <f>"512420016"</f>
        <v>512420016</v>
      </c>
      <c r="E4201" s="1">
        <v>54.5</v>
      </c>
      <c r="F4201" s="1">
        <v>65.5</v>
      </c>
      <c r="H4201" s="1">
        <v>58.9</v>
      </c>
    </row>
    <row r="4202" s="1" customFormat="1" spans="1:8">
      <c r="A4202" s="1" t="s">
        <v>38</v>
      </c>
      <c r="B4202" s="1" t="s">
        <v>42</v>
      </c>
      <c r="C4202" s="1" t="str">
        <f t="shared" ref="C4202:C4205" si="95">"020056"</f>
        <v>020056</v>
      </c>
      <c r="D4202" s="1" t="str">
        <f>"512420017"</f>
        <v>512420017</v>
      </c>
      <c r="E4202" s="1">
        <v>0</v>
      </c>
      <c r="F4202" s="1">
        <v>0</v>
      </c>
      <c r="H4202" s="1">
        <v>0</v>
      </c>
    </row>
    <row r="4203" s="1" customFormat="1" spans="1:8">
      <c r="A4203" s="1" t="s">
        <v>38</v>
      </c>
      <c r="B4203" s="1" t="s">
        <v>42</v>
      </c>
      <c r="C4203" s="1" t="str">
        <f t="shared" si="95"/>
        <v>020056</v>
      </c>
      <c r="D4203" s="1" t="str">
        <f>"512420018"</f>
        <v>512420018</v>
      </c>
      <c r="E4203" s="1">
        <v>0</v>
      </c>
      <c r="F4203" s="1">
        <v>0</v>
      </c>
      <c r="H4203" s="1">
        <v>0</v>
      </c>
    </row>
    <row r="4204" s="1" customFormat="1" spans="1:8">
      <c r="A4204" s="1" t="s">
        <v>38</v>
      </c>
      <c r="B4204" s="1" t="s">
        <v>42</v>
      </c>
      <c r="C4204" s="1" t="str">
        <f t="shared" si="95"/>
        <v>020056</v>
      </c>
      <c r="D4204" s="1" t="str">
        <f>"512420019"</f>
        <v>512420019</v>
      </c>
      <c r="E4204" s="1">
        <v>0</v>
      </c>
      <c r="F4204" s="1">
        <v>0</v>
      </c>
      <c r="H4204" s="1">
        <v>0</v>
      </c>
    </row>
    <row r="4205" s="1" customFormat="1" spans="1:8">
      <c r="A4205" s="1" t="s">
        <v>38</v>
      </c>
      <c r="B4205" s="1" t="s">
        <v>42</v>
      </c>
      <c r="C4205" s="1" t="str">
        <f t="shared" si="95"/>
        <v>020056</v>
      </c>
      <c r="D4205" s="1" t="str">
        <f>"512420020"</f>
        <v>512420020</v>
      </c>
      <c r="E4205" s="1">
        <v>82</v>
      </c>
      <c r="F4205" s="1">
        <v>65</v>
      </c>
      <c r="H4205" s="1">
        <v>75.2</v>
      </c>
    </row>
    <row r="4206" s="1" customFormat="1" spans="1:8">
      <c r="A4206" s="1" t="s">
        <v>32</v>
      </c>
      <c r="B4206" s="1" t="s">
        <v>43</v>
      </c>
      <c r="C4206" s="1" t="str">
        <f t="shared" ref="C4206:C4217" si="96">"020018"</f>
        <v>020018</v>
      </c>
      <c r="D4206" s="1" t="str">
        <f>"512421001"</f>
        <v>512421001</v>
      </c>
      <c r="E4206" s="1">
        <v>82</v>
      </c>
      <c r="F4206" s="1">
        <v>75.5</v>
      </c>
      <c r="H4206" s="1">
        <v>79.4</v>
      </c>
    </row>
    <row r="4207" s="1" customFormat="1" spans="1:8">
      <c r="A4207" s="1" t="s">
        <v>32</v>
      </c>
      <c r="B4207" s="1" t="s">
        <v>43</v>
      </c>
      <c r="C4207" s="1" t="str">
        <f t="shared" si="96"/>
        <v>020018</v>
      </c>
      <c r="D4207" s="1" t="str">
        <f>"512421002"</f>
        <v>512421002</v>
      </c>
      <c r="E4207" s="1">
        <v>94.5</v>
      </c>
      <c r="F4207" s="1">
        <v>62</v>
      </c>
      <c r="H4207" s="1">
        <v>81.5</v>
      </c>
    </row>
    <row r="4208" s="1" customFormat="1" spans="1:8">
      <c r="A4208" s="1" t="s">
        <v>32</v>
      </c>
      <c r="B4208" s="1" t="s">
        <v>43</v>
      </c>
      <c r="C4208" s="1" t="str">
        <f t="shared" si="96"/>
        <v>020018</v>
      </c>
      <c r="D4208" s="1" t="str">
        <f>"512421003"</f>
        <v>512421003</v>
      </c>
      <c r="E4208" s="1">
        <v>0</v>
      </c>
      <c r="F4208" s="1">
        <v>0</v>
      </c>
      <c r="H4208" s="1">
        <v>0</v>
      </c>
    </row>
    <row r="4209" s="1" customFormat="1" spans="1:8">
      <c r="A4209" s="1" t="s">
        <v>32</v>
      </c>
      <c r="B4209" s="1" t="s">
        <v>43</v>
      </c>
      <c r="C4209" s="1" t="str">
        <f t="shared" si="96"/>
        <v>020018</v>
      </c>
      <c r="D4209" s="1" t="str">
        <f>"512421004"</f>
        <v>512421004</v>
      </c>
      <c r="E4209" s="1">
        <v>83</v>
      </c>
      <c r="F4209" s="1">
        <v>64</v>
      </c>
      <c r="H4209" s="1">
        <v>75.4</v>
      </c>
    </row>
    <row r="4210" s="1" customFormat="1" spans="1:8">
      <c r="A4210" s="1" t="s">
        <v>32</v>
      </c>
      <c r="B4210" s="1" t="s">
        <v>43</v>
      </c>
      <c r="C4210" s="1" t="str">
        <f t="shared" si="96"/>
        <v>020018</v>
      </c>
      <c r="D4210" s="1" t="str">
        <f>"512421005"</f>
        <v>512421005</v>
      </c>
      <c r="E4210" s="1">
        <v>74.5</v>
      </c>
      <c r="F4210" s="1">
        <v>0</v>
      </c>
      <c r="H4210" s="1">
        <v>44.7</v>
      </c>
    </row>
    <row r="4211" s="1" customFormat="1" spans="1:8">
      <c r="A4211" s="1" t="s">
        <v>32</v>
      </c>
      <c r="B4211" s="1" t="s">
        <v>43</v>
      </c>
      <c r="C4211" s="1" t="str">
        <f t="shared" si="96"/>
        <v>020018</v>
      </c>
      <c r="D4211" s="1" t="str">
        <f>"512421006"</f>
        <v>512421006</v>
      </c>
      <c r="E4211" s="1">
        <v>94.5</v>
      </c>
      <c r="F4211" s="1">
        <v>80</v>
      </c>
      <c r="H4211" s="1">
        <v>88.7</v>
      </c>
    </row>
    <row r="4212" s="1" customFormat="1" spans="1:8">
      <c r="A4212" s="1" t="s">
        <v>32</v>
      </c>
      <c r="B4212" s="1" t="s">
        <v>43</v>
      </c>
      <c r="C4212" s="1" t="str">
        <f t="shared" si="96"/>
        <v>020018</v>
      </c>
      <c r="D4212" s="1" t="str">
        <f>"512421007"</f>
        <v>512421007</v>
      </c>
      <c r="E4212" s="1">
        <v>0</v>
      </c>
      <c r="F4212" s="1">
        <v>0</v>
      </c>
      <c r="H4212" s="1">
        <v>0</v>
      </c>
    </row>
    <row r="4213" s="1" customFormat="1" spans="1:8">
      <c r="A4213" s="1" t="s">
        <v>32</v>
      </c>
      <c r="B4213" s="1" t="s">
        <v>43</v>
      </c>
      <c r="C4213" s="1" t="str">
        <f t="shared" si="96"/>
        <v>020018</v>
      </c>
      <c r="D4213" s="1" t="str">
        <f>"512421008"</f>
        <v>512421008</v>
      </c>
      <c r="E4213" s="1">
        <v>94</v>
      </c>
      <c r="F4213" s="1">
        <v>80.5</v>
      </c>
      <c r="H4213" s="1">
        <v>88.6</v>
      </c>
    </row>
    <row r="4214" s="1" customFormat="1" spans="1:8">
      <c r="A4214" s="1" t="s">
        <v>32</v>
      </c>
      <c r="B4214" s="1" t="s">
        <v>43</v>
      </c>
      <c r="C4214" s="1" t="str">
        <f t="shared" si="96"/>
        <v>020018</v>
      </c>
      <c r="D4214" s="1" t="str">
        <f>"512421009"</f>
        <v>512421009</v>
      </c>
      <c r="E4214" s="1">
        <v>96</v>
      </c>
      <c r="F4214" s="1">
        <v>71.5</v>
      </c>
      <c r="H4214" s="1">
        <v>86.2</v>
      </c>
    </row>
    <row r="4215" s="1" customFormat="1" spans="1:8">
      <c r="A4215" s="1" t="s">
        <v>32</v>
      </c>
      <c r="B4215" s="1" t="s">
        <v>43</v>
      </c>
      <c r="C4215" s="1" t="str">
        <f t="shared" si="96"/>
        <v>020018</v>
      </c>
      <c r="D4215" s="1" t="str">
        <f>"512421010"</f>
        <v>512421010</v>
      </c>
      <c r="E4215" s="1">
        <v>81.5</v>
      </c>
      <c r="F4215" s="1">
        <v>57</v>
      </c>
      <c r="H4215" s="1">
        <v>71.7</v>
      </c>
    </row>
    <row r="4216" s="1" customFormat="1" spans="1:8">
      <c r="A4216" s="1" t="s">
        <v>32</v>
      </c>
      <c r="B4216" s="1" t="s">
        <v>43</v>
      </c>
      <c r="C4216" s="1" t="str">
        <f t="shared" si="96"/>
        <v>020018</v>
      </c>
      <c r="D4216" s="1" t="str">
        <f>"512421011"</f>
        <v>512421011</v>
      </c>
      <c r="E4216" s="1">
        <v>78.5</v>
      </c>
      <c r="F4216" s="1">
        <v>56.5</v>
      </c>
      <c r="H4216" s="1">
        <v>69.7</v>
      </c>
    </row>
    <row r="4217" s="1" customFormat="1" spans="1:8">
      <c r="A4217" s="1" t="s">
        <v>32</v>
      </c>
      <c r="B4217" s="1" t="s">
        <v>43</v>
      </c>
      <c r="C4217" s="1" t="str">
        <f t="shared" si="96"/>
        <v>020018</v>
      </c>
      <c r="D4217" s="1" t="str">
        <f>"512421012"</f>
        <v>512421012</v>
      </c>
      <c r="E4217" s="1">
        <v>78</v>
      </c>
      <c r="F4217" s="1">
        <v>78.5</v>
      </c>
      <c r="H4217" s="1">
        <v>78.2</v>
      </c>
    </row>
    <row r="4218" s="1" customFormat="1" spans="1:8">
      <c r="A4218" s="1" t="s">
        <v>34</v>
      </c>
      <c r="B4218" s="1" t="s">
        <v>43</v>
      </c>
      <c r="C4218" s="1" t="str">
        <f t="shared" ref="C4218:C4224" si="97">"020034"</f>
        <v>020034</v>
      </c>
      <c r="D4218" s="1" t="str">
        <f>"512421013"</f>
        <v>512421013</v>
      </c>
      <c r="E4218" s="1">
        <v>77</v>
      </c>
      <c r="F4218" s="1">
        <v>53</v>
      </c>
      <c r="H4218" s="1">
        <v>67.4</v>
      </c>
    </row>
    <row r="4219" s="1" customFormat="1" spans="1:8">
      <c r="A4219" s="1" t="s">
        <v>34</v>
      </c>
      <c r="B4219" s="1" t="s">
        <v>43</v>
      </c>
      <c r="C4219" s="1" t="str">
        <f t="shared" si="97"/>
        <v>020034</v>
      </c>
      <c r="D4219" s="1" t="str">
        <f>"512421014"</f>
        <v>512421014</v>
      </c>
      <c r="E4219" s="1">
        <v>86</v>
      </c>
      <c r="F4219" s="1">
        <v>63</v>
      </c>
      <c r="H4219" s="1">
        <v>76.8</v>
      </c>
    </row>
    <row r="4220" s="1" customFormat="1" spans="1:8">
      <c r="A4220" s="1" t="s">
        <v>34</v>
      </c>
      <c r="B4220" s="1" t="s">
        <v>43</v>
      </c>
      <c r="C4220" s="1" t="str">
        <f t="shared" si="97"/>
        <v>020034</v>
      </c>
      <c r="D4220" s="1" t="str">
        <f>"512421015"</f>
        <v>512421015</v>
      </c>
      <c r="E4220" s="1">
        <v>0</v>
      </c>
      <c r="F4220" s="1">
        <v>0</v>
      </c>
      <c r="H4220" s="1">
        <v>0</v>
      </c>
    </row>
    <row r="4221" s="1" customFormat="1" spans="1:8">
      <c r="A4221" s="1" t="s">
        <v>34</v>
      </c>
      <c r="B4221" s="1" t="s">
        <v>43</v>
      </c>
      <c r="C4221" s="1" t="str">
        <f t="shared" si="97"/>
        <v>020034</v>
      </c>
      <c r="D4221" s="1" t="str">
        <f>"512421016"</f>
        <v>512421016</v>
      </c>
      <c r="E4221" s="1">
        <v>87</v>
      </c>
      <c r="F4221" s="1">
        <v>71.5</v>
      </c>
      <c r="H4221" s="1">
        <v>80.8</v>
      </c>
    </row>
    <row r="4222" s="1" customFormat="1" spans="1:8">
      <c r="A4222" s="1" t="s">
        <v>34</v>
      </c>
      <c r="B4222" s="1" t="s">
        <v>43</v>
      </c>
      <c r="C4222" s="1" t="str">
        <f t="shared" si="97"/>
        <v>020034</v>
      </c>
      <c r="D4222" s="1" t="str">
        <f>"512421017"</f>
        <v>512421017</v>
      </c>
      <c r="E4222" s="1">
        <v>83</v>
      </c>
      <c r="F4222" s="1">
        <v>74.5</v>
      </c>
      <c r="H4222" s="1">
        <v>79.6</v>
      </c>
    </row>
    <row r="4223" s="1" customFormat="1" spans="1:8">
      <c r="A4223" s="1" t="s">
        <v>34</v>
      </c>
      <c r="B4223" s="1" t="s">
        <v>43</v>
      </c>
      <c r="C4223" s="1" t="str">
        <f t="shared" si="97"/>
        <v>020034</v>
      </c>
      <c r="D4223" s="1" t="str">
        <f>"512421018"</f>
        <v>512421018</v>
      </c>
      <c r="E4223" s="1">
        <v>88.5</v>
      </c>
      <c r="F4223" s="1">
        <v>73.5</v>
      </c>
      <c r="H4223" s="1">
        <v>82.5</v>
      </c>
    </row>
    <row r="4224" s="1" customFormat="1" spans="1:8">
      <c r="A4224" s="1" t="s">
        <v>34</v>
      </c>
      <c r="B4224" s="1" t="s">
        <v>43</v>
      </c>
      <c r="C4224" s="1" t="str">
        <f t="shared" si="97"/>
        <v>020034</v>
      </c>
      <c r="D4224" s="1" t="str">
        <f>"512421019"</f>
        <v>512421019</v>
      </c>
      <c r="E4224" s="1">
        <v>93.5</v>
      </c>
      <c r="F4224" s="1">
        <v>73.5</v>
      </c>
      <c r="H4224" s="1">
        <v>85.5</v>
      </c>
    </row>
    <row r="4225" s="1" customFormat="1" spans="1:8">
      <c r="A4225" s="1" t="s">
        <v>37</v>
      </c>
      <c r="B4225" s="1" t="s">
        <v>44</v>
      </c>
      <c r="C4225" s="1" t="str">
        <f t="shared" ref="C4225:C4246" si="98">"020051"</f>
        <v>020051</v>
      </c>
      <c r="D4225" s="1" t="str">
        <f>"512421020"</f>
        <v>512421020</v>
      </c>
      <c r="E4225" s="1">
        <v>0</v>
      </c>
      <c r="F4225" s="1">
        <v>0</v>
      </c>
      <c r="H4225" s="1">
        <v>0</v>
      </c>
    </row>
    <row r="4226" s="1" customFormat="1" spans="1:8">
      <c r="A4226" s="1" t="s">
        <v>37</v>
      </c>
      <c r="B4226" s="1" t="s">
        <v>44</v>
      </c>
      <c r="C4226" s="1" t="str">
        <f t="shared" si="98"/>
        <v>020051</v>
      </c>
      <c r="D4226" s="1" t="str">
        <f>"512421021"</f>
        <v>512421021</v>
      </c>
      <c r="E4226" s="1">
        <v>91</v>
      </c>
      <c r="F4226" s="1">
        <v>74</v>
      </c>
      <c r="H4226" s="1">
        <v>84.2</v>
      </c>
    </row>
    <row r="4227" s="1" customFormat="1" spans="1:8">
      <c r="A4227" s="1" t="s">
        <v>37</v>
      </c>
      <c r="B4227" s="1" t="s">
        <v>44</v>
      </c>
      <c r="C4227" s="1" t="str">
        <f t="shared" si="98"/>
        <v>020051</v>
      </c>
      <c r="D4227" s="1" t="str">
        <f>"512421022"</f>
        <v>512421022</v>
      </c>
      <c r="E4227" s="1">
        <v>94</v>
      </c>
      <c r="F4227" s="1">
        <v>91</v>
      </c>
      <c r="H4227" s="1">
        <v>92.8</v>
      </c>
    </row>
    <row r="4228" s="1" customFormat="1" spans="1:8">
      <c r="A4228" s="1" t="s">
        <v>37</v>
      </c>
      <c r="B4228" s="1" t="s">
        <v>44</v>
      </c>
      <c r="C4228" s="1" t="str">
        <f t="shared" si="98"/>
        <v>020051</v>
      </c>
      <c r="D4228" s="1" t="str">
        <f>"512421023"</f>
        <v>512421023</v>
      </c>
      <c r="E4228" s="1">
        <v>83</v>
      </c>
      <c r="F4228" s="1">
        <v>82.5</v>
      </c>
      <c r="H4228" s="1">
        <v>82.8</v>
      </c>
    </row>
    <row r="4229" s="1" customFormat="1" spans="1:8">
      <c r="A4229" s="1" t="s">
        <v>37</v>
      </c>
      <c r="B4229" s="1" t="s">
        <v>44</v>
      </c>
      <c r="C4229" s="1" t="str">
        <f t="shared" si="98"/>
        <v>020051</v>
      </c>
      <c r="D4229" s="1" t="str">
        <f>"512421024"</f>
        <v>512421024</v>
      </c>
      <c r="E4229" s="1">
        <v>87.5</v>
      </c>
      <c r="F4229" s="1">
        <v>88</v>
      </c>
      <c r="H4229" s="1">
        <v>87.7</v>
      </c>
    </row>
    <row r="4230" s="1" customFormat="1" spans="1:8">
      <c r="A4230" s="1" t="s">
        <v>37</v>
      </c>
      <c r="B4230" s="1" t="s">
        <v>44</v>
      </c>
      <c r="C4230" s="1" t="str">
        <f t="shared" si="98"/>
        <v>020051</v>
      </c>
      <c r="D4230" s="1" t="str">
        <f>"512421025"</f>
        <v>512421025</v>
      </c>
      <c r="E4230" s="1">
        <v>87</v>
      </c>
      <c r="F4230" s="1">
        <v>76</v>
      </c>
      <c r="H4230" s="1">
        <v>82.6</v>
      </c>
    </row>
    <row r="4231" s="1" customFormat="1" spans="1:8">
      <c r="A4231" s="1" t="s">
        <v>37</v>
      </c>
      <c r="B4231" s="1" t="s">
        <v>44</v>
      </c>
      <c r="C4231" s="1" t="str">
        <f t="shared" si="98"/>
        <v>020051</v>
      </c>
      <c r="D4231" s="1" t="str">
        <f>"512421026"</f>
        <v>512421026</v>
      </c>
      <c r="E4231" s="1">
        <v>80</v>
      </c>
      <c r="F4231" s="1">
        <v>61</v>
      </c>
      <c r="H4231" s="1">
        <v>72.4</v>
      </c>
    </row>
    <row r="4232" s="1" customFormat="1" spans="1:8">
      <c r="A4232" s="1" t="s">
        <v>37</v>
      </c>
      <c r="B4232" s="1" t="s">
        <v>44</v>
      </c>
      <c r="C4232" s="1" t="str">
        <f t="shared" si="98"/>
        <v>020051</v>
      </c>
      <c r="D4232" s="1" t="str">
        <f>"512421027"</f>
        <v>512421027</v>
      </c>
      <c r="E4232" s="1">
        <v>92.5</v>
      </c>
      <c r="F4232" s="1">
        <v>74.5</v>
      </c>
      <c r="H4232" s="1">
        <v>85.3</v>
      </c>
    </row>
    <row r="4233" s="1" customFormat="1" spans="1:8">
      <c r="A4233" s="1" t="s">
        <v>37</v>
      </c>
      <c r="B4233" s="1" t="s">
        <v>44</v>
      </c>
      <c r="C4233" s="1" t="str">
        <f t="shared" si="98"/>
        <v>020051</v>
      </c>
      <c r="D4233" s="1" t="str">
        <f>"512421028"</f>
        <v>512421028</v>
      </c>
      <c r="E4233" s="1">
        <v>90.5</v>
      </c>
      <c r="F4233" s="1">
        <v>75</v>
      </c>
      <c r="H4233" s="1">
        <v>84.3</v>
      </c>
    </row>
    <row r="4234" s="1" customFormat="1" spans="1:8">
      <c r="A4234" s="1" t="s">
        <v>37</v>
      </c>
      <c r="B4234" s="1" t="s">
        <v>44</v>
      </c>
      <c r="C4234" s="1" t="str">
        <f t="shared" si="98"/>
        <v>020051</v>
      </c>
      <c r="D4234" s="1" t="str">
        <f>"512421029"</f>
        <v>512421029</v>
      </c>
      <c r="E4234" s="1">
        <v>76.5</v>
      </c>
      <c r="F4234" s="1">
        <v>58</v>
      </c>
      <c r="H4234" s="1">
        <v>69.1</v>
      </c>
    </row>
    <row r="4235" s="1" customFormat="1" spans="1:8">
      <c r="A4235" s="1" t="s">
        <v>37</v>
      </c>
      <c r="B4235" s="1" t="s">
        <v>44</v>
      </c>
      <c r="C4235" s="1" t="str">
        <f t="shared" si="98"/>
        <v>020051</v>
      </c>
      <c r="D4235" s="1" t="str">
        <f>"512421030"</f>
        <v>512421030</v>
      </c>
      <c r="E4235" s="1">
        <v>0</v>
      </c>
      <c r="F4235" s="1">
        <v>0</v>
      </c>
      <c r="H4235" s="1">
        <v>0</v>
      </c>
    </row>
    <row r="4236" s="1" customFormat="1" spans="1:8">
      <c r="A4236" s="1" t="s">
        <v>37</v>
      </c>
      <c r="B4236" s="1" t="s">
        <v>44</v>
      </c>
      <c r="C4236" s="1" t="str">
        <f t="shared" si="98"/>
        <v>020051</v>
      </c>
      <c r="D4236" s="1" t="str">
        <f>"512421101"</f>
        <v>512421101</v>
      </c>
      <c r="E4236" s="1">
        <v>82</v>
      </c>
      <c r="F4236" s="1">
        <v>69</v>
      </c>
      <c r="H4236" s="1">
        <v>76.8</v>
      </c>
    </row>
    <row r="4237" s="1" customFormat="1" spans="1:8">
      <c r="A4237" s="1" t="s">
        <v>37</v>
      </c>
      <c r="B4237" s="1" t="s">
        <v>44</v>
      </c>
      <c r="C4237" s="1" t="str">
        <f t="shared" si="98"/>
        <v>020051</v>
      </c>
      <c r="D4237" s="1" t="str">
        <f>"512421102"</f>
        <v>512421102</v>
      </c>
      <c r="E4237" s="1">
        <v>81</v>
      </c>
      <c r="F4237" s="1">
        <v>54</v>
      </c>
      <c r="H4237" s="1">
        <v>70.2</v>
      </c>
    </row>
    <row r="4238" s="1" customFormat="1" spans="1:8">
      <c r="A4238" s="1" t="s">
        <v>37</v>
      </c>
      <c r="B4238" s="1" t="s">
        <v>44</v>
      </c>
      <c r="C4238" s="1" t="str">
        <f t="shared" si="98"/>
        <v>020051</v>
      </c>
      <c r="D4238" s="1" t="str">
        <f>"512421103"</f>
        <v>512421103</v>
      </c>
      <c r="E4238" s="1">
        <v>89</v>
      </c>
      <c r="F4238" s="1">
        <v>66</v>
      </c>
      <c r="H4238" s="1">
        <v>79.8</v>
      </c>
    </row>
    <row r="4239" s="1" customFormat="1" spans="1:8">
      <c r="A4239" s="1" t="s">
        <v>37</v>
      </c>
      <c r="B4239" s="1" t="s">
        <v>44</v>
      </c>
      <c r="C4239" s="1" t="str">
        <f t="shared" si="98"/>
        <v>020051</v>
      </c>
      <c r="D4239" s="1" t="str">
        <f>"512421104"</f>
        <v>512421104</v>
      </c>
      <c r="E4239" s="1">
        <v>0</v>
      </c>
      <c r="F4239" s="1">
        <v>0</v>
      </c>
      <c r="H4239" s="1">
        <v>0</v>
      </c>
    </row>
    <row r="4240" s="1" customFormat="1" spans="1:8">
      <c r="A4240" s="1" t="s">
        <v>37</v>
      </c>
      <c r="B4240" s="1" t="s">
        <v>44</v>
      </c>
      <c r="C4240" s="1" t="str">
        <f t="shared" si="98"/>
        <v>020051</v>
      </c>
      <c r="D4240" s="1" t="str">
        <f>"512421105"</f>
        <v>512421105</v>
      </c>
      <c r="E4240" s="1">
        <v>82.5</v>
      </c>
      <c r="F4240" s="1">
        <v>54.5</v>
      </c>
      <c r="H4240" s="1">
        <v>71.3</v>
      </c>
    </row>
    <row r="4241" s="1" customFormat="1" spans="1:8">
      <c r="A4241" s="1" t="s">
        <v>37</v>
      </c>
      <c r="B4241" s="1" t="s">
        <v>44</v>
      </c>
      <c r="C4241" s="1" t="str">
        <f t="shared" si="98"/>
        <v>020051</v>
      </c>
      <c r="D4241" s="1" t="str">
        <f>"512421106"</f>
        <v>512421106</v>
      </c>
      <c r="E4241" s="1">
        <v>81</v>
      </c>
      <c r="F4241" s="1">
        <v>55</v>
      </c>
      <c r="H4241" s="1">
        <v>70.6</v>
      </c>
    </row>
    <row r="4242" s="1" customFormat="1" spans="1:8">
      <c r="A4242" s="1" t="s">
        <v>37</v>
      </c>
      <c r="B4242" s="1" t="s">
        <v>44</v>
      </c>
      <c r="C4242" s="1" t="str">
        <f t="shared" si="98"/>
        <v>020051</v>
      </c>
      <c r="D4242" s="1" t="str">
        <f>"512421107"</f>
        <v>512421107</v>
      </c>
      <c r="E4242" s="1">
        <v>90</v>
      </c>
      <c r="F4242" s="1">
        <v>70.5</v>
      </c>
      <c r="H4242" s="1">
        <v>82.2</v>
      </c>
    </row>
    <row r="4243" s="1" customFormat="1" spans="1:8">
      <c r="A4243" s="1" t="s">
        <v>37</v>
      </c>
      <c r="B4243" s="1" t="s">
        <v>44</v>
      </c>
      <c r="C4243" s="1" t="str">
        <f t="shared" si="98"/>
        <v>020051</v>
      </c>
      <c r="D4243" s="1" t="str">
        <f>"512421108"</f>
        <v>512421108</v>
      </c>
      <c r="E4243" s="1">
        <v>66.5</v>
      </c>
      <c r="F4243" s="1">
        <v>55</v>
      </c>
      <c r="H4243" s="1">
        <v>61.9</v>
      </c>
    </row>
    <row r="4244" s="1" customFormat="1" spans="1:8">
      <c r="A4244" s="1" t="s">
        <v>37</v>
      </c>
      <c r="B4244" s="1" t="s">
        <v>44</v>
      </c>
      <c r="C4244" s="1" t="str">
        <f t="shared" si="98"/>
        <v>020051</v>
      </c>
      <c r="D4244" s="1" t="str">
        <f>"512421109"</f>
        <v>512421109</v>
      </c>
      <c r="E4244" s="1">
        <v>77</v>
      </c>
      <c r="F4244" s="1">
        <v>74.5</v>
      </c>
      <c r="H4244" s="1">
        <v>76</v>
      </c>
    </row>
    <row r="4245" s="1" customFormat="1" spans="1:8">
      <c r="A4245" s="1" t="s">
        <v>37</v>
      </c>
      <c r="B4245" s="1" t="s">
        <v>44</v>
      </c>
      <c r="C4245" s="1" t="str">
        <f t="shared" si="98"/>
        <v>020051</v>
      </c>
      <c r="D4245" s="1" t="str">
        <f>"512421110"</f>
        <v>512421110</v>
      </c>
      <c r="E4245" s="1">
        <v>92</v>
      </c>
      <c r="F4245" s="1">
        <v>92</v>
      </c>
      <c r="H4245" s="1">
        <v>92</v>
      </c>
    </row>
    <row r="4246" s="1" customFormat="1" spans="1:8">
      <c r="A4246" s="1" t="s">
        <v>37</v>
      </c>
      <c r="B4246" s="1" t="s">
        <v>44</v>
      </c>
      <c r="C4246" s="1" t="str">
        <f t="shared" si="98"/>
        <v>020051</v>
      </c>
      <c r="D4246" s="1" t="str">
        <f>"512421111"</f>
        <v>512421111</v>
      </c>
      <c r="E4246" s="1">
        <v>63.5</v>
      </c>
      <c r="F4246" s="1">
        <v>49.5</v>
      </c>
      <c r="H4246" s="1">
        <v>57.9</v>
      </c>
    </row>
    <row r="4247" s="1" customFormat="1" spans="1:8">
      <c r="A4247" s="1" t="s">
        <v>39</v>
      </c>
      <c r="B4247" s="1" t="s">
        <v>45</v>
      </c>
      <c r="C4247" s="1" t="str">
        <f t="shared" ref="C4247:C4310" si="99">"020001"</f>
        <v>020001</v>
      </c>
      <c r="D4247" s="1" t="str">
        <f>"512521701"</f>
        <v>512521701</v>
      </c>
      <c r="E4247" s="1">
        <v>59.5</v>
      </c>
      <c r="F4247" s="1">
        <v>65.5</v>
      </c>
      <c r="H4247" s="1">
        <v>61.9</v>
      </c>
    </row>
    <row r="4248" s="1" customFormat="1" spans="1:8">
      <c r="A4248" s="1" t="s">
        <v>39</v>
      </c>
      <c r="B4248" s="1" t="s">
        <v>45</v>
      </c>
      <c r="C4248" s="1" t="str">
        <f t="shared" si="99"/>
        <v>020001</v>
      </c>
      <c r="D4248" s="1" t="str">
        <f>"512521702"</f>
        <v>512521702</v>
      </c>
      <c r="E4248" s="1">
        <v>64</v>
      </c>
      <c r="F4248" s="1">
        <v>59</v>
      </c>
      <c r="H4248" s="1">
        <v>62</v>
      </c>
    </row>
    <row r="4249" s="1" customFormat="1" spans="1:8">
      <c r="A4249" s="1" t="s">
        <v>39</v>
      </c>
      <c r="B4249" s="1" t="s">
        <v>45</v>
      </c>
      <c r="C4249" s="1" t="str">
        <f t="shared" si="99"/>
        <v>020001</v>
      </c>
      <c r="D4249" s="1" t="str">
        <f>"512521703"</f>
        <v>512521703</v>
      </c>
      <c r="E4249" s="1">
        <v>51.5</v>
      </c>
      <c r="F4249" s="1">
        <v>62</v>
      </c>
      <c r="H4249" s="1">
        <v>55.7</v>
      </c>
    </row>
    <row r="4250" s="1" customFormat="1" spans="1:8">
      <c r="A4250" s="1" t="s">
        <v>39</v>
      </c>
      <c r="B4250" s="1" t="s">
        <v>45</v>
      </c>
      <c r="C4250" s="1" t="str">
        <f t="shared" si="99"/>
        <v>020001</v>
      </c>
      <c r="D4250" s="1" t="str">
        <f>"512521704"</f>
        <v>512521704</v>
      </c>
      <c r="E4250" s="1">
        <v>99</v>
      </c>
      <c r="F4250" s="1">
        <v>66</v>
      </c>
      <c r="H4250" s="1">
        <v>85.8</v>
      </c>
    </row>
    <row r="4251" s="1" customFormat="1" spans="1:8">
      <c r="A4251" s="1" t="s">
        <v>39</v>
      </c>
      <c r="B4251" s="1" t="s">
        <v>45</v>
      </c>
      <c r="C4251" s="1" t="str">
        <f t="shared" si="99"/>
        <v>020001</v>
      </c>
      <c r="D4251" s="1" t="str">
        <f>"512521705"</f>
        <v>512521705</v>
      </c>
      <c r="E4251" s="1">
        <v>48</v>
      </c>
      <c r="F4251" s="1">
        <v>69.5</v>
      </c>
      <c r="H4251" s="1">
        <v>56.6</v>
      </c>
    </row>
    <row r="4252" s="1" customFormat="1" spans="1:8">
      <c r="A4252" s="1" t="s">
        <v>39</v>
      </c>
      <c r="B4252" s="1" t="s">
        <v>45</v>
      </c>
      <c r="C4252" s="1" t="str">
        <f t="shared" si="99"/>
        <v>020001</v>
      </c>
      <c r="D4252" s="1" t="str">
        <f>"512521706"</f>
        <v>512521706</v>
      </c>
      <c r="E4252" s="1">
        <v>56.5</v>
      </c>
      <c r="F4252" s="1">
        <v>34</v>
      </c>
      <c r="H4252" s="1">
        <v>47.5</v>
      </c>
    </row>
    <row r="4253" s="1" customFormat="1" spans="1:8">
      <c r="A4253" s="1" t="s">
        <v>39</v>
      </c>
      <c r="B4253" s="1" t="s">
        <v>45</v>
      </c>
      <c r="C4253" s="1" t="str">
        <f t="shared" si="99"/>
        <v>020001</v>
      </c>
      <c r="D4253" s="1" t="str">
        <f>"512521707"</f>
        <v>512521707</v>
      </c>
      <c r="E4253" s="1">
        <v>0</v>
      </c>
      <c r="F4253" s="1">
        <v>0</v>
      </c>
      <c r="H4253" s="1">
        <v>0</v>
      </c>
    </row>
    <row r="4254" s="1" customFormat="1" spans="1:8">
      <c r="A4254" s="1" t="s">
        <v>39</v>
      </c>
      <c r="B4254" s="1" t="s">
        <v>45</v>
      </c>
      <c r="C4254" s="1" t="str">
        <f t="shared" si="99"/>
        <v>020001</v>
      </c>
      <c r="D4254" s="1" t="str">
        <f>"512521708"</f>
        <v>512521708</v>
      </c>
      <c r="E4254" s="1">
        <v>68</v>
      </c>
      <c r="F4254" s="1">
        <v>65.5</v>
      </c>
      <c r="H4254" s="1">
        <v>67</v>
      </c>
    </row>
    <row r="4255" s="1" customFormat="1" spans="1:8">
      <c r="A4255" s="1" t="s">
        <v>39</v>
      </c>
      <c r="B4255" s="1" t="s">
        <v>45</v>
      </c>
      <c r="C4255" s="1" t="str">
        <f t="shared" si="99"/>
        <v>020001</v>
      </c>
      <c r="D4255" s="1" t="str">
        <f>"512521709"</f>
        <v>512521709</v>
      </c>
      <c r="E4255" s="1">
        <v>80</v>
      </c>
      <c r="F4255" s="1">
        <v>71</v>
      </c>
      <c r="H4255" s="1">
        <v>76.4</v>
      </c>
    </row>
    <row r="4256" s="1" customFormat="1" spans="1:8">
      <c r="A4256" s="1" t="s">
        <v>39</v>
      </c>
      <c r="B4256" s="1" t="s">
        <v>45</v>
      </c>
      <c r="C4256" s="1" t="str">
        <f t="shared" si="99"/>
        <v>020001</v>
      </c>
      <c r="D4256" s="1" t="str">
        <f>"512521710"</f>
        <v>512521710</v>
      </c>
      <c r="E4256" s="1">
        <v>47</v>
      </c>
      <c r="F4256" s="1">
        <v>51.5</v>
      </c>
      <c r="H4256" s="1">
        <v>48.8</v>
      </c>
    </row>
    <row r="4257" s="1" customFormat="1" spans="1:8">
      <c r="A4257" s="1" t="s">
        <v>39</v>
      </c>
      <c r="B4257" s="1" t="s">
        <v>45</v>
      </c>
      <c r="C4257" s="1" t="str">
        <f t="shared" si="99"/>
        <v>020001</v>
      </c>
      <c r="D4257" s="1" t="str">
        <f>"512521711"</f>
        <v>512521711</v>
      </c>
      <c r="E4257" s="1">
        <v>75</v>
      </c>
      <c r="F4257" s="1">
        <v>72.5</v>
      </c>
      <c r="H4257" s="1">
        <v>74</v>
      </c>
    </row>
    <row r="4258" s="1" customFormat="1" spans="1:8">
      <c r="A4258" s="1" t="s">
        <v>39</v>
      </c>
      <c r="B4258" s="1" t="s">
        <v>45</v>
      </c>
      <c r="C4258" s="1" t="str">
        <f t="shared" si="99"/>
        <v>020001</v>
      </c>
      <c r="D4258" s="1" t="str">
        <f>"512521712"</f>
        <v>512521712</v>
      </c>
      <c r="E4258" s="1">
        <v>58</v>
      </c>
      <c r="F4258" s="1">
        <v>73.5</v>
      </c>
      <c r="H4258" s="1">
        <v>64.2</v>
      </c>
    </row>
    <row r="4259" s="1" customFormat="1" spans="1:8">
      <c r="A4259" s="1" t="s">
        <v>39</v>
      </c>
      <c r="B4259" s="1" t="s">
        <v>45</v>
      </c>
      <c r="C4259" s="1" t="str">
        <f t="shared" si="99"/>
        <v>020001</v>
      </c>
      <c r="D4259" s="1" t="str">
        <f>"512521713"</f>
        <v>512521713</v>
      </c>
      <c r="E4259" s="1">
        <v>70</v>
      </c>
      <c r="F4259" s="1">
        <v>82</v>
      </c>
      <c r="H4259" s="1">
        <v>74.8</v>
      </c>
    </row>
    <row r="4260" s="1" customFormat="1" spans="1:8">
      <c r="A4260" s="1" t="s">
        <v>39</v>
      </c>
      <c r="B4260" s="1" t="s">
        <v>45</v>
      </c>
      <c r="C4260" s="1" t="str">
        <f t="shared" si="99"/>
        <v>020001</v>
      </c>
      <c r="D4260" s="1" t="str">
        <f>"512521714"</f>
        <v>512521714</v>
      </c>
      <c r="E4260" s="1">
        <v>61.5</v>
      </c>
      <c r="F4260" s="1">
        <v>54.5</v>
      </c>
      <c r="H4260" s="1">
        <v>58.7</v>
      </c>
    </row>
    <row r="4261" s="1" customFormat="1" spans="1:8">
      <c r="A4261" s="1" t="s">
        <v>39</v>
      </c>
      <c r="B4261" s="1" t="s">
        <v>45</v>
      </c>
      <c r="C4261" s="1" t="str">
        <f t="shared" si="99"/>
        <v>020001</v>
      </c>
      <c r="D4261" s="1" t="str">
        <f>"512521715"</f>
        <v>512521715</v>
      </c>
      <c r="E4261" s="1">
        <v>78.5</v>
      </c>
      <c r="F4261" s="1">
        <v>63.5</v>
      </c>
      <c r="H4261" s="1">
        <v>72.5</v>
      </c>
    </row>
    <row r="4262" s="1" customFormat="1" spans="1:8">
      <c r="A4262" s="1" t="s">
        <v>39</v>
      </c>
      <c r="B4262" s="1" t="s">
        <v>45</v>
      </c>
      <c r="C4262" s="1" t="str">
        <f t="shared" si="99"/>
        <v>020001</v>
      </c>
      <c r="D4262" s="1" t="str">
        <f>"512521716"</f>
        <v>512521716</v>
      </c>
      <c r="E4262" s="1">
        <v>46</v>
      </c>
      <c r="F4262" s="1">
        <v>0</v>
      </c>
      <c r="H4262" s="1">
        <v>27.6</v>
      </c>
    </row>
    <row r="4263" s="1" customFormat="1" spans="1:8">
      <c r="A4263" s="1" t="s">
        <v>39</v>
      </c>
      <c r="B4263" s="1" t="s">
        <v>45</v>
      </c>
      <c r="C4263" s="1" t="str">
        <f t="shared" si="99"/>
        <v>020001</v>
      </c>
      <c r="D4263" s="1" t="str">
        <f>"512521717"</f>
        <v>512521717</v>
      </c>
      <c r="E4263" s="1">
        <v>29.5</v>
      </c>
      <c r="F4263" s="1">
        <v>51</v>
      </c>
      <c r="H4263" s="1">
        <v>38.1</v>
      </c>
    </row>
    <row r="4264" s="1" customFormat="1" spans="1:8">
      <c r="A4264" s="1" t="s">
        <v>39</v>
      </c>
      <c r="B4264" s="1" t="s">
        <v>45</v>
      </c>
      <c r="C4264" s="1" t="str">
        <f t="shared" si="99"/>
        <v>020001</v>
      </c>
      <c r="D4264" s="1" t="str">
        <f>"512521718"</f>
        <v>512521718</v>
      </c>
      <c r="E4264" s="1">
        <v>63</v>
      </c>
      <c r="F4264" s="1">
        <v>65</v>
      </c>
      <c r="H4264" s="1">
        <v>63.8</v>
      </c>
    </row>
    <row r="4265" s="1" customFormat="1" spans="1:8">
      <c r="A4265" s="1" t="s">
        <v>39</v>
      </c>
      <c r="B4265" s="1" t="s">
        <v>45</v>
      </c>
      <c r="C4265" s="1" t="str">
        <f t="shared" si="99"/>
        <v>020001</v>
      </c>
      <c r="D4265" s="1" t="str">
        <f>"512521719"</f>
        <v>512521719</v>
      </c>
      <c r="E4265" s="1">
        <v>96</v>
      </c>
      <c r="F4265" s="1">
        <v>83.5</v>
      </c>
      <c r="H4265" s="1">
        <v>91</v>
      </c>
    </row>
    <row r="4266" s="1" customFormat="1" spans="1:8">
      <c r="A4266" s="1" t="s">
        <v>39</v>
      </c>
      <c r="B4266" s="1" t="s">
        <v>45</v>
      </c>
      <c r="C4266" s="1" t="str">
        <f t="shared" si="99"/>
        <v>020001</v>
      </c>
      <c r="D4266" s="1" t="str">
        <f>"512521720"</f>
        <v>512521720</v>
      </c>
      <c r="E4266" s="1">
        <v>80.5</v>
      </c>
      <c r="F4266" s="1">
        <v>72</v>
      </c>
      <c r="H4266" s="1">
        <v>77.1</v>
      </c>
    </row>
    <row r="4267" s="1" customFormat="1" spans="1:8">
      <c r="A4267" s="1" t="s">
        <v>39</v>
      </c>
      <c r="B4267" s="1" t="s">
        <v>45</v>
      </c>
      <c r="C4267" s="1" t="str">
        <f t="shared" si="99"/>
        <v>020001</v>
      </c>
      <c r="D4267" s="1" t="str">
        <f>"512521721"</f>
        <v>512521721</v>
      </c>
      <c r="E4267" s="1">
        <v>78</v>
      </c>
      <c r="F4267" s="1">
        <v>67</v>
      </c>
      <c r="H4267" s="1">
        <v>73.6</v>
      </c>
    </row>
    <row r="4268" s="1" customFormat="1" spans="1:8">
      <c r="A4268" s="1" t="s">
        <v>39</v>
      </c>
      <c r="B4268" s="1" t="s">
        <v>45</v>
      </c>
      <c r="C4268" s="1" t="str">
        <f t="shared" si="99"/>
        <v>020001</v>
      </c>
      <c r="D4268" s="1" t="str">
        <f>"512521722"</f>
        <v>512521722</v>
      </c>
      <c r="E4268" s="1">
        <v>0</v>
      </c>
      <c r="F4268" s="1">
        <v>0</v>
      </c>
      <c r="H4268" s="1">
        <v>0</v>
      </c>
    </row>
    <row r="4269" s="1" customFormat="1" spans="1:8">
      <c r="A4269" s="1" t="s">
        <v>39</v>
      </c>
      <c r="B4269" s="1" t="s">
        <v>45</v>
      </c>
      <c r="C4269" s="1" t="str">
        <f t="shared" si="99"/>
        <v>020001</v>
      </c>
      <c r="D4269" s="1" t="str">
        <f>"512521723"</f>
        <v>512521723</v>
      </c>
      <c r="E4269" s="1">
        <v>0</v>
      </c>
      <c r="F4269" s="1">
        <v>0</v>
      </c>
      <c r="H4269" s="1">
        <v>0</v>
      </c>
    </row>
    <row r="4270" s="1" customFormat="1" spans="1:8">
      <c r="A4270" s="1" t="s">
        <v>39</v>
      </c>
      <c r="B4270" s="1" t="s">
        <v>45</v>
      </c>
      <c r="C4270" s="1" t="str">
        <f t="shared" si="99"/>
        <v>020001</v>
      </c>
      <c r="D4270" s="1" t="str">
        <f>"512521724"</f>
        <v>512521724</v>
      </c>
      <c r="E4270" s="1">
        <v>77</v>
      </c>
      <c r="F4270" s="1">
        <v>53.5</v>
      </c>
      <c r="H4270" s="1">
        <v>67.6</v>
      </c>
    </row>
    <row r="4271" s="1" customFormat="1" spans="1:8">
      <c r="A4271" s="1" t="s">
        <v>39</v>
      </c>
      <c r="B4271" s="1" t="s">
        <v>45</v>
      </c>
      <c r="C4271" s="1" t="str">
        <f t="shared" si="99"/>
        <v>020001</v>
      </c>
      <c r="D4271" s="1" t="str">
        <f>"512521725"</f>
        <v>512521725</v>
      </c>
      <c r="E4271" s="1">
        <v>0</v>
      </c>
      <c r="F4271" s="1">
        <v>0</v>
      </c>
      <c r="H4271" s="1">
        <v>0</v>
      </c>
    </row>
    <row r="4272" s="1" customFormat="1" spans="1:8">
      <c r="A4272" s="1" t="s">
        <v>39</v>
      </c>
      <c r="B4272" s="1" t="s">
        <v>45</v>
      </c>
      <c r="C4272" s="1" t="str">
        <f t="shared" si="99"/>
        <v>020001</v>
      </c>
      <c r="D4272" s="1" t="str">
        <f>"512521726"</f>
        <v>512521726</v>
      </c>
      <c r="E4272" s="1">
        <v>101.5</v>
      </c>
      <c r="F4272" s="1">
        <v>76.5</v>
      </c>
      <c r="H4272" s="1">
        <v>91.5</v>
      </c>
    </row>
    <row r="4273" s="1" customFormat="1" spans="1:8">
      <c r="A4273" s="1" t="s">
        <v>39</v>
      </c>
      <c r="B4273" s="1" t="s">
        <v>45</v>
      </c>
      <c r="C4273" s="1" t="str">
        <f t="shared" si="99"/>
        <v>020001</v>
      </c>
      <c r="D4273" s="1" t="str">
        <f>"512521727"</f>
        <v>512521727</v>
      </c>
      <c r="E4273" s="1">
        <v>34.5</v>
      </c>
      <c r="F4273" s="1">
        <v>62</v>
      </c>
      <c r="H4273" s="1">
        <v>45.5</v>
      </c>
    </row>
    <row r="4274" s="1" customFormat="1" spans="1:8">
      <c r="A4274" s="1" t="s">
        <v>39</v>
      </c>
      <c r="B4274" s="1" t="s">
        <v>45</v>
      </c>
      <c r="C4274" s="1" t="str">
        <f t="shared" si="99"/>
        <v>020001</v>
      </c>
      <c r="D4274" s="1" t="str">
        <f>"512521728"</f>
        <v>512521728</v>
      </c>
      <c r="E4274" s="1">
        <v>76</v>
      </c>
      <c r="F4274" s="1">
        <v>79</v>
      </c>
      <c r="H4274" s="1">
        <v>77.2</v>
      </c>
    </row>
    <row r="4275" s="1" customFormat="1" spans="1:8">
      <c r="A4275" s="1" t="s">
        <v>39</v>
      </c>
      <c r="B4275" s="1" t="s">
        <v>45</v>
      </c>
      <c r="C4275" s="1" t="str">
        <f t="shared" si="99"/>
        <v>020001</v>
      </c>
      <c r="D4275" s="1" t="str">
        <f>"512521729"</f>
        <v>512521729</v>
      </c>
      <c r="E4275" s="1">
        <v>69</v>
      </c>
      <c r="F4275" s="1">
        <v>67</v>
      </c>
      <c r="H4275" s="1">
        <v>68.2</v>
      </c>
    </row>
    <row r="4276" s="1" customFormat="1" spans="1:8">
      <c r="A4276" s="1" t="s">
        <v>39</v>
      </c>
      <c r="B4276" s="1" t="s">
        <v>45</v>
      </c>
      <c r="C4276" s="1" t="str">
        <f t="shared" si="99"/>
        <v>020001</v>
      </c>
      <c r="D4276" s="1" t="str">
        <f>"512521730"</f>
        <v>512521730</v>
      </c>
      <c r="E4276" s="1">
        <v>75</v>
      </c>
      <c r="F4276" s="1">
        <v>61.5</v>
      </c>
      <c r="H4276" s="1">
        <v>69.6</v>
      </c>
    </row>
    <row r="4277" s="1" customFormat="1" spans="1:8">
      <c r="A4277" s="1" t="s">
        <v>39</v>
      </c>
      <c r="B4277" s="1" t="s">
        <v>45</v>
      </c>
      <c r="C4277" s="1" t="str">
        <f t="shared" si="99"/>
        <v>020001</v>
      </c>
      <c r="D4277" s="1" t="str">
        <f>"512521801"</f>
        <v>512521801</v>
      </c>
      <c r="E4277" s="1">
        <v>54</v>
      </c>
      <c r="F4277" s="1">
        <v>0</v>
      </c>
      <c r="H4277" s="1">
        <v>32.4</v>
      </c>
    </row>
    <row r="4278" s="1" customFormat="1" spans="1:8">
      <c r="A4278" s="1" t="s">
        <v>39</v>
      </c>
      <c r="B4278" s="1" t="s">
        <v>45</v>
      </c>
      <c r="C4278" s="1" t="str">
        <f t="shared" si="99"/>
        <v>020001</v>
      </c>
      <c r="D4278" s="1" t="str">
        <f>"512521802"</f>
        <v>512521802</v>
      </c>
      <c r="E4278" s="1">
        <v>59.5</v>
      </c>
      <c r="F4278" s="1">
        <v>71.5</v>
      </c>
      <c r="H4278" s="1">
        <v>64.3</v>
      </c>
    </row>
    <row r="4279" s="1" customFormat="1" spans="1:8">
      <c r="A4279" s="1" t="s">
        <v>39</v>
      </c>
      <c r="B4279" s="1" t="s">
        <v>45</v>
      </c>
      <c r="C4279" s="1" t="str">
        <f t="shared" si="99"/>
        <v>020001</v>
      </c>
      <c r="D4279" s="1" t="str">
        <f>"512521803"</f>
        <v>512521803</v>
      </c>
      <c r="E4279" s="1">
        <v>57</v>
      </c>
      <c r="F4279" s="1">
        <v>79</v>
      </c>
      <c r="H4279" s="1">
        <v>65.8</v>
      </c>
    </row>
    <row r="4280" s="1" customFormat="1" spans="1:8">
      <c r="A4280" s="1" t="s">
        <v>39</v>
      </c>
      <c r="B4280" s="1" t="s">
        <v>45</v>
      </c>
      <c r="C4280" s="1" t="str">
        <f t="shared" si="99"/>
        <v>020001</v>
      </c>
      <c r="D4280" s="1" t="str">
        <f>"512521804"</f>
        <v>512521804</v>
      </c>
      <c r="E4280" s="1">
        <v>60</v>
      </c>
      <c r="F4280" s="1">
        <v>0</v>
      </c>
      <c r="H4280" s="1">
        <v>36</v>
      </c>
    </row>
    <row r="4281" s="1" customFormat="1" spans="1:8">
      <c r="A4281" s="1" t="s">
        <v>39</v>
      </c>
      <c r="B4281" s="1" t="s">
        <v>45</v>
      </c>
      <c r="C4281" s="1" t="str">
        <f t="shared" si="99"/>
        <v>020001</v>
      </c>
      <c r="D4281" s="1" t="str">
        <f>"512521805"</f>
        <v>512521805</v>
      </c>
      <c r="E4281" s="1">
        <v>71.5</v>
      </c>
      <c r="F4281" s="1">
        <v>75</v>
      </c>
      <c r="H4281" s="1">
        <v>72.9</v>
      </c>
    </row>
    <row r="4282" s="1" customFormat="1" spans="1:8">
      <c r="A4282" s="1" t="s">
        <v>39</v>
      </c>
      <c r="B4282" s="1" t="s">
        <v>45</v>
      </c>
      <c r="C4282" s="1" t="str">
        <f t="shared" si="99"/>
        <v>020001</v>
      </c>
      <c r="D4282" s="1" t="str">
        <f>"512521806"</f>
        <v>512521806</v>
      </c>
      <c r="E4282" s="1">
        <v>60</v>
      </c>
      <c r="F4282" s="1">
        <v>69.5</v>
      </c>
      <c r="H4282" s="1">
        <v>63.8</v>
      </c>
    </row>
    <row r="4283" s="1" customFormat="1" spans="1:8">
      <c r="A4283" s="1" t="s">
        <v>39</v>
      </c>
      <c r="B4283" s="1" t="s">
        <v>45</v>
      </c>
      <c r="C4283" s="1" t="str">
        <f t="shared" si="99"/>
        <v>020001</v>
      </c>
      <c r="D4283" s="1" t="str">
        <f>"512521807"</f>
        <v>512521807</v>
      </c>
      <c r="E4283" s="1">
        <v>51</v>
      </c>
      <c r="F4283" s="1">
        <v>75</v>
      </c>
      <c r="H4283" s="1">
        <v>60.6</v>
      </c>
    </row>
    <row r="4284" s="1" customFormat="1" spans="1:8">
      <c r="A4284" s="1" t="s">
        <v>39</v>
      </c>
      <c r="B4284" s="1" t="s">
        <v>45</v>
      </c>
      <c r="C4284" s="1" t="str">
        <f t="shared" si="99"/>
        <v>020001</v>
      </c>
      <c r="D4284" s="1" t="str">
        <f>"512521808"</f>
        <v>512521808</v>
      </c>
      <c r="E4284" s="1">
        <v>38.5</v>
      </c>
      <c r="F4284" s="1">
        <v>76.5</v>
      </c>
      <c r="H4284" s="1">
        <v>53.7</v>
      </c>
    </row>
    <row r="4285" s="1" customFormat="1" spans="1:8">
      <c r="A4285" s="1" t="s">
        <v>39</v>
      </c>
      <c r="B4285" s="1" t="s">
        <v>45</v>
      </c>
      <c r="C4285" s="1" t="str">
        <f t="shared" si="99"/>
        <v>020001</v>
      </c>
      <c r="D4285" s="1" t="str">
        <f>"512521809"</f>
        <v>512521809</v>
      </c>
      <c r="E4285" s="1">
        <v>0</v>
      </c>
      <c r="F4285" s="1">
        <v>0</v>
      </c>
      <c r="H4285" s="1">
        <v>0</v>
      </c>
    </row>
    <row r="4286" s="1" customFormat="1" spans="1:8">
      <c r="A4286" s="1" t="s">
        <v>39</v>
      </c>
      <c r="B4286" s="1" t="s">
        <v>45</v>
      </c>
      <c r="C4286" s="1" t="str">
        <f t="shared" si="99"/>
        <v>020001</v>
      </c>
      <c r="D4286" s="1" t="str">
        <f>"512521810"</f>
        <v>512521810</v>
      </c>
      <c r="E4286" s="1">
        <v>86</v>
      </c>
      <c r="F4286" s="1">
        <v>68</v>
      </c>
      <c r="H4286" s="1">
        <v>78.8</v>
      </c>
    </row>
    <row r="4287" s="1" customFormat="1" spans="1:8">
      <c r="A4287" s="1" t="s">
        <v>39</v>
      </c>
      <c r="B4287" s="1" t="s">
        <v>45</v>
      </c>
      <c r="C4287" s="1" t="str">
        <f t="shared" si="99"/>
        <v>020001</v>
      </c>
      <c r="D4287" s="1" t="str">
        <f>"512521811"</f>
        <v>512521811</v>
      </c>
      <c r="E4287" s="1">
        <v>60</v>
      </c>
      <c r="F4287" s="1">
        <v>62.5</v>
      </c>
      <c r="H4287" s="1">
        <v>61</v>
      </c>
    </row>
    <row r="4288" s="1" customFormat="1" spans="1:8">
      <c r="A4288" s="1" t="s">
        <v>39</v>
      </c>
      <c r="B4288" s="1" t="s">
        <v>45</v>
      </c>
      <c r="C4288" s="1" t="str">
        <f t="shared" si="99"/>
        <v>020001</v>
      </c>
      <c r="D4288" s="1" t="str">
        <f>"512521812"</f>
        <v>512521812</v>
      </c>
      <c r="E4288" s="1">
        <v>73</v>
      </c>
      <c r="F4288" s="1">
        <v>70.5</v>
      </c>
      <c r="H4288" s="1">
        <v>72</v>
      </c>
    </row>
    <row r="4289" s="1" customFormat="1" spans="1:8">
      <c r="A4289" s="1" t="s">
        <v>39</v>
      </c>
      <c r="B4289" s="1" t="s">
        <v>45</v>
      </c>
      <c r="C4289" s="1" t="str">
        <f t="shared" si="99"/>
        <v>020001</v>
      </c>
      <c r="D4289" s="1" t="str">
        <f>"512521813"</f>
        <v>512521813</v>
      </c>
      <c r="E4289" s="1">
        <v>45</v>
      </c>
      <c r="F4289" s="1">
        <v>57</v>
      </c>
      <c r="H4289" s="1">
        <v>49.8</v>
      </c>
    </row>
    <row r="4290" s="1" customFormat="1" spans="1:8">
      <c r="A4290" s="1" t="s">
        <v>39</v>
      </c>
      <c r="B4290" s="1" t="s">
        <v>45</v>
      </c>
      <c r="C4290" s="1" t="str">
        <f t="shared" si="99"/>
        <v>020001</v>
      </c>
      <c r="D4290" s="1" t="str">
        <f>"512521814"</f>
        <v>512521814</v>
      </c>
      <c r="E4290" s="1">
        <v>89.5</v>
      </c>
      <c r="F4290" s="1">
        <v>71</v>
      </c>
      <c r="H4290" s="1">
        <v>82.1</v>
      </c>
    </row>
    <row r="4291" s="1" customFormat="1" spans="1:8">
      <c r="A4291" s="1" t="s">
        <v>39</v>
      </c>
      <c r="B4291" s="1" t="s">
        <v>45</v>
      </c>
      <c r="C4291" s="1" t="str">
        <f t="shared" si="99"/>
        <v>020001</v>
      </c>
      <c r="D4291" s="1" t="str">
        <f>"512521815"</f>
        <v>512521815</v>
      </c>
      <c r="E4291" s="1">
        <v>78.5</v>
      </c>
      <c r="F4291" s="1">
        <v>72</v>
      </c>
      <c r="H4291" s="1">
        <v>75.9</v>
      </c>
    </row>
    <row r="4292" s="1" customFormat="1" spans="1:8">
      <c r="A4292" s="1" t="s">
        <v>39</v>
      </c>
      <c r="B4292" s="1" t="s">
        <v>45</v>
      </c>
      <c r="C4292" s="1" t="str">
        <f t="shared" si="99"/>
        <v>020001</v>
      </c>
      <c r="D4292" s="1" t="str">
        <f>"512521816"</f>
        <v>512521816</v>
      </c>
      <c r="E4292" s="1">
        <v>102</v>
      </c>
      <c r="F4292" s="1">
        <v>78.5</v>
      </c>
      <c r="H4292" s="1">
        <v>92.6</v>
      </c>
    </row>
    <row r="4293" s="1" customFormat="1" spans="1:8">
      <c r="A4293" s="1" t="s">
        <v>39</v>
      </c>
      <c r="B4293" s="1" t="s">
        <v>45</v>
      </c>
      <c r="C4293" s="1" t="str">
        <f t="shared" si="99"/>
        <v>020001</v>
      </c>
      <c r="D4293" s="1" t="str">
        <f>"512521817"</f>
        <v>512521817</v>
      </c>
      <c r="E4293" s="1">
        <v>0</v>
      </c>
      <c r="F4293" s="1">
        <v>0</v>
      </c>
      <c r="H4293" s="1">
        <v>0</v>
      </c>
    </row>
    <row r="4294" s="1" customFormat="1" spans="1:8">
      <c r="A4294" s="1" t="s">
        <v>39</v>
      </c>
      <c r="B4294" s="1" t="s">
        <v>45</v>
      </c>
      <c r="C4294" s="1" t="str">
        <f t="shared" si="99"/>
        <v>020001</v>
      </c>
      <c r="D4294" s="1" t="str">
        <f>"512521818"</f>
        <v>512521818</v>
      </c>
      <c r="E4294" s="1">
        <v>91.5</v>
      </c>
      <c r="F4294" s="1">
        <v>68</v>
      </c>
      <c r="H4294" s="1">
        <v>82.1</v>
      </c>
    </row>
    <row r="4295" s="1" customFormat="1" spans="1:8">
      <c r="A4295" s="1" t="s">
        <v>39</v>
      </c>
      <c r="B4295" s="1" t="s">
        <v>45</v>
      </c>
      <c r="C4295" s="1" t="str">
        <f t="shared" si="99"/>
        <v>020001</v>
      </c>
      <c r="D4295" s="1" t="str">
        <f>"512521819"</f>
        <v>512521819</v>
      </c>
      <c r="E4295" s="1">
        <v>89</v>
      </c>
      <c r="F4295" s="1">
        <v>73.5</v>
      </c>
      <c r="H4295" s="1">
        <v>82.8</v>
      </c>
    </row>
    <row r="4296" s="1" customFormat="1" spans="1:8">
      <c r="A4296" s="1" t="s">
        <v>39</v>
      </c>
      <c r="B4296" s="1" t="s">
        <v>45</v>
      </c>
      <c r="C4296" s="1" t="str">
        <f t="shared" si="99"/>
        <v>020001</v>
      </c>
      <c r="D4296" s="1" t="str">
        <f>"512521820"</f>
        <v>512521820</v>
      </c>
      <c r="E4296" s="1">
        <v>0</v>
      </c>
      <c r="F4296" s="1">
        <v>0</v>
      </c>
      <c r="H4296" s="1">
        <v>0</v>
      </c>
    </row>
    <row r="4297" s="1" customFormat="1" spans="1:8">
      <c r="A4297" s="1" t="s">
        <v>39</v>
      </c>
      <c r="B4297" s="1" t="s">
        <v>45</v>
      </c>
      <c r="C4297" s="1" t="str">
        <f t="shared" si="99"/>
        <v>020001</v>
      </c>
      <c r="D4297" s="1" t="str">
        <f>"512521821"</f>
        <v>512521821</v>
      </c>
      <c r="E4297" s="1">
        <v>0</v>
      </c>
      <c r="F4297" s="1">
        <v>0</v>
      </c>
      <c r="H4297" s="1">
        <v>0</v>
      </c>
    </row>
    <row r="4298" s="1" customFormat="1" spans="1:8">
      <c r="A4298" s="1" t="s">
        <v>39</v>
      </c>
      <c r="B4298" s="1" t="s">
        <v>45</v>
      </c>
      <c r="C4298" s="1" t="str">
        <f t="shared" si="99"/>
        <v>020001</v>
      </c>
      <c r="D4298" s="1" t="str">
        <f>"512521822"</f>
        <v>512521822</v>
      </c>
      <c r="E4298" s="1">
        <v>61.5</v>
      </c>
      <c r="F4298" s="1">
        <v>63</v>
      </c>
      <c r="H4298" s="1">
        <v>62.1</v>
      </c>
    </row>
    <row r="4299" s="1" customFormat="1" spans="1:8">
      <c r="A4299" s="1" t="s">
        <v>39</v>
      </c>
      <c r="B4299" s="1" t="s">
        <v>45</v>
      </c>
      <c r="C4299" s="1" t="str">
        <f t="shared" si="99"/>
        <v>020001</v>
      </c>
      <c r="D4299" s="1" t="str">
        <f>"512521823"</f>
        <v>512521823</v>
      </c>
      <c r="E4299" s="1">
        <v>48</v>
      </c>
      <c r="F4299" s="1">
        <v>74</v>
      </c>
      <c r="H4299" s="1">
        <v>58.4</v>
      </c>
    </row>
    <row r="4300" s="1" customFormat="1" spans="1:8">
      <c r="A4300" s="1" t="s">
        <v>39</v>
      </c>
      <c r="B4300" s="1" t="s">
        <v>45</v>
      </c>
      <c r="C4300" s="1" t="str">
        <f t="shared" si="99"/>
        <v>020001</v>
      </c>
      <c r="D4300" s="1" t="str">
        <f>"512521824"</f>
        <v>512521824</v>
      </c>
      <c r="E4300" s="1">
        <v>66.5</v>
      </c>
      <c r="F4300" s="1">
        <v>57.5</v>
      </c>
      <c r="H4300" s="1">
        <v>62.9</v>
      </c>
    </row>
    <row r="4301" s="1" customFormat="1" spans="1:8">
      <c r="A4301" s="1" t="s">
        <v>39</v>
      </c>
      <c r="B4301" s="1" t="s">
        <v>45</v>
      </c>
      <c r="C4301" s="1" t="str">
        <f t="shared" si="99"/>
        <v>020001</v>
      </c>
      <c r="D4301" s="1" t="str">
        <f>"512521825"</f>
        <v>512521825</v>
      </c>
      <c r="E4301" s="1">
        <v>82.5</v>
      </c>
      <c r="F4301" s="1">
        <v>59.5</v>
      </c>
      <c r="H4301" s="1">
        <v>73.3</v>
      </c>
    </row>
    <row r="4302" s="1" customFormat="1" spans="1:8">
      <c r="A4302" s="1" t="s">
        <v>39</v>
      </c>
      <c r="B4302" s="1" t="s">
        <v>45</v>
      </c>
      <c r="C4302" s="1" t="str">
        <f t="shared" si="99"/>
        <v>020001</v>
      </c>
      <c r="D4302" s="1" t="str">
        <f>"512521826"</f>
        <v>512521826</v>
      </c>
      <c r="E4302" s="1">
        <v>77.5</v>
      </c>
      <c r="F4302" s="1">
        <v>78.5</v>
      </c>
      <c r="H4302" s="1">
        <v>77.9</v>
      </c>
    </row>
    <row r="4303" s="1" customFormat="1" spans="1:8">
      <c r="A4303" s="1" t="s">
        <v>39</v>
      </c>
      <c r="B4303" s="1" t="s">
        <v>45</v>
      </c>
      <c r="C4303" s="1" t="str">
        <f t="shared" si="99"/>
        <v>020001</v>
      </c>
      <c r="D4303" s="1" t="str">
        <f>"512521827"</f>
        <v>512521827</v>
      </c>
      <c r="E4303" s="1">
        <v>73</v>
      </c>
      <c r="F4303" s="1">
        <v>57.5</v>
      </c>
      <c r="H4303" s="1">
        <v>66.8</v>
      </c>
    </row>
    <row r="4304" s="1" customFormat="1" spans="1:8">
      <c r="A4304" s="1" t="s">
        <v>39</v>
      </c>
      <c r="B4304" s="1" t="s">
        <v>45</v>
      </c>
      <c r="C4304" s="1" t="str">
        <f t="shared" si="99"/>
        <v>020001</v>
      </c>
      <c r="D4304" s="1" t="str">
        <f>"512521828"</f>
        <v>512521828</v>
      </c>
      <c r="E4304" s="1">
        <v>100.5</v>
      </c>
      <c r="F4304" s="1">
        <v>82</v>
      </c>
      <c r="H4304" s="1">
        <v>93.1</v>
      </c>
    </row>
    <row r="4305" s="1" customFormat="1" spans="1:8">
      <c r="A4305" s="1" t="s">
        <v>39</v>
      </c>
      <c r="B4305" s="1" t="s">
        <v>45</v>
      </c>
      <c r="C4305" s="1" t="str">
        <f t="shared" si="99"/>
        <v>020001</v>
      </c>
      <c r="D4305" s="1" t="str">
        <f>"512521829"</f>
        <v>512521829</v>
      </c>
      <c r="E4305" s="1">
        <v>66.5</v>
      </c>
      <c r="F4305" s="1">
        <v>47</v>
      </c>
      <c r="H4305" s="1">
        <v>58.7</v>
      </c>
    </row>
    <row r="4306" s="1" customFormat="1" spans="1:8">
      <c r="A4306" s="1" t="s">
        <v>39</v>
      </c>
      <c r="B4306" s="1" t="s">
        <v>45</v>
      </c>
      <c r="C4306" s="1" t="str">
        <f t="shared" si="99"/>
        <v>020001</v>
      </c>
      <c r="D4306" s="1" t="str">
        <f>"512521830"</f>
        <v>512521830</v>
      </c>
      <c r="E4306" s="1">
        <v>91.5</v>
      </c>
      <c r="F4306" s="1">
        <v>73</v>
      </c>
      <c r="H4306" s="1">
        <v>84.1</v>
      </c>
    </row>
    <row r="4307" s="1" customFormat="1" spans="1:8">
      <c r="A4307" s="1" t="s">
        <v>39</v>
      </c>
      <c r="B4307" s="1" t="s">
        <v>45</v>
      </c>
      <c r="C4307" s="1" t="str">
        <f t="shared" si="99"/>
        <v>020001</v>
      </c>
      <c r="D4307" s="1" t="str">
        <f>"512521901"</f>
        <v>512521901</v>
      </c>
      <c r="E4307" s="1">
        <v>78.5</v>
      </c>
      <c r="F4307" s="1">
        <v>62</v>
      </c>
      <c r="H4307" s="1">
        <v>71.9</v>
      </c>
    </row>
    <row r="4308" s="1" customFormat="1" spans="1:8">
      <c r="A4308" s="1" t="s">
        <v>39</v>
      </c>
      <c r="B4308" s="1" t="s">
        <v>45</v>
      </c>
      <c r="C4308" s="1" t="str">
        <f t="shared" si="99"/>
        <v>020001</v>
      </c>
      <c r="D4308" s="1" t="str">
        <f>"512521902"</f>
        <v>512521902</v>
      </c>
      <c r="E4308" s="1">
        <v>67.5</v>
      </c>
      <c r="F4308" s="1">
        <v>67.5</v>
      </c>
      <c r="H4308" s="1">
        <v>67.5</v>
      </c>
    </row>
    <row r="4309" s="1" customFormat="1" spans="1:8">
      <c r="A4309" s="1" t="s">
        <v>39</v>
      </c>
      <c r="B4309" s="1" t="s">
        <v>45</v>
      </c>
      <c r="C4309" s="1" t="str">
        <f t="shared" si="99"/>
        <v>020001</v>
      </c>
      <c r="D4309" s="1" t="str">
        <f>"512521903"</f>
        <v>512521903</v>
      </c>
      <c r="E4309" s="1">
        <v>67.5</v>
      </c>
      <c r="F4309" s="1">
        <v>68</v>
      </c>
      <c r="H4309" s="1">
        <v>67.7</v>
      </c>
    </row>
    <row r="4310" s="1" customFormat="1" spans="1:8">
      <c r="A4310" s="1" t="s">
        <v>39</v>
      </c>
      <c r="B4310" s="1" t="s">
        <v>45</v>
      </c>
      <c r="C4310" s="1" t="str">
        <f t="shared" si="99"/>
        <v>020001</v>
      </c>
      <c r="D4310" s="1" t="str">
        <f>"512521904"</f>
        <v>512521904</v>
      </c>
      <c r="E4310" s="1">
        <v>88</v>
      </c>
      <c r="F4310" s="1">
        <v>85</v>
      </c>
      <c r="H4310" s="1">
        <v>86.8</v>
      </c>
    </row>
    <row r="4311" s="1" customFormat="1" spans="1:8">
      <c r="A4311" s="1" t="s">
        <v>39</v>
      </c>
      <c r="B4311" s="1" t="s">
        <v>45</v>
      </c>
      <c r="C4311" s="1" t="str">
        <f t="shared" ref="C4311:C4322" si="100">"020001"</f>
        <v>020001</v>
      </c>
      <c r="D4311" s="1" t="str">
        <f>"512521905"</f>
        <v>512521905</v>
      </c>
      <c r="E4311" s="1">
        <v>0</v>
      </c>
      <c r="F4311" s="1">
        <v>0</v>
      </c>
      <c r="H4311" s="1">
        <v>0</v>
      </c>
    </row>
    <row r="4312" s="1" customFormat="1" spans="1:8">
      <c r="A4312" s="1" t="s">
        <v>39</v>
      </c>
      <c r="B4312" s="1" t="s">
        <v>45</v>
      </c>
      <c r="C4312" s="1" t="str">
        <f t="shared" si="100"/>
        <v>020001</v>
      </c>
      <c r="D4312" s="1" t="str">
        <f>"512521906"</f>
        <v>512521906</v>
      </c>
      <c r="E4312" s="1">
        <v>75.5</v>
      </c>
      <c r="F4312" s="1">
        <v>91.5</v>
      </c>
      <c r="H4312" s="1">
        <v>81.9</v>
      </c>
    </row>
    <row r="4313" s="1" customFormat="1" spans="1:8">
      <c r="A4313" s="1" t="s">
        <v>39</v>
      </c>
      <c r="B4313" s="1" t="s">
        <v>45</v>
      </c>
      <c r="C4313" s="1" t="str">
        <f t="shared" si="100"/>
        <v>020001</v>
      </c>
      <c r="D4313" s="1" t="str">
        <f>"512521907"</f>
        <v>512521907</v>
      </c>
      <c r="E4313" s="1">
        <v>96.5</v>
      </c>
      <c r="F4313" s="1">
        <v>65.5</v>
      </c>
      <c r="H4313" s="1">
        <v>84.1</v>
      </c>
    </row>
    <row r="4314" s="1" customFormat="1" spans="1:8">
      <c r="A4314" s="1" t="s">
        <v>39</v>
      </c>
      <c r="B4314" s="1" t="s">
        <v>45</v>
      </c>
      <c r="C4314" s="1" t="str">
        <f t="shared" si="100"/>
        <v>020001</v>
      </c>
      <c r="D4314" s="1" t="str">
        <f>"512521908"</f>
        <v>512521908</v>
      </c>
      <c r="E4314" s="1">
        <v>62.5</v>
      </c>
      <c r="F4314" s="1">
        <v>43</v>
      </c>
      <c r="H4314" s="1">
        <v>54.7</v>
      </c>
    </row>
    <row r="4315" s="1" customFormat="1" spans="1:8">
      <c r="A4315" s="1" t="s">
        <v>39</v>
      </c>
      <c r="B4315" s="1" t="s">
        <v>45</v>
      </c>
      <c r="C4315" s="1" t="str">
        <f t="shared" si="100"/>
        <v>020001</v>
      </c>
      <c r="D4315" s="1" t="str">
        <f>"512521909"</f>
        <v>512521909</v>
      </c>
      <c r="E4315" s="1">
        <v>76.5</v>
      </c>
      <c r="F4315" s="1">
        <v>90</v>
      </c>
      <c r="H4315" s="1">
        <v>81.9</v>
      </c>
    </row>
    <row r="4316" s="1" customFormat="1" spans="1:8">
      <c r="A4316" s="1" t="s">
        <v>39</v>
      </c>
      <c r="B4316" s="1" t="s">
        <v>45</v>
      </c>
      <c r="C4316" s="1" t="str">
        <f t="shared" si="100"/>
        <v>020001</v>
      </c>
      <c r="D4316" s="1" t="str">
        <f>"512521910"</f>
        <v>512521910</v>
      </c>
      <c r="E4316" s="1">
        <v>48.5</v>
      </c>
      <c r="F4316" s="1">
        <v>74</v>
      </c>
      <c r="H4316" s="1">
        <v>58.7</v>
      </c>
    </row>
    <row r="4317" s="1" customFormat="1" spans="1:8">
      <c r="A4317" s="1" t="s">
        <v>39</v>
      </c>
      <c r="B4317" s="1" t="s">
        <v>45</v>
      </c>
      <c r="C4317" s="1" t="str">
        <f t="shared" si="100"/>
        <v>020001</v>
      </c>
      <c r="D4317" s="1" t="str">
        <f>"512521911"</f>
        <v>512521911</v>
      </c>
      <c r="E4317" s="1">
        <v>0</v>
      </c>
      <c r="F4317" s="1">
        <v>0</v>
      </c>
      <c r="H4317" s="1">
        <v>0</v>
      </c>
    </row>
    <row r="4318" s="1" customFormat="1" spans="1:8">
      <c r="A4318" s="1" t="s">
        <v>39</v>
      </c>
      <c r="B4318" s="1" t="s">
        <v>45</v>
      </c>
      <c r="C4318" s="1" t="str">
        <f t="shared" si="100"/>
        <v>020001</v>
      </c>
      <c r="D4318" s="1" t="str">
        <f>"512521912"</f>
        <v>512521912</v>
      </c>
      <c r="E4318" s="1">
        <v>53</v>
      </c>
      <c r="F4318" s="1">
        <v>63</v>
      </c>
      <c r="H4318" s="1">
        <v>57</v>
      </c>
    </row>
    <row r="4319" s="1" customFormat="1" spans="1:8">
      <c r="A4319" s="1" t="s">
        <v>39</v>
      </c>
      <c r="B4319" s="1" t="s">
        <v>45</v>
      </c>
      <c r="C4319" s="1" t="str">
        <f t="shared" si="100"/>
        <v>020001</v>
      </c>
      <c r="D4319" s="1" t="str">
        <f>"512521913"</f>
        <v>512521913</v>
      </c>
      <c r="E4319" s="1">
        <v>58</v>
      </c>
      <c r="F4319" s="1">
        <v>67</v>
      </c>
      <c r="H4319" s="1">
        <v>61.6</v>
      </c>
    </row>
    <row r="4320" s="1" customFormat="1" spans="1:8">
      <c r="A4320" s="1" t="s">
        <v>39</v>
      </c>
      <c r="B4320" s="1" t="s">
        <v>45</v>
      </c>
      <c r="C4320" s="1" t="str">
        <f t="shared" si="100"/>
        <v>020001</v>
      </c>
      <c r="D4320" s="1" t="str">
        <f>"512521914"</f>
        <v>512521914</v>
      </c>
      <c r="E4320" s="1">
        <v>69</v>
      </c>
      <c r="F4320" s="1">
        <v>59.5</v>
      </c>
      <c r="H4320" s="1">
        <v>65.2</v>
      </c>
    </row>
    <row r="4321" s="1" customFormat="1" spans="1:8">
      <c r="A4321" s="1" t="s">
        <v>39</v>
      </c>
      <c r="B4321" s="1" t="s">
        <v>45</v>
      </c>
      <c r="C4321" s="1" t="str">
        <f t="shared" si="100"/>
        <v>020001</v>
      </c>
      <c r="D4321" s="1" t="str">
        <f>"512521915"</f>
        <v>512521915</v>
      </c>
      <c r="E4321" s="1">
        <v>81.5</v>
      </c>
      <c r="F4321" s="1">
        <v>67</v>
      </c>
      <c r="H4321" s="1">
        <v>75.7</v>
      </c>
    </row>
    <row r="4322" s="1" customFormat="1" spans="1:8">
      <c r="A4322" s="1" t="s">
        <v>39</v>
      </c>
      <c r="B4322" s="1" t="s">
        <v>45</v>
      </c>
      <c r="C4322" s="1" t="str">
        <f t="shared" si="100"/>
        <v>020001</v>
      </c>
      <c r="D4322" s="1" t="str">
        <f>"512521916"</f>
        <v>512521916</v>
      </c>
      <c r="E4322" s="1">
        <v>0</v>
      </c>
      <c r="F4322" s="1">
        <v>0</v>
      </c>
      <c r="H4322" s="1">
        <v>0</v>
      </c>
    </row>
    <row r="4323" s="1" customFormat="1" spans="1:8">
      <c r="A4323" s="1" t="s">
        <v>46</v>
      </c>
      <c r="B4323" s="1" t="s">
        <v>45</v>
      </c>
      <c r="C4323" s="1" t="str">
        <f t="shared" ref="C4323:C4336" si="101">"020003"</f>
        <v>020003</v>
      </c>
      <c r="D4323" s="1" t="str">
        <f>"512521917"</f>
        <v>512521917</v>
      </c>
      <c r="E4323" s="1">
        <v>0</v>
      </c>
      <c r="F4323" s="1">
        <v>0</v>
      </c>
      <c r="H4323" s="1">
        <v>0</v>
      </c>
    </row>
    <row r="4324" s="1" customFormat="1" spans="1:8">
      <c r="A4324" s="1" t="s">
        <v>46</v>
      </c>
      <c r="B4324" s="1" t="s">
        <v>45</v>
      </c>
      <c r="C4324" s="1" t="str">
        <f t="shared" si="101"/>
        <v>020003</v>
      </c>
      <c r="D4324" s="1" t="str">
        <f>"512521918"</f>
        <v>512521918</v>
      </c>
      <c r="E4324" s="1">
        <v>90.5</v>
      </c>
      <c r="F4324" s="1">
        <v>59</v>
      </c>
      <c r="H4324" s="1">
        <v>77.9</v>
      </c>
    </row>
    <row r="4325" s="1" customFormat="1" spans="1:8">
      <c r="A4325" s="1" t="s">
        <v>46</v>
      </c>
      <c r="B4325" s="1" t="s">
        <v>45</v>
      </c>
      <c r="C4325" s="1" t="str">
        <f t="shared" si="101"/>
        <v>020003</v>
      </c>
      <c r="D4325" s="1" t="str">
        <f>"512521919"</f>
        <v>512521919</v>
      </c>
      <c r="E4325" s="1">
        <v>88.5</v>
      </c>
      <c r="F4325" s="1">
        <v>67.5</v>
      </c>
      <c r="H4325" s="1">
        <v>80.1</v>
      </c>
    </row>
    <row r="4326" s="1" customFormat="1" spans="1:8">
      <c r="A4326" s="1" t="s">
        <v>46</v>
      </c>
      <c r="B4326" s="1" t="s">
        <v>45</v>
      </c>
      <c r="C4326" s="1" t="str">
        <f t="shared" si="101"/>
        <v>020003</v>
      </c>
      <c r="D4326" s="1" t="str">
        <f>"512521920"</f>
        <v>512521920</v>
      </c>
      <c r="E4326" s="1">
        <v>78.5</v>
      </c>
      <c r="F4326" s="1">
        <v>86</v>
      </c>
      <c r="H4326" s="1">
        <v>81.5</v>
      </c>
    </row>
    <row r="4327" s="1" customFormat="1" spans="1:8">
      <c r="A4327" s="1" t="s">
        <v>46</v>
      </c>
      <c r="B4327" s="1" t="s">
        <v>45</v>
      </c>
      <c r="C4327" s="1" t="str">
        <f t="shared" si="101"/>
        <v>020003</v>
      </c>
      <c r="D4327" s="1" t="str">
        <f>"512521921"</f>
        <v>512521921</v>
      </c>
      <c r="E4327" s="1">
        <v>87</v>
      </c>
      <c r="F4327" s="1">
        <v>72.5</v>
      </c>
      <c r="H4327" s="1">
        <v>81.2</v>
      </c>
    </row>
    <row r="4328" s="1" customFormat="1" spans="1:8">
      <c r="A4328" s="1" t="s">
        <v>46</v>
      </c>
      <c r="B4328" s="1" t="s">
        <v>45</v>
      </c>
      <c r="C4328" s="1" t="str">
        <f t="shared" si="101"/>
        <v>020003</v>
      </c>
      <c r="D4328" s="1" t="str">
        <f>"512521922"</f>
        <v>512521922</v>
      </c>
      <c r="E4328" s="1">
        <v>82.5</v>
      </c>
      <c r="F4328" s="1">
        <v>90.5</v>
      </c>
      <c r="H4328" s="1">
        <v>85.7</v>
      </c>
    </row>
    <row r="4329" s="1" customFormat="1" spans="1:8">
      <c r="A4329" s="1" t="s">
        <v>46</v>
      </c>
      <c r="B4329" s="1" t="s">
        <v>45</v>
      </c>
      <c r="C4329" s="1" t="str">
        <f t="shared" si="101"/>
        <v>020003</v>
      </c>
      <c r="D4329" s="1" t="str">
        <f>"512521923"</f>
        <v>512521923</v>
      </c>
      <c r="E4329" s="1">
        <v>47.5</v>
      </c>
      <c r="F4329" s="1">
        <v>65</v>
      </c>
      <c r="H4329" s="1">
        <v>54.5</v>
      </c>
    </row>
    <row r="4330" s="1" customFormat="1" spans="1:8">
      <c r="A4330" s="1" t="s">
        <v>46</v>
      </c>
      <c r="B4330" s="1" t="s">
        <v>45</v>
      </c>
      <c r="C4330" s="1" t="str">
        <f t="shared" si="101"/>
        <v>020003</v>
      </c>
      <c r="D4330" s="1" t="str">
        <f>"512521924"</f>
        <v>512521924</v>
      </c>
      <c r="E4330" s="1">
        <v>0</v>
      </c>
      <c r="F4330" s="1">
        <v>0</v>
      </c>
      <c r="H4330" s="1">
        <v>0</v>
      </c>
    </row>
    <row r="4331" s="1" customFormat="1" spans="1:8">
      <c r="A4331" s="1" t="s">
        <v>46</v>
      </c>
      <c r="B4331" s="1" t="s">
        <v>45</v>
      </c>
      <c r="C4331" s="1" t="str">
        <f t="shared" si="101"/>
        <v>020003</v>
      </c>
      <c r="D4331" s="1" t="str">
        <f>"512521925"</f>
        <v>512521925</v>
      </c>
      <c r="E4331" s="1">
        <v>91.5</v>
      </c>
      <c r="F4331" s="1">
        <v>74.5</v>
      </c>
      <c r="H4331" s="1">
        <v>84.7</v>
      </c>
    </row>
    <row r="4332" s="1" customFormat="1" spans="1:8">
      <c r="A4332" s="1" t="s">
        <v>46</v>
      </c>
      <c r="B4332" s="1" t="s">
        <v>45</v>
      </c>
      <c r="C4332" s="1" t="str">
        <f t="shared" si="101"/>
        <v>020003</v>
      </c>
      <c r="D4332" s="1" t="str">
        <f>"512521926"</f>
        <v>512521926</v>
      </c>
      <c r="E4332" s="1">
        <v>59.5</v>
      </c>
      <c r="F4332" s="1">
        <v>35.5</v>
      </c>
      <c r="H4332" s="1">
        <v>49.9</v>
      </c>
    </row>
    <row r="4333" s="1" customFormat="1" spans="1:8">
      <c r="A4333" s="1" t="s">
        <v>46</v>
      </c>
      <c r="B4333" s="1" t="s">
        <v>45</v>
      </c>
      <c r="C4333" s="1" t="str">
        <f t="shared" si="101"/>
        <v>020003</v>
      </c>
      <c r="D4333" s="1" t="str">
        <f>"512521927"</f>
        <v>512521927</v>
      </c>
      <c r="E4333" s="1">
        <v>56.5</v>
      </c>
      <c r="F4333" s="1">
        <v>74.5</v>
      </c>
      <c r="H4333" s="1">
        <v>63.7</v>
      </c>
    </row>
    <row r="4334" s="1" customFormat="1" spans="1:8">
      <c r="A4334" s="1" t="s">
        <v>46</v>
      </c>
      <c r="B4334" s="1" t="s">
        <v>45</v>
      </c>
      <c r="C4334" s="1" t="str">
        <f t="shared" si="101"/>
        <v>020003</v>
      </c>
      <c r="D4334" s="1" t="str">
        <f>"512521928"</f>
        <v>512521928</v>
      </c>
      <c r="E4334" s="1">
        <v>40.5</v>
      </c>
      <c r="F4334" s="1">
        <v>64.5</v>
      </c>
      <c r="H4334" s="1">
        <v>50.1</v>
      </c>
    </row>
    <row r="4335" s="1" customFormat="1" spans="1:8">
      <c r="A4335" s="1" t="s">
        <v>46</v>
      </c>
      <c r="B4335" s="1" t="s">
        <v>45</v>
      </c>
      <c r="C4335" s="1" t="str">
        <f t="shared" si="101"/>
        <v>020003</v>
      </c>
      <c r="D4335" s="1" t="str">
        <f>"512521929"</f>
        <v>512521929</v>
      </c>
      <c r="E4335" s="1">
        <v>79.5</v>
      </c>
      <c r="F4335" s="1">
        <v>59.5</v>
      </c>
      <c r="H4335" s="1">
        <v>71.5</v>
      </c>
    </row>
    <row r="4336" s="1" customFormat="1" spans="1:8">
      <c r="A4336" s="1" t="s">
        <v>46</v>
      </c>
      <c r="B4336" s="1" t="s">
        <v>45</v>
      </c>
      <c r="C4336" s="1" t="str">
        <f t="shared" si="101"/>
        <v>020003</v>
      </c>
      <c r="D4336" s="1" t="str">
        <f>"512521930"</f>
        <v>512521930</v>
      </c>
      <c r="E4336" s="1">
        <v>0</v>
      </c>
      <c r="F4336" s="1">
        <v>0</v>
      </c>
      <c r="H4336" s="1">
        <v>0</v>
      </c>
    </row>
    <row r="4337" s="1" customFormat="1" spans="1:8">
      <c r="A4337" s="1" t="s">
        <v>29</v>
      </c>
      <c r="B4337" s="1" t="s">
        <v>47</v>
      </c>
      <c r="C4337" s="1" t="str">
        <f t="shared" ref="C4337:C4376" si="102">"020007"</f>
        <v>020007</v>
      </c>
      <c r="D4337" s="1" t="str">
        <f>"512522001"</f>
        <v>512522001</v>
      </c>
      <c r="E4337" s="1">
        <v>0</v>
      </c>
      <c r="F4337" s="1">
        <v>0</v>
      </c>
      <c r="H4337" s="1">
        <v>0</v>
      </c>
    </row>
    <row r="4338" s="1" customFormat="1" spans="1:8">
      <c r="A4338" s="1" t="s">
        <v>29</v>
      </c>
      <c r="B4338" s="1" t="s">
        <v>47</v>
      </c>
      <c r="C4338" s="1" t="str">
        <f t="shared" si="102"/>
        <v>020007</v>
      </c>
      <c r="D4338" s="1" t="str">
        <f>"512522002"</f>
        <v>512522002</v>
      </c>
      <c r="E4338" s="1">
        <v>54.5</v>
      </c>
      <c r="F4338" s="1">
        <v>80</v>
      </c>
      <c r="H4338" s="1">
        <v>64.7</v>
      </c>
    </row>
    <row r="4339" s="1" customFormat="1" spans="1:8">
      <c r="A4339" s="1" t="s">
        <v>29</v>
      </c>
      <c r="B4339" s="1" t="s">
        <v>47</v>
      </c>
      <c r="C4339" s="1" t="str">
        <f t="shared" si="102"/>
        <v>020007</v>
      </c>
      <c r="D4339" s="1" t="str">
        <f>"512522003"</f>
        <v>512522003</v>
      </c>
      <c r="E4339" s="1">
        <v>36</v>
      </c>
      <c r="F4339" s="1">
        <v>67</v>
      </c>
      <c r="H4339" s="1">
        <v>48.4</v>
      </c>
    </row>
    <row r="4340" s="1" customFormat="1" spans="1:8">
      <c r="A4340" s="1" t="s">
        <v>29</v>
      </c>
      <c r="B4340" s="1" t="s">
        <v>47</v>
      </c>
      <c r="C4340" s="1" t="str">
        <f t="shared" si="102"/>
        <v>020007</v>
      </c>
      <c r="D4340" s="1" t="str">
        <f>"512522004"</f>
        <v>512522004</v>
      </c>
      <c r="E4340" s="1">
        <v>87</v>
      </c>
      <c r="F4340" s="1">
        <v>90.5</v>
      </c>
      <c r="H4340" s="1">
        <v>88.4</v>
      </c>
    </row>
    <row r="4341" s="1" customFormat="1" spans="1:8">
      <c r="A4341" s="1" t="s">
        <v>29</v>
      </c>
      <c r="B4341" s="1" t="s">
        <v>47</v>
      </c>
      <c r="C4341" s="1" t="str">
        <f t="shared" si="102"/>
        <v>020007</v>
      </c>
      <c r="D4341" s="1" t="str">
        <f>"512522005"</f>
        <v>512522005</v>
      </c>
      <c r="E4341" s="1">
        <v>48.5</v>
      </c>
      <c r="F4341" s="1">
        <v>63.5</v>
      </c>
      <c r="H4341" s="1">
        <v>54.5</v>
      </c>
    </row>
    <row r="4342" s="1" customFormat="1" spans="1:8">
      <c r="A4342" s="1" t="s">
        <v>29</v>
      </c>
      <c r="B4342" s="1" t="s">
        <v>47</v>
      </c>
      <c r="C4342" s="1" t="str">
        <f t="shared" si="102"/>
        <v>020007</v>
      </c>
      <c r="D4342" s="1" t="str">
        <f>"512522006"</f>
        <v>512522006</v>
      </c>
      <c r="E4342" s="1">
        <v>84.5</v>
      </c>
      <c r="F4342" s="1">
        <v>88</v>
      </c>
      <c r="H4342" s="1">
        <v>85.9</v>
      </c>
    </row>
    <row r="4343" s="1" customFormat="1" spans="1:8">
      <c r="A4343" s="1" t="s">
        <v>29</v>
      </c>
      <c r="B4343" s="1" t="s">
        <v>47</v>
      </c>
      <c r="C4343" s="1" t="str">
        <f t="shared" si="102"/>
        <v>020007</v>
      </c>
      <c r="D4343" s="1" t="str">
        <f>"512522007"</f>
        <v>512522007</v>
      </c>
      <c r="E4343" s="1">
        <v>63.5</v>
      </c>
      <c r="F4343" s="1">
        <v>64.5</v>
      </c>
      <c r="H4343" s="1">
        <v>63.9</v>
      </c>
    </row>
    <row r="4344" s="1" customFormat="1" spans="1:8">
      <c r="A4344" s="1" t="s">
        <v>29</v>
      </c>
      <c r="B4344" s="1" t="s">
        <v>47</v>
      </c>
      <c r="C4344" s="1" t="str">
        <f t="shared" si="102"/>
        <v>020007</v>
      </c>
      <c r="D4344" s="1" t="str">
        <f>"512522008"</f>
        <v>512522008</v>
      </c>
      <c r="E4344" s="1">
        <v>68.5</v>
      </c>
      <c r="F4344" s="1">
        <v>77.5</v>
      </c>
      <c r="H4344" s="1">
        <v>72.1</v>
      </c>
    </row>
    <row r="4345" s="1" customFormat="1" spans="1:8">
      <c r="A4345" s="1" t="s">
        <v>29</v>
      </c>
      <c r="B4345" s="1" t="s">
        <v>47</v>
      </c>
      <c r="C4345" s="1" t="str">
        <f t="shared" si="102"/>
        <v>020007</v>
      </c>
      <c r="D4345" s="1" t="str">
        <f>"512522009"</f>
        <v>512522009</v>
      </c>
      <c r="E4345" s="1">
        <v>82</v>
      </c>
      <c r="F4345" s="1">
        <v>66</v>
      </c>
      <c r="H4345" s="1">
        <v>75.6</v>
      </c>
    </row>
    <row r="4346" s="1" customFormat="1" spans="1:8">
      <c r="A4346" s="1" t="s">
        <v>29</v>
      </c>
      <c r="B4346" s="1" t="s">
        <v>47</v>
      </c>
      <c r="C4346" s="1" t="str">
        <f t="shared" si="102"/>
        <v>020007</v>
      </c>
      <c r="D4346" s="1" t="str">
        <f>"512522010"</f>
        <v>512522010</v>
      </c>
      <c r="E4346" s="1">
        <v>88.5</v>
      </c>
      <c r="F4346" s="1">
        <v>83.5</v>
      </c>
      <c r="H4346" s="1">
        <v>86.5</v>
      </c>
    </row>
    <row r="4347" s="1" customFormat="1" spans="1:8">
      <c r="A4347" s="1" t="s">
        <v>29</v>
      </c>
      <c r="B4347" s="1" t="s">
        <v>47</v>
      </c>
      <c r="C4347" s="1" t="str">
        <f t="shared" si="102"/>
        <v>020007</v>
      </c>
      <c r="D4347" s="1" t="str">
        <f>"512522011"</f>
        <v>512522011</v>
      </c>
      <c r="E4347" s="1">
        <v>88.5</v>
      </c>
      <c r="F4347" s="1">
        <v>63.5</v>
      </c>
      <c r="H4347" s="1">
        <v>78.5</v>
      </c>
    </row>
    <row r="4348" s="1" customFormat="1" spans="1:8">
      <c r="A4348" s="1" t="s">
        <v>29</v>
      </c>
      <c r="B4348" s="1" t="s">
        <v>47</v>
      </c>
      <c r="C4348" s="1" t="str">
        <f t="shared" si="102"/>
        <v>020007</v>
      </c>
      <c r="D4348" s="1" t="str">
        <f>"512522012"</f>
        <v>512522012</v>
      </c>
      <c r="E4348" s="1">
        <v>0</v>
      </c>
      <c r="F4348" s="1">
        <v>0</v>
      </c>
      <c r="H4348" s="1">
        <v>0</v>
      </c>
    </row>
    <row r="4349" s="1" customFormat="1" spans="1:8">
      <c r="A4349" s="1" t="s">
        <v>29</v>
      </c>
      <c r="B4349" s="1" t="s">
        <v>47</v>
      </c>
      <c r="C4349" s="1" t="str">
        <f t="shared" si="102"/>
        <v>020007</v>
      </c>
      <c r="D4349" s="1" t="str">
        <f>"512522013"</f>
        <v>512522013</v>
      </c>
      <c r="E4349" s="1">
        <v>50.5</v>
      </c>
      <c r="F4349" s="1">
        <v>75.5</v>
      </c>
      <c r="H4349" s="1">
        <v>60.5</v>
      </c>
    </row>
    <row r="4350" s="1" customFormat="1" spans="1:8">
      <c r="A4350" s="1" t="s">
        <v>29</v>
      </c>
      <c r="B4350" s="1" t="s">
        <v>47</v>
      </c>
      <c r="C4350" s="1" t="str">
        <f t="shared" si="102"/>
        <v>020007</v>
      </c>
      <c r="D4350" s="1" t="str">
        <f>"512522014"</f>
        <v>512522014</v>
      </c>
      <c r="E4350" s="1">
        <v>0</v>
      </c>
      <c r="F4350" s="1">
        <v>0</v>
      </c>
      <c r="H4350" s="1">
        <v>0</v>
      </c>
    </row>
    <row r="4351" s="1" customFormat="1" spans="1:8">
      <c r="A4351" s="1" t="s">
        <v>29</v>
      </c>
      <c r="B4351" s="1" t="s">
        <v>47</v>
      </c>
      <c r="C4351" s="1" t="str">
        <f t="shared" si="102"/>
        <v>020007</v>
      </c>
      <c r="D4351" s="1" t="str">
        <f>"512522015"</f>
        <v>512522015</v>
      </c>
      <c r="E4351" s="1">
        <v>85.5</v>
      </c>
      <c r="F4351" s="1">
        <v>68</v>
      </c>
      <c r="H4351" s="1">
        <v>78.5</v>
      </c>
    </row>
    <row r="4352" s="1" customFormat="1" spans="1:8">
      <c r="A4352" s="1" t="s">
        <v>29</v>
      </c>
      <c r="B4352" s="1" t="s">
        <v>47</v>
      </c>
      <c r="C4352" s="1" t="str">
        <f t="shared" si="102"/>
        <v>020007</v>
      </c>
      <c r="D4352" s="1" t="str">
        <f>"512522016"</f>
        <v>512522016</v>
      </c>
      <c r="E4352" s="1">
        <v>44</v>
      </c>
      <c r="F4352" s="1">
        <v>70</v>
      </c>
      <c r="H4352" s="1">
        <v>54.4</v>
      </c>
    </row>
    <row r="4353" s="1" customFormat="1" spans="1:8">
      <c r="A4353" s="1" t="s">
        <v>29</v>
      </c>
      <c r="B4353" s="1" t="s">
        <v>47</v>
      </c>
      <c r="C4353" s="1" t="str">
        <f t="shared" si="102"/>
        <v>020007</v>
      </c>
      <c r="D4353" s="1" t="str">
        <f>"512522017"</f>
        <v>512522017</v>
      </c>
      <c r="E4353" s="1">
        <v>55</v>
      </c>
      <c r="F4353" s="1">
        <v>59.5</v>
      </c>
      <c r="H4353" s="1">
        <v>56.8</v>
      </c>
    </row>
    <row r="4354" s="1" customFormat="1" spans="1:8">
      <c r="A4354" s="1" t="s">
        <v>29</v>
      </c>
      <c r="B4354" s="1" t="s">
        <v>47</v>
      </c>
      <c r="C4354" s="1" t="str">
        <f t="shared" si="102"/>
        <v>020007</v>
      </c>
      <c r="D4354" s="1" t="str">
        <f>"512522018"</f>
        <v>512522018</v>
      </c>
      <c r="E4354" s="1">
        <v>36</v>
      </c>
      <c r="F4354" s="1">
        <v>69.5</v>
      </c>
      <c r="H4354" s="1">
        <v>49.4</v>
      </c>
    </row>
    <row r="4355" s="1" customFormat="1" spans="1:8">
      <c r="A4355" s="1" t="s">
        <v>29</v>
      </c>
      <c r="B4355" s="1" t="s">
        <v>47</v>
      </c>
      <c r="C4355" s="1" t="str">
        <f t="shared" si="102"/>
        <v>020007</v>
      </c>
      <c r="D4355" s="1" t="str">
        <f>"512522019"</f>
        <v>512522019</v>
      </c>
      <c r="E4355" s="1">
        <v>75</v>
      </c>
      <c r="F4355" s="1">
        <v>54</v>
      </c>
      <c r="H4355" s="1">
        <v>66.6</v>
      </c>
    </row>
    <row r="4356" s="1" customFormat="1" spans="1:8">
      <c r="A4356" s="1" t="s">
        <v>29</v>
      </c>
      <c r="B4356" s="1" t="s">
        <v>47</v>
      </c>
      <c r="C4356" s="1" t="str">
        <f t="shared" si="102"/>
        <v>020007</v>
      </c>
      <c r="D4356" s="1" t="str">
        <f>"512522020"</f>
        <v>512522020</v>
      </c>
      <c r="E4356" s="1">
        <v>43.5</v>
      </c>
      <c r="F4356" s="1">
        <v>49.5</v>
      </c>
      <c r="H4356" s="1">
        <v>45.9</v>
      </c>
    </row>
    <row r="4357" s="1" customFormat="1" spans="1:8">
      <c r="A4357" s="1" t="s">
        <v>29</v>
      </c>
      <c r="B4357" s="1" t="s">
        <v>47</v>
      </c>
      <c r="C4357" s="1" t="str">
        <f t="shared" si="102"/>
        <v>020007</v>
      </c>
      <c r="D4357" s="1" t="str">
        <f>"512522021"</f>
        <v>512522021</v>
      </c>
      <c r="E4357" s="1">
        <v>51</v>
      </c>
      <c r="F4357" s="1">
        <v>66.5</v>
      </c>
      <c r="H4357" s="1">
        <v>57.2</v>
      </c>
    </row>
    <row r="4358" s="1" customFormat="1" spans="1:8">
      <c r="A4358" s="1" t="s">
        <v>29</v>
      </c>
      <c r="B4358" s="1" t="s">
        <v>47</v>
      </c>
      <c r="C4358" s="1" t="str">
        <f t="shared" si="102"/>
        <v>020007</v>
      </c>
      <c r="D4358" s="1" t="str">
        <f>"512522022"</f>
        <v>512522022</v>
      </c>
      <c r="E4358" s="1">
        <v>31</v>
      </c>
      <c r="F4358" s="1">
        <v>62.5</v>
      </c>
      <c r="H4358" s="1">
        <v>43.6</v>
      </c>
    </row>
    <row r="4359" s="1" customFormat="1" spans="1:8">
      <c r="A4359" s="1" t="s">
        <v>29</v>
      </c>
      <c r="B4359" s="1" t="s">
        <v>47</v>
      </c>
      <c r="C4359" s="1" t="str">
        <f t="shared" si="102"/>
        <v>020007</v>
      </c>
      <c r="D4359" s="1" t="str">
        <f>"512522023"</f>
        <v>512522023</v>
      </c>
      <c r="E4359" s="1">
        <v>75.5</v>
      </c>
      <c r="F4359" s="1">
        <v>72.5</v>
      </c>
      <c r="H4359" s="1">
        <v>74.3</v>
      </c>
    </row>
    <row r="4360" s="1" customFormat="1" spans="1:8">
      <c r="A4360" s="1" t="s">
        <v>29</v>
      </c>
      <c r="B4360" s="1" t="s">
        <v>47</v>
      </c>
      <c r="C4360" s="1" t="str">
        <f t="shared" si="102"/>
        <v>020007</v>
      </c>
      <c r="D4360" s="1" t="str">
        <f>"512522024"</f>
        <v>512522024</v>
      </c>
      <c r="E4360" s="1">
        <v>83.5</v>
      </c>
      <c r="F4360" s="1">
        <v>88.5</v>
      </c>
      <c r="H4360" s="1">
        <v>85.5</v>
      </c>
    </row>
    <row r="4361" s="1" customFormat="1" spans="1:8">
      <c r="A4361" s="1" t="s">
        <v>29</v>
      </c>
      <c r="B4361" s="1" t="s">
        <v>47</v>
      </c>
      <c r="C4361" s="1" t="str">
        <f t="shared" si="102"/>
        <v>020007</v>
      </c>
      <c r="D4361" s="1" t="str">
        <f>"512522025"</f>
        <v>512522025</v>
      </c>
      <c r="E4361" s="1">
        <v>43</v>
      </c>
      <c r="F4361" s="1">
        <v>55</v>
      </c>
      <c r="H4361" s="1">
        <v>47.8</v>
      </c>
    </row>
    <row r="4362" s="1" customFormat="1" spans="1:8">
      <c r="A4362" s="1" t="s">
        <v>29</v>
      </c>
      <c r="B4362" s="1" t="s">
        <v>47</v>
      </c>
      <c r="C4362" s="1" t="str">
        <f t="shared" si="102"/>
        <v>020007</v>
      </c>
      <c r="D4362" s="1" t="str">
        <f>"512522026"</f>
        <v>512522026</v>
      </c>
      <c r="E4362" s="1">
        <v>80</v>
      </c>
      <c r="F4362" s="1">
        <v>65</v>
      </c>
      <c r="H4362" s="1">
        <v>74</v>
      </c>
    </row>
    <row r="4363" s="1" customFormat="1" spans="1:8">
      <c r="A4363" s="1" t="s">
        <v>29</v>
      </c>
      <c r="B4363" s="1" t="s">
        <v>47</v>
      </c>
      <c r="C4363" s="1" t="str">
        <f t="shared" si="102"/>
        <v>020007</v>
      </c>
      <c r="D4363" s="1" t="str">
        <f>"512522027"</f>
        <v>512522027</v>
      </c>
      <c r="E4363" s="1">
        <v>43</v>
      </c>
      <c r="F4363" s="1">
        <v>77.5</v>
      </c>
      <c r="H4363" s="1">
        <v>56.8</v>
      </c>
    </row>
    <row r="4364" s="1" customFormat="1" spans="1:8">
      <c r="A4364" s="1" t="s">
        <v>29</v>
      </c>
      <c r="B4364" s="1" t="s">
        <v>47</v>
      </c>
      <c r="C4364" s="1" t="str">
        <f t="shared" si="102"/>
        <v>020007</v>
      </c>
      <c r="D4364" s="1" t="str">
        <f>"512522028"</f>
        <v>512522028</v>
      </c>
      <c r="E4364" s="1">
        <v>60.5</v>
      </c>
      <c r="F4364" s="1">
        <v>59</v>
      </c>
      <c r="H4364" s="1">
        <v>59.9</v>
      </c>
    </row>
    <row r="4365" s="1" customFormat="1" spans="1:8">
      <c r="A4365" s="1" t="s">
        <v>29</v>
      </c>
      <c r="B4365" s="1" t="s">
        <v>47</v>
      </c>
      <c r="C4365" s="1" t="str">
        <f t="shared" si="102"/>
        <v>020007</v>
      </c>
      <c r="D4365" s="1" t="str">
        <f>"512522029"</f>
        <v>512522029</v>
      </c>
      <c r="E4365" s="1">
        <v>55.5</v>
      </c>
      <c r="F4365" s="1">
        <v>76</v>
      </c>
      <c r="H4365" s="1">
        <v>63.7</v>
      </c>
    </row>
    <row r="4366" s="1" customFormat="1" spans="1:8">
      <c r="A4366" s="1" t="s">
        <v>29</v>
      </c>
      <c r="B4366" s="1" t="s">
        <v>47</v>
      </c>
      <c r="C4366" s="1" t="str">
        <f t="shared" si="102"/>
        <v>020007</v>
      </c>
      <c r="D4366" s="1" t="str">
        <f>"512522030"</f>
        <v>512522030</v>
      </c>
      <c r="E4366" s="1">
        <v>40.5</v>
      </c>
      <c r="F4366" s="1">
        <v>72</v>
      </c>
      <c r="H4366" s="1">
        <v>53.1</v>
      </c>
    </row>
    <row r="4367" s="1" customFormat="1" spans="1:8">
      <c r="A4367" s="1" t="s">
        <v>29</v>
      </c>
      <c r="B4367" s="1" t="s">
        <v>47</v>
      </c>
      <c r="C4367" s="1" t="str">
        <f t="shared" si="102"/>
        <v>020007</v>
      </c>
      <c r="D4367" s="1" t="str">
        <f>"512522101"</f>
        <v>512522101</v>
      </c>
      <c r="E4367" s="1">
        <v>20</v>
      </c>
      <c r="F4367" s="1">
        <v>61.5</v>
      </c>
      <c r="H4367" s="1">
        <v>36.6</v>
      </c>
    </row>
    <row r="4368" s="1" customFormat="1" spans="1:8">
      <c r="A4368" s="1" t="s">
        <v>29</v>
      </c>
      <c r="B4368" s="1" t="s">
        <v>47</v>
      </c>
      <c r="C4368" s="1" t="str">
        <f t="shared" si="102"/>
        <v>020007</v>
      </c>
      <c r="D4368" s="1" t="str">
        <f>"512522102"</f>
        <v>512522102</v>
      </c>
      <c r="E4368" s="1">
        <v>39.5</v>
      </c>
      <c r="F4368" s="1">
        <v>62.5</v>
      </c>
      <c r="H4368" s="1">
        <v>48.7</v>
      </c>
    </row>
    <row r="4369" s="1" customFormat="1" spans="1:8">
      <c r="A4369" s="1" t="s">
        <v>29</v>
      </c>
      <c r="B4369" s="1" t="s">
        <v>47</v>
      </c>
      <c r="C4369" s="1" t="str">
        <f t="shared" si="102"/>
        <v>020007</v>
      </c>
      <c r="D4369" s="1" t="str">
        <f>"512522103"</f>
        <v>512522103</v>
      </c>
      <c r="E4369" s="1">
        <v>66.5</v>
      </c>
      <c r="F4369" s="1">
        <v>81</v>
      </c>
      <c r="H4369" s="1">
        <v>72.3</v>
      </c>
    </row>
    <row r="4370" s="1" customFormat="1" spans="1:8">
      <c r="A4370" s="1" t="s">
        <v>29</v>
      </c>
      <c r="B4370" s="1" t="s">
        <v>47</v>
      </c>
      <c r="C4370" s="1" t="str">
        <f t="shared" si="102"/>
        <v>020007</v>
      </c>
      <c r="D4370" s="1" t="str">
        <f>"512522104"</f>
        <v>512522104</v>
      </c>
      <c r="E4370" s="1">
        <v>30.5</v>
      </c>
      <c r="F4370" s="1">
        <v>61</v>
      </c>
      <c r="H4370" s="1">
        <v>42.7</v>
      </c>
    </row>
    <row r="4371" s="1" customFormat="1" spans="1:8">
      <c r="A4371" s="1" t="s">
        <v>29</v>
      </c>
      <c r="B4371" s="1" t="s">
        <v>47</v>
      </c>
      <c r="C4371" s="1" t="str">
        <f t="shared" si="102"/>
        <v>020007</v>
      </c>
      <c r="D4371" s="1" t="str">
        <f>"512522105"</f>
        <v>512522105</v>
      </c>
      <c r="E4371" s="1">
        <v>33</v>
      </c>
      <c r="F4371" s="1">
        <v>59.5</v>
      </c>
      <c r="H4371" s="1">
        <v>43.6</v>
      </c>
    </row>
    <row r="4372" s="1" customFormat="1" spans="1:8">
      <c r="A4372" s="1" t="s">
        <v>29</v>
      </c>
      <c r="B4372" s="1" t="s">
        <v>47</v>
      </c>
      <c r="C4372" s="1" t="str">
        <f t="shared" si="102"/>
        <v>020007</v>
      </c>
      <c r="D4372" s="1" t="str">
        <f>"512522106"</f>
        <v>512522106</v>
      </c>
      <c r="E4372" s="1">
        <v>42.5</v>
      </c>
      <c r="F4372" s="1">
        <v>73</v>
      </c>
      <c r="H4372" s="1">
        <v>54.7</v>
      </c>
    </row>
    <row r="4373" s="1" customFormat="1" spans="1:8">
      <c r="A4373" s="1" t="s">
        <v>29</v>
      </c>
      <c r="B4373" s="1" t="s">
        <v>47</v>
      </c>
      <c r="C4373" s="1" t="str">
        <f t="shared" si="102"/>
        <v>020007</v>
      </c>
      <c r="D4373" s="1" t="str">
        <f>"512522107"</f>
        <v>512522107</v>
      </c>
      <c r="E4373" s="1">
        <v>83</v>
      </c>
      <c r="F4373" s="1">
        <v>72.5</v>
      </c>
      <c r="H4373" s="1">
        <v>78.8</v>
      </c>
    </row>
    <row r="4374" s="1" customFormat="1" spans="1:8">
      <c r="A4374" s="1" t="s">
        <v>29</v>
      </c>
      <c r="B4374" s="1" t="s">
        <v>47</v>
      </c>
      <c r="C4374" s="1" t="str">
        <f t="shared" si="102"/>
        <v>020007</v>
      </c>
      <c r="D4374" s="1" t="str">
        <f>"512522108"</f>
        <v>512522108</v>
      </c>
      <c r="E4374" s="1">
        <v>51</v>
      </c>
      <c r="F4374" s="1">
        <v>71</v>
      </c>
      <c r="H4374" s="1">
        <v>59</v>
      </c>
    </row>
    <row r="4375" s="1" customFormat="1" spans="1:8">
      <c r="A4375" s="1" t="s">
        <v>29</v>
      </c>
      <c r="B4375" s="1" t="s">
        <v>47</v>
      </c>
      <c r="C4375" s="1" t="str">
        <f t="shared" si="102"/>
        <v>020007</v>
      </c>
      <c r="D4375" s="1" t="str">
        <f>"512522109"</f>
        <v>512522109</v>
      </c>
      <c r="E4375" s="1">
        <v>59.5</v>
      </c>
      <c r="F4375" s="1">
        <v>76</v>
      </c>
      <c r="H4375" s="1">
        <v>66.1</v>
      </c>
    </row>
    <row r="4376" s="1" customFormat="1" spans="1:8">
      <c r="A4376" s="1" t="s">
        <v>29</v>
      </c>
      <c r="B4376" s="1" t="s">
        <v>47</v>
      </c>
      <c r="C4376" s="1" t="str">
        <f t="shared" si="102"/>
        <v>020007</v>
      </c>
      <c r="D4376" s="1" t="str">
        <f>"512522110"</f>
        <v>512522110</v>
      </c>
      <c r="E4376" s="1">
        <v>0</v>
      </c>
      <c r="F4376" s="1">
        <v>0</v>
      </c>
      <c r="H4376" s="1">
        <v>0</v>
      </c>
    </row>
    <row r="4377" s="1" customFormat="1" spans="1:8">
      <c r="A4377" s="1" t="s">
        <v>31</v>
      </c>
      <c r="B4377" s="1" t="s">
        <v>47</v>
      </c>
      <c r="C4377" s="1" t="str">
        <f t="shared" ref="C4377:C4394" si="103">"020012"</f>
        <v>020012</v>
      </c>
      <c r="D4377" s="1" t="str">
        <f>"512522111"</f>
        <v>512522111</v>
      </c>
      <c r="E4377" s="1">
        <v>0</v>
      </c>
      <c r="F4377" s="1">
        <v>0</v>
      </c>
      <c r="H4377" s="1">
        <v>0</v>
      </c>
    </row>
    <row r="4378" s="1" customFormat="1" spans="1:8">
      <c r="A4378" s="1" t="s">
        <v>31</v>
      </c>
      <c r="B4378" s="1" t="s">
        <v>47</v>
      </c>
      <c r="C4378" s="1" t="str">
        <f t="shared" si="103"/>
        <v>020012</v>
      </c>
      <c r="D4378" s="1" t="str">
        <f>"512522112"</f>
        <v>512522112</v>
      </c>
      <c r="E4378" s="1">
        <v>62.5</v>
      </c>
      <c r="F4378" s="1">
        <v>69</v>
      </c>
      <c r="H4378" s="1">
        <v>65.1</v>
      </c>
    </row>
    <row r="4379" s="1" customFormat="1" spans="1:8">
      <c r="A4379" s="1" t="s">
        <v>31</v>
      </c>
      <c r="B4379" s="1" t="s">
        <v>47</v>
      </c>
      <c r="C4379" s="1" t="str">
        <f t="shared" si="103"/>
        <v>020012</v>
      </c>
      <c r="D4379" s="1" t="str">
        <f>"512522113"</f>
        <v>512522113</v>
      </c>
      <c r="E4379" s="1">
        <v>49.5</v>
      </c>
      <c r="F4379" s="1">
        <v>78.5</v>
      </c>
      <c r="H4379" s="1">
        <v>61.1</v>
      </c>
    </row>
    <row r="4380" s="1" customFormat="1" spans="1:8">
      <c r="A4380" s="1" t="s">
        <v>31</v>
      </c>
      <c r="B4380" s="1" t="s">
        <v>47</v>
      </c>
      <c r="C4380" s="1" t="str">
        <f t="shared" si="103"/>
        <v>020012</v>
      </c>
      <c r="D4380" s="1" t="str">
        <f>"512522114"</f>
        <v>512522114</v>
      </c>
      <c r="E4380" s="1">
        <v>64</v>
      </c>
      <c r="F4380" s="1">
        <v>79.5</v>
      </c>
      <c r="H4380" s="1">
        <v>70.2</v>
      </c>
    </row>
    <row r="4381" s="1" customFormat="1" spans="1:8">
      <c r="A4381" s="1" t="s">
        <v>31</v>
      </c>
      <c r="B4381" s="1" t="s">
        <v>47</v>
      </c>
      <c r="C4381" s="1" t="str">
        <f t="shared" si="103"/>
        <v>020012</v>
      </c>
      <c r="D4381" s="1" t="str">
        <f>"512522115"</f>
        <v>512522115</v>
      </c>
      <c r="E4381" s="1">
        <v>75</v>
      </c>
      <c r="F4381" s="1">
        <v>72.5</v>
      </c>
      <c r="H4381" s="1">
        <v>74</v>
      </c>
    </row>
    <row r="4382" s="1" customFormat="1" spans="1:8">
      <c r="A4382" s="1" t="s">
        <v>31</v>
      </c>
      <c r="B4382" s="1" t="s">
        <v>47</v>
      </c>
      <c r="C4382" s="1" t="str">
        <f t="shared" si="103"/>
        <v>020012</v>
      </c>
      <c r="D4382" s="1" t="str">
        <f>"512522116"</f>
        <v>512522116</v>
      </c>
      <c r="E4382" s="1">
        <v>82</v>
      </c>
      <c r="F4382" s="1">
        <v>56.5</v>
      </c>
      <c r="H4382" s="1">
        <v>71.8</v>
      </c>
    </row>
    <row r="4383" s="1" customFormat="1" spans="1:8">
      <c r="A4383" s="1" t="s">
        <v>31</v>
      </c>
      <c r="B4383" s="1" t="s">
        <v>47</v>
      </c>
      <c r="C4383" s="1" t="str">
        <f t="shared" si="103"/>
        <v>020012</v>
      </c>
      <c r="D4383" s="1" t="str">
        <f>"512522117"</f>
        <v>512522117</v>
      </c>
      <c r="E4383" s="1">
        <v>54</v>
      </c>
      <c r="F4383" s="1">
        <v>77.5</v>
      </c>
      <c r="H4383" s="1">
        <v>63.4</v>
      </c>
    </row>
    <row r="4384" s="1" customFormat="1" spans="1:8">
      <c r="A4384" s="1" t="s">
        <v>31</v>
      </c>
      <c r="B4384" s="1" t="s">
        <v>47</v>
      </c>
      <c r="C4384" s="1" t="str">
        <f t="shared" si="103"/>
        <v>020012</v>
      </c>
      <c r="D4384" s="1" t="str">
        <f>"512522118"</f>
        <v>512522118</v>
      </c>
      <c r="E4384" s="1">
        <v>41</v>
      </c>
      <c r="F4384" s="1">
        <v>59.5</v>
      </c>
      <c r="H4384" s="1">
        <v>48.4</v>
      </c>
    </row>
    <row r="4385" s="1" customFormat="1" spans="1:8">
      <c r="A4385" s="1" t="s">
        <v>31</v>
      </c>
      <c r="B4385" s="1" t="s">
        <v>47</v>
      </c>
      <c r="C4385" s="1" t="str">
        <f t="shared" si="103"/>
        <v>020012</v>
      </c>
      <c r="D4385" s="1" t="str">
        <f>"512522119"</f>
        <v>512522119</v>
      </c>
      <c r="E4385" s="1">
        <v>84</v>
      </c>
      <c r="F4385" s="1">
        <v>88</v>
      </c>
      <c r="H4385" s="1">
        <v>85.6</v>
      </c>
    </row>
    <row r="4386" s="1" customFormat="1" spans="1:8">
      <c r="A4386" s="1" t="s">
        <v>31</v>
      </c>
      <c r="B4386" s="1" t="s">
        <v>47</v>
      </c>
      <c r="C4386" s="1" t="str">
        <f t="shared" si="103"/>
        <v>020012</v>
      </c>
      <c r="D4386" s="1" t="str">
        <f>"512522120"</f>
        <v>512522120</v>
      </c>
      <c r="E4386" s="1">
        <v>46</v>
      </c>
      <c r="F4386" s="1">
        <v>61</v>
      </c>
      <c r="H4386" s="1">
        <v>52</v>
      </c>
    </row>
    <row r="4387" s="1" customFormat="1" spans="1:8">
      <c r="A4387" s="1" t="s">
        <v>31</v>
      </c>
      <c r="B4387" s="1" t="s">
        <v>47</v>
      </c>
      <c r="C4387" s="1" t="str">
        <f t="shared" si="103"/>
        <v>020012</v>
      </c>
      <c r="D4387" s="1" t="str">
        <f>"512522121"</f>
        <v>512522121</v>
      </c>
      <c r="E4387" s="1">
        <v>34</v>
      </c>
      <c r="F4387" s="1">
        <v>60</v>
      </c>
      <c r="H4387" s="1">
        <v>44.4</v>
      </c>
    </row>
    <row r="4388" s="1" customFormat="1" spans="1:8">
      <c r="A4388" s="1" t="s">
        <v>31</v>
      </c>
      <c r="B4388" s="1" t="s">
        <v>47</v>
      </c>
      <c r="C4388" s="1" t="str">
        <f t="shared" si="103"/>
        <v>020012</v>
      </c>
      <c r="D4388" s="1" t="str">
        <f>"512522122"</f>
        <v>512522122</v>
      </c>
      <c r="E4388" s="1">
        <v>18.5</v>
      </c>
      <c r="F4388" s="1">
        <v>51.5</v>
      </c>
      <c r="H4388" s="1">
        <v>31.7</v>
      </c>
    </row>
    <row r="4389" s="1" customFormat="1" spans="1:8">
      <c r="A4389" s="1" t="s">
        <v>31</v>
      </c>
      <c r="B4389" s="1" t="s">
        <v>47</v>
      </c>
      <c r="C4389" s="1" t="str">
        <f t="shared" si="103"/>
        <v>020012</v>
      </c>
      <c r="D4389" s="1" t="str">
        <f>"512522123"</f>
        <v>512522123</v>
      </c>
      <c r="E4389" s="1">
        <v>43.5</v>
      </c>
      <c r="F4389" s="1">
        <v>57.5</v>
      </c>
      <c r="H4389" s="1">
        <v>49.1</v>
      </c>
    </row>
    <row r="4390" s="1" customFormat="1" spans="1:8">
      <c r="A4390" s="1" t="s">
        <v>31</v>
      </c>
      <c r="B4390" s="1" t="s">
        <v>47</v>
      </c>
      <c r="C4390" s="1" t="str">
        <f t="shared" si="103"/>
        <v>020012</v>
      </c>
      <c r="D4390" s="1" t="str">
        <f>"512522124"</f>
        <v>512522124</v>
      </c>
      <c r="E4390" s="1">
        <v>54.5</v>
      </c>
      <c r="F4390" s="1">
        <v>72.5</v>
      </c>
      <c r="H4390" s="1">
        <v>61.7</v>
      </c>
    </row>
    <row r="4391" s="1" customFormat="1" spans="1:8">
      <c r="A4391" s="1" t="s">
        <v>31</v>
      </c>
      <c r="B4391" s="1" t="s">
        <v>47</v>
      </c>
      <c r="C4391" s="1" t="str">
        <f t="shared" si="103"/>
        <v>020012</v>
      </c>
      <c r="D4391" s="1" t="str">
        <f>"512522125"</f>
        <v>512522125</v>
      </c>
      <c r="E4391" s="1">
        <v>44.5</v>
      </c>
      <c r="F4391" s="1">
        <v>57.5</v>
      </c>
      <c r="H4391" s="1">
        <v>49.7</v>
      </c>
    </row>
    <row r="4392" s="1" customFormat="1" spans="1:8">
      <c r="A4392" s="1" t="s">
        <v>31</v>
      </c>
      <c r="B4392" s="1" t="s">
        <v>47</v>
      </c>
      <c r="C4392" s="1" t="str">
        <f t="shared" si="103"/>
        <v>020012</v>
      </c>
      <c r="D4392" s="1" t="str">
        <f>"512522126"</f>
        <v>512522126</v>
      </c>
      <c r="E4392" s="1">
        <v>30</v>
      </c>
      <c r="F4392" s="1">
        <v>48</v>
      </c>
      <c r="H4392" s="1">
        <v>37.2</v>
      </c>
    </row>
    <row r="4393" s="1" customFormat="1" spans="1:8">
      <c r="A4393" s="1" t="s">
        <v>31</v>
      </c>
      <c r="B4393" s="1" t="s">
        <v>47</v>
      </c>
      <c r="C4393" s="1" t="str">
        <f t="shared" si="103"/>
        <v>020012</v>
      </c>
      <c r="D4393" s="1" t="str">
        <f>"512522127"</f>
        <v>512522127</v>
      </c>
      <c r="E4393" s="1">
        <v>32</v>
      </c>
      <c r="F4393" s="1">
        <v>57</v>
      </c>
      <c r="H4393" s="1">
        <v>42</v>
      </c>
    </row>
    <row r="4394" s="1" customFormat="1" spans="1:8">
      <c r="A4394" s="1" t="s">
        <v>31</v>
      </c>
      <c r="B4394" s="1" t="s">
        <v>47</v>
      </c>
      <c r="C4394" s="1" t="str">
        <f t="shared" si="103"/>
        <v>020012</v>
      </c>
      <c r="D4394" s="1" t="str">
        <f>"512522128"</f>
        <v>512522128</v>
      </c>
      <c r="E4394" s="1">
        <v>0</v>
      </c>
      <c r="F4394" s="1">
        <v>0</v>
      </c>
      <c r="H4394" s="1">
        <v>0</v>
      </c>
    </row>
    <row r="4395" s="1" customFormat="1" spans="1:8">
      <c r="A4395" s="1" t="s">
        <v>32</v>
      </c>
      <c r="B4395" s="1" t="s">
        <v>47</v>
      </c>
      <c r="C4395" s="1" t="str">
        <f t="shared" ref="C4395:C4450" si="104">"020016"</f>
        <v>020016</v>
      </c>
      <c r="D4395" s="1" t="str">
        <f>"512522129"</f>
        <v>512522129</v>
      </c>
      <c r="E4395" s="1">
        <v>60</v>
      </c>
      <c r="F4395" s="1">
        <v>63.5</v>
      </c>
      <c r="H4395" s="1">
        <v>61.4</v>
      </c>
    </row>
    <row r="4396" s="1" customFormat="1" spans="1:8">
      <c r="A4396" s="1" t="s">
        <v>32</v>
      </c>
      <c r="B4396" s="1" t="s">
        <v>47</v>
      </c>
      <c r="C4396" s="1" t="str">
        <f t="shared" si="104"/>
        <v>020016</v>
      </c>
      <c r="D4396" s="1" t="str">
        <f>"512522130"</f>
        <v>512522130</v>
      </c>
      <c r="E4396" s="1">
        <v>93.5</v>
      </c>
      <c r="F4396" s="1">
        <v>76.5</v>
      </c>
      <c r="H4396" s="1">
        <v>86.7</v>
      </c>
    </row>
    <row r="4397" s="1" customFormat="1" spans="1:8">
      <c r="A4397" s="1" t="s">
        <v>32</v>
      </c>
      <c r="B4397" s="1" t="s">
        <v>47</v>
      </c>
      <c r="C4397" s="1" t="str">
        <f t="shared" si="104"/>
        <v>020016</v>
      </c>
      <c r="D4397" s="1" t="str">
        <f>"512522201"</f>
        <v>512522201</v>
      </c>
      <c r="E4397" s="1">
        <v>70.5</v>
      </c>
      <c r="F4397" s="1">
        <v>68.5</v>
      </c>
      <c r="H4397" s="1">
        <v>69.7</v>
      </c>
    </row>
    <row r="4398" s="1" customFormat="1" spans="1:8">
      <c r="A4398" s="1" t="s">
        <v>32</v>
      </c>
      <c r="B4398" s="1" t="s">
        <v>47</v>
      </c>
      <c r="C4398" s="1" t="str">
        <f t="shared" si="104"/>
        <v>020016</v>
      </c>
      <c r="D4398" s="1" t="str">
        <f>"512522202"</f>
        <v>512522202</v>
      </c>
      <c r="E4398" s="1">
        <v>74.5</v>
      </c>
      <c r="F4398" s="1">
        <v>82</v>
      </c>
      <c r="H4398" s="1">
        <v>77.5</v>
      </c>
    </row>
    <row r="4399" s="1" customFormat="1" spans="1:8">
      <c r="A4399" s="1" t="s">
        <v>32</v>
      </c>
      <c r="B4399" s="1" t="s">
        <v>47</v>
      </c>
      <c r="C4399" s="1" t="str">
        <f t="shared" si="104"/>
        <v>020016</v>
      </c>
      <c r="D4399" s="1" t="str">
        <f>"512522203"</f>
        <v>512522203</v>
      </c>
      <c r="E4399" s="1">
        <v>24</v>
      </c>
      <c r="F4399" s="1">
        <v>53</v>
      </c>
      <c r="H4399" s="1">
        <v>35.6</v>
      </c>
    </row>
    <row r="4400" s="1" customFormat="1" spans="1:8">
      <c r="A4400" s="1" t="s">
        <v>32</v>
      </c>
      <c r="B4400" s="1" t="s">
        <v>47</v>
      </c>
      <c r="C4400" s="1" t="str">
        <f t="shared" si="104"/>
        <v>020016</v>
      </c>
      <c r="D4400" s="1" t="str">
        <f>"512522204"</f>
        <v>512522204</v>
      </c>
      <c r="E4400" s="1">
        <v>0</v>
      </c>
      <c r="F4400" s="1">
        <v>0</v>
      </c>
      <c r="H4400" s="1">
        <v>0</v>
      </c>
    </row>
    <row r="4401" s="1" customFormat="1" spans="1:8">
      <c r="A4401" s="1" t="s">
        <v>32</v>
      </c>
      <c r="B4401" s="1" t="s">
        <v>47</v>
      </c>
      <c r="C4401" s="1" t="str">
        <f t="shared" si="104"/>
        <v>020016</v>
      </c>
      <c r="D4401" s="1" t="str">
        <f>"512522205"</f>
        <v>512522205</v>
      </c>
      <c r="E4401" s="1">
        <v>86</v>
      </c>
      <c r="F4401" s="1">
        <v>80.5</v>
      </c>
      <c r="H4401" s="1">
        <v>83.8</v>
      </c>
    </row>
    <row r="4402" s="1" customFormat="1" spans="1:8">
      <c r="A4402" s="1" t="s">
        <v>32</v>
      </c>
      <c r="B4402" s="1" t="s">
        <v>47</v>
      </c>
      <c r="C4402" s="1" t="str">
        <f t="shared" si="104"/>
        <v>020016</v>
      </c>
      <c r="D4402" s="1" t="str">
        <f>"512522206"</f>
        <v>512522206</v>
      </c>
      <c r="E4402" s="1">
        <v>89.5</v>
      </c>
      <c r="F4402" s="1">
        <v>86.5</v>
      </c>
      <c r="H4402" s="1">
        <v>88.3</v>
      </c>
    </row>
    <row r="4403" s="1" customFormat="1" spans="1:8">
      <c r="A4403" s="1" t="s">
        <v>32</v>
      </c>
      <c r="B4403" s="1" t="s">
        <v>47</v>
      </c>
      <c r="C4403" s="1" t="str">
        <f t="shared" si="104"/>
        <v>020016</v>
      </c>
      <c r="D4403" s="1" t="str">
        <f>"512522207"</f>
        <v>512522207</v>
      </c>
      <c r="E4403" s="1">
        <v>52</v>
      </c>
      <c r="F4403" s="1">
        <v>69.5</v>
      </c>
      <c r="H4403" s="1">
        <v>59</v>
      </c>
    </row>
    <row r="4404" s="1" customFormat="1" spans="1:8">
      <c r="A4404" s="1" t="s">
        <v>32</v>
      </c>
      <c r="B4404" s="1" t="s">
        <v>47</v>
      </c>
      <c r="C4404" s="1" t="str">
        <f t="shared" si="104"/>
        <v>020016</v>
      </c>
      <c r="D4404" s="1" t="str">
        <f>"512522208"</f>
        <v>512522208</v>
      </c>
      <c r="E4404" s="1">
        <v>79.5</v>
      </c>
      <c r="F4404" s="1">
        <v>86</v>
      </c>
      <c r="H4404" s="1">
        <v>82.1</v>
      </c>
    </row>
    <row r="4405" s="1" customFormat="1" spans="1:8">
      <c r="A4405" s="1" t="s">
        <v>32</v>
      </c>
      <c r="B4405" s="1" t="s">
        <v>47</v>
      </c>
      <c r="C4405" s="1" t="str">
        <f t="shared" si="104"/>
        <v>020016</v>
      </c>
      <c r="D4405" s="1" t="str">
        <f>"512522209"</f>
        <v>512522209</v>
      </c>
      <c r="E4405" s="1">
        <v>25.5</v>
      </c>
      <c r="F4405" s="1">
        <v>59</v>
      </c>
      <c r="H4405" s="1">
        <v>38.9</v>
      </c>
    </row>
    <row r="4406" s="1" customFormat="1" spans="1:8">
      <c r="A4406" s="1" t="s">
        <v>32</v>
      </c>
      <c r="B4406" s="1" t="s">
        <v>47</v>
      </c>
      <c r="C4406" s="1" t="str">
        <f t="shared" si="104"/>
        <v>020016</v>
      </c>
      <c r="D4406" s="1" t="str">
        <f>"512522210"</f>
        <v>512522210</v>
      </c>
      <c r="E4406" s="1">
        <v>58</v>
      </c>
      <c r="F4406" s="1">
        <v>45</v>
      </c>
      <c r="H4406" s="1">
        <v>52.8</v>
      </c>
    </row>
    <row r="4407" s="1" customFormat="1" spans="1:8">
      <c r="A4407" s="1" t="s">
        <v>32</v>
      </c>
      <c r="B4407" s="1" t="s">
        <v>47</v>
      </c>
      <c r="C4407" s="1" t="str">
        <f t="shared" si="104"/>
        <v>020016</v>
      </c>
      <c r="D4407" s="1" t="str">
        <f>"512522211"</f>
        <v>512522211</v>
      </c>
      <c r="E4407" s="1">
        <v>43</v>
      </c>
      <c r="F4407" s="1">
        <v>82.5</v>
      </c>
      <c r="H4407" s="1">
        <v>58.8</v>
      </c>
    </row>
    <row r="4408" s="1" customFormat="1" spans="1:8">
      <c r="A4408" s="1" t="s">
        <v>32</v>
      </c>
      <c r="B4408" s="1" t="s">
        <v>47</v>
      </c>
      <c r="C4408" s="1" t="str">
        <f t="shared" si="104"/>
        <v>020016</v>
      </c>
      <c r="D4408" s="1" t="str">
        <f>"512522212"</f>
        <v>512522212</v>
      </c>
      <c r="E4408" s="1">
        <v>82.5</v>
      </c>
      <c r="F4408" s="1">
        <v>84</v>
      </c>
      <c r="H4408" s="1">
        <v>83.1</v>
      </c>
    </row>
    <row r="4409" s="1" customFormat="1" spans="1:8">
      <c r="A4409" s="1" t="s">
        <v>32</v>
      </c>
      <c r="B4409" s="1" t="s">
        <v>47</v>
      </c>
      <c r="C4409" s="1" t="str">
        <f t="shared" si="104"/>
        <v>020016</v>
      </c>
      <c r="D4409" s="1" t="str">
        <f>"512522213"</f>
        <v>512522213</v>
      </c>
      <c r="E4409" s="1">
        <v>0</v>
      </c>
      <c r="F4409" s="1">
        <v>0</v>
      </c>
      <c r="H4409" s="1">
        <v>0</v>
      </c>
    </row>
    <row r="4410" s="1" customFormat="1" spans="1:8">
      <c r="A4410" s="1" t="s">
        <v>32</v>
      </c>
      <c r="B4410" s="1" t="s">
        <v>47</v>
      </c>
      <c r="C4410" s="1" t="str">
        <f t="shared" si="104"/>
        <v>020016</v>
      </c>
      <c r="D4410" s="1" t="str">
        <f>"512522214"</f>
        <v>512522214</v>
      </c>
      <c r="E4410" s="1">
        <v>0</v>
      </c>
      <c r="F4410" s="1">
        <v>0</v>
      </c>
      <c r="H4410" s="1">
        <v>0</v>
      </c>
    </row>
    <row r="4411" s="1" customFormat="1" spans="1:8">
      <c r="A4411" s="1" t="s">
        <v>32</v>
      </c>
      <c r="B4411" s="1" t="s">
        <v>47</v>
      </c>
      <c r="C4411" s="1" t="str">
        <f t="shared" si="104"/>
        <v>020016</v>
      </c>
      <c r="D4411" s="1" t="str">
        <f>"512522215"</f>
        <v>512522215</v>
      </c>
      <c r="E4411" s="1">
        <v>0</v>
      </c>
      <c r="F4411" s="1">
        <v>0</v>
      </c>
      <c r="H4411" s="1">
        <v>0</v>
      </c>
    </row>
    <row r="4412" s="1" customFormat="1" spans="1:8">
      <c r="A4412" s="1" t="s">
        <v>32</v>
      </c>
      <c r="B4412" s="1" t="s">
        <v>47</v>
      </c>
      <c r="C4412" s="1" t="str">
        <f t="shared" si="104"/>
        <v>020016</v>
      </c>
      <c r="D4412" s="1" t="str">
        <f>"512522216"</f>
        <v>512522216</v>
      </c>
      <c r="E4412" s="1">
        <v>45</v>
      </c>
      <c r="F4412" s="1">
        <v>61.5</v>
      </c>
      <c r="H4412" s="1">
        <v>51.6</v>
      </c>
    </row>
    <row r="4413" s="1" customFormat="1" spans="1:8">
      <c r="A4413" s="1" t="s">
        <v>32</v>
      </c>
      <c r="B4413" s="1" t="s">
        <v>47</v>
      </c>
      <c r="C4413" s="1" t="str">
        <f t="shared" si="104"/>
        <v>020016</v>
      </c>
      <c r="D4413" s="1" t="str">
        <f>"512522217"</f>
        <v>512522217</v>
      </c>
      <c r="E4413" s="1">
        <v>72.5</v>
      </c>
      <c r="F4413" s="1">
        <v>66.5</v>
      </c>
      <c r="H4413" s="1">
        <v>70.1</v>
      </c>
    </row>
    <row r="4414" s="1" customFormat="1" spans="1:8">
      <c r="A4414" s="1" t="s">
        <v>32</v>
      </c>
      <c r="B4414" s="1" t="s">
        <v>47</v>
      </c>
      <c r="C4414" s="1" t="str">
        <f t="shared" si="104"/>
        <v>020016</v>
      </c>
      <c r="D4414" s="1" t="str">
        <f>"512522218"</f>
        <v>512522218</v>
      </c>
      <c r="E4414" s="1">
        <v>0</v>
      </c>
      <c r="F4414" s="1">
        <v>0</v>
      </c>
      <c r="H4414" s="1">
        <v>0</v>
      </c>
    </row>
    <row r="4415" s="1" customFormat="1" spans="1:8">
      <c r="A4415" s="1" t="s">
        <v>32</v>
      </c>
      <c r="B4415" s="1" t="s">
        <v>47</v>
      </c>
      <c r="C4415" s="1" t="str">
        <f t="shared" si="104"/>
        <v>020016</v>
      </c>
      <c r="D4415" s="1" t="str">
        <f>"512522219"</f>
        <v>512522219</v>
      </c>
      <c r="E4415" s="1">
        <v>0</v>
      </c>
      <c r="F4415" s="1">
        <v>0</v>
      </c>
      <c r="H4415" s="1">
        <v>0</v>
      </c>
    </row>
    <row r="4416" s="1" customFormat="1" spans="1:8">
      <c r="A4416" s="1" t="s">
        <v>32</v>
      </c>
      <c r="B4416" s="1" t="s">
        <v>47</v>
      </c>
      <c r="C4416" s="1" t="str">
        <f t="shared" si="104"/>
        <v>020016</v>
      </c>
      <c r="D4416" s="1" t="str">
        <f>"512522220"</f>
        <v>512522220</v>
      </c>
      <c r="E4416" s="1">
        <v>85.5</v>
      </c>
      <c r="F4416" s="1">
        <v>78</v>
      </c>
      <c r="H4416" s="1">
        <v>82.5</v>
      </c>
    </row>
    <row r="4417" s="1" customFormat="1" spans="1:8">
      <c r="A4417" s="1" t="s">
        <v>32</v>
      </c>
      <c r="B4417" s="1" t="s">
        <v>47</v>
      </c>
      <c r="C4417" s="1" t="str">
        <f t="shared" si="104"/>
        <v>020016</v>
      </c>
      <c r="D4417" s="1" t="str">
        <f>"512522221"</f>
        <v>512522221</v>
      </c>
      <c r="E4417" s="1">
        <v>37</v>
      </c>
      <c r="F4417" s="1">
        <v>58.5</v>
      </c>
      <c r="H4417" s="1">
        <v>45.6</v>
      </c>
    </row>
    <row r="4418" s="1" customFormat="1" spans="1:8">
      <c r="A4418" s="1" t="s">
        <v>32</v>
      </c>
      <c r="B4418" s="1" t="s">
        <v>47</v>
      </c>
      <c r="C4418" s="1" t="str">
        <f t="shared" si="104"/>
        <v>020016</v>
      </c>
      <c r="D4418" s="1" t="str">
        <f>"512522222"</f>
        <v>512522222</v>
      </c>
      <c r="E4418" s="1">
        <v>86.5</v>
      </c>
      <c r="F4418" s="1">
        <v>61.5</v>
      </c>
      <c r="H4418" s="1">
        <v>76.5</v>
      </c>
    </row>
    <row r="4419" s="1" customFormat="1" spans="1:8">
      <c r="A4419" s="1" t="s">
        <v>32</v>
      </c>
      <c r="B4419" s="1" t="s">
        <v>47</v>
      </c>
      <c r="C4419" s="1" t="str">
        <f t="shared" si="104"/>
        <v>020016</v>
      </c>
      <c r="D4419" s="1" t="str">
        <f>"512522223"</f>
        <v>512522223</v>
      </c>
      <c r="E4419" s="1">
        <v>55</v>
      </c>
      <c r="F4419" s="1">
        <v>66.5</v>
      </c>
      <c r="H4419" s="1">
        <v>59.6</v>
      </c>
    </row>
    <row r="4420" s="1" customFormat="1" spans="1:8">
      <c r="A4420" s="1" t="s">
        <v>32</v>
      </c>
      <c r="B4420" s="1" t="s">
        <v>47</v>
      </c>
      <c r="C4420" s="1" t="str">
        <f t="shared" si="104"/>
        <v>020016</v>
      </c>
      <c r="D4420" s="1" t="str">
        <f>"512522224"</f>
        <v>512522224</v>
      </c>
      <c r="E4420" s="1">
        <v>0</v>
      </c>
      <c r="F4420" s="1">
        <v>0</v>
      </c>
      <c r="H4420" s="1">
        <v>0</v>
      </c>
    </row>
    <row r="4421" s="1" customFormat="1" spans="1:8">
      <c r="A4421" s="1" t="s">
        <v>32</v>
      </c>
      <c r="B4421" s="1" t="s">
        <v>47</v>
      </c>
      <c r="C4421" s="1" t="str">
        <f t="shared" si="104"/>
        <v>020016</v>
      </c>
      <c r="D4421" s="1" t="str">
        <f>"512522225"</f>
        <v>512522225</v>
      </c>
      <c r="E4421" s="1">
        <v>79</v>
      </c>
      <c r="F4421" s="1">
        <v>74</v>
      </c>
      <c r="H4421" s="1">
        <v>77</v>
      </c>
    </row>
    <row r="4422" s="1" customFormat="1" spans="1:8">
      <c r="A4422" s="1" t="s">
        <v>32</v>
      </c>
      <c r="B4422" s="1" t="s">
        <v>47</v>
      </c>
      <c r="C4422" s="1" t="str">
        <f t="shared" si="104"/>
        <v>020016</v>
      </c>
      <c r="D4422" s="1" t="str">
        <f>"512522226"</f>
        <v>512522226</v>
      </c>
      <c r="E4422" s="1">
        <v>48.5</v>
      </c>
      <c r="F4422" s="1">
        <v>71</v>
      </c>
      <c r="H4422" s="1">
        <v>57.5</v>
      </c>
    </row>
    <row r="4423" s="1" customFormat="1" spans="1:8">
      <c r="A4423" s="1" t="s">
        <v>32</v>
      </c>
      <c r="B4423" s="1" t="s">
        <v>47</v>
      </c>
      <c r="C4423" s="1" t="str">
        <f t="shared" si="104"/>
        <v>020016</v>
      </c>
      <c r="D4423" s="1" t="str">
        <f>"512522227"</f>
        <v>512522227</v>
      </c>
      <c r="E4423" s="1">
        <v>0</v>
      </c>
      <c r="F4423" s="1">
        <v>0</v>
      </c>
      <c r="H4423" s="1">
        <v>0</v>
      </c>
    </row>
    <row r="4424" s="1" customFormat="1" spans="1:8">
      <c r="A4424" s="1" t="s">
        <v>32</v>
      </c>
      <c r="B4424" s="1" t="s">
        <v>47</v>
      </c>
      <c r="C4424" s="1" t="str">
        <f t="shared" si="104"/>
        <v>020016</v>
      </c>
      <c r="D4424" s="1" t="str">
        <f>"512522228"</f>
        <v>512522228</v>
      </c>
      <c r="E4424" s="1">
        <v>67</v>
      </c>
      <c r="F4424" s="1">
        <v>78.5</v>
      </c>
      <c r="H4424" s="1">
        <v>71.6</v>
      </c>
    </row>
    <row r="4425" s="1" customFormat="1" spans="1:8">
      <c r="A4425" s="1" t="s">
        <v>32</v>
      </c>
      <c r="B4425" s="1" t="s">
        <v>47</v>
      </c>
      <c r="C4425" s="1" t="str">
        <f t="shared" si="104"/>
        <v>020016</v>
      </c>
      <c r="D4425" s="1" t="str">
        <f>"512522229"</f>
        <v>512522229</v>
      </c>
      <c r="E4425" s="1">
        <v>82</v>
      </c>
      <c r="F4425" s="1">
        <v>73</v>
      </c>
      <c r="H4425" s="1">
        <v>78.4</v>
      </c>
    </row>
    <row r="4426" s="1" customFormat="1" spans="1:8">
      <c r="A4426" s="1" t="s">
        <v>32</v>
      </c>
      <c r="B4426" s="1" t="s">
        <v>47</v>
      </c>
      <c r="C4426" s="1" t="str">
        <f t="shared" si="104"/>
        <v>020016</v>
      </c>
      <c r="D4426" s="1" t="str">
        <f>"512522230"</f>
        <v>512522230</v>
      </c>
      <c r="E4426" s="1">
        <v>57</v>
      </c>
      <c r="F4426" s="1">
        <v>67</v>
      </c>
      <c r="H4426" s="1">
        <v>61</v>
      </c>
    </row>
    <row r="4427" s="1" customFormat="1" spans="1:8">
      <c r="A4427" s="1" t="s">
        <v>32</v>
      </c>
      <c r="B4427" s="1" t="s">
        <v>47</v>
      </c>
      <c r="C4427" s="1" t="str">
        <f t="shared" si="104"/>
        <v>020016</v>
      </c>
      <c r="D4427" s="1" t="str">
        <f>"512522301"</f>
        <v>512522301</v>
      </c>
      <c r="E4427" s="1">
        <v>0</v>
      </c>
      <c r="F4427" s="1">
        <v>0</v>
      </c>
      <c r="H4427" s="1">
        <v>0</v>
      </c>
    </row>
    <row r="4428" s="1" customFormat="1" spans="1:8">
      <c r="A4428" s="1" t="s">
        <v>32</v>
      </c>
      <c r="B4428" s="1" t="s">
        <v>47</v>
      </c>
      <c r="C4428" s="1" t="str">
        <f t="shared" si="104"/>
        <v>020016</v>
      </c>
      <c r="D4428" s="1" t="str">
        <f>"512522302"</f>
        <v>512522302</v>
      </c>
      <c r="E4428" s="1">
        <v>49</v>
      </c>
      <c r="F4428" s="1">
        <v>69.5</v>
      </c>
      <c r="H4428" s="1">
        <v>57.2</v>
      </c>
    </row>
    <row r="4429" s="1" customFormat="1" spans="1:8">
      <c r="A4429" s="1" t="s">
        <v>32</v>
      </c>
      <c r="B4429" s="1" t="s">
        <v>47</v>
      </c>
      <c r="C4429" s="1" t="str">
        <f t="shared" si="104"/>
        <v>020016</v>
      </c>
      <c r="D4429" s="1" t="str">
        <f>"512522303"</f>
        <v>512522303</v>
      </c>
      <c r="E4429" s="1">
        <v>31.5</v>
      </c>
      <c r="F4429" s="1">
        <v>53.5</v>
      </c>
      <c r="H4429" s="1">
        <v>40.3</v>
      </c>
    </row>
    <row r="4430" s="1" customFormat="1" spans="1:8">
      <c r="A4430" s="1" t="s">
        <v>32</v>
      </c>
      <c r="B4430" s="1" t="s">
        <v>47</v>
      </c>
      <c r="C4430" s="1" t="str">
        <f t="shared" si="104"/>
        <v>020016</v>
      </c>
      <c r="D4430" s="1" t="str">
        <f>"512522304"</f>
        <v>512522304</v>
      </c>
      <c r="E4430" s="1">
        <v>81.5</v>
      </c>
      <c r="F4430" s="1">
        <v>67</v>
      </c>
      <c r="H4430" s="1">
        <v>75.7</v>
      </c>
    </row>
    <row r="4431" s="1" customFormat="1" spans="1:8">
      <c r="A4431" s="1" t="s">
        <v>32</v>
      </c>
      <c r="B4431" s="1" t="s">
        <v>47</v>
      </c>
      <c r="C4431" s="1" t="str">
        <f t="shared" si="104"/>
        <v>020016</v>
      </c>
      <c r="D4431" s="1" t="str">
        <f>"512522305"</f>
        <v>512522305</v>
      </c>
      <c r="E4431" s="1">
        <v>63</v>
      </c>
      <c r="F4431" s="1">
        <v>72</v>
      </c>
      <c r="H4431" s="1">
        <v>66.6</v>
      </c>
    </row>
    <row r="4432" s="1" customFormat="1" spans="1:8">
      <c r="A4432" s="1" t="s">
        <v>32</v>
      </c>
      <c r="B4432" s="1" t="s">
        <v>47</v>
      </c>
      <c r="C4432" s="1" t="str">
        <f t="shared" si="104"/>
        <v>020016</v>
      </c>
      <c r="D4432" s="1" t="str">
        <f>"512522306"</f>
        <v>512522306</v>
      </c>
      <c r="E4432" s="1">
        <v>81</v>
      </c>
      <c r="F4432" s="1">
        <v>86.5</v>
      </c>
      <c r="H4432" s="1">
        <v>83.2</v>
      </c>
    </row>
    <row r="4433" s="1" customFormat="1" spans="1:8">
      <c r="A4433" s="1" t="s">
        <v>32</v>
      </c>
      <c r="B4433" s="1" t="s">
        <v>47</v>
      </c>
      <c r="C4433" s="1" t="str">
        <f t="shared" si="104"/>
        <v>020016</v>
      </c>
      <c r="D4433" s="1" t="str">
        <f>"512522307"</f>
        <v>512522307</v>
      </c>
      <c r="E4433" s="1">
        <v>48.5</v>
      </c>
      <c r="F4433" s="1">
        <v>70</v>
      </c>
      <c r="H4433" s="1">
        <v>57.1</v>
      </c>
    </row>
    <row r="4434" s="1" customFormat="1" spans="1:8">
      <c r="A4434" s="1" t="s">
        <v>32</v>
      </c>
      <c r="B4434" s="1" t="s">
        <v>47</v>
      </c>
      <c r="C4434" s="1" t="str">
        <f t="shared" si="104"/>
        <v>020016</v>
      </c>
      <c r="D4434" s="1" t="str">
        <f>"512522308"</f>
        <v>512522308</v>
      </c>
      <c r="E4434" s="1">
        <v>69</v>
      </c>
      <c r="F4434" s="1">
        <v>65</v>
      </c>
      <c r="H4434" s="1">
        <v>67.4</v>
      </c>
    </row>
    <row r="4435" s="1" customFormat="1" spans="1:8">
      <c r="A4435" s="1" t="s">
        <v>32</v>
      </c>
      <c r="B4435" s="1" t="s">
        <v>47</v>
      </c>
      <c r="C4435" s="1" t="str">
        <f t="shared" si="104"/>
        <v>020016</v>
      </c>
      <c r="D4435" s="1" t="str">
        <f>"512522309"</f>
        <v>512522309</v>
      </c>
      <c r="E4435" s="1">
        <v>33.5</v>
      </c>
      <c r="F4435" s="1">
        <v>0</v>
      </c>
      <c r="H4435" s="1">
        <v>20.1</v>
      </c>
    </row>
    <row r="4436" s="1" customFormat="1" spans="1:8">
      <c r="A4436" s="1" t="s">
        <v>32</v>
      </c>
      <c r="B4436" s="1" t="s">
        <v>47</v>
      </c>
      <c r="C4436" s="1" t="str">
        <f t="shared" si="104"/>
        <v>020016</v>
      </c>
      <c r="D4436" s="1" t="str">
        <f>"512522310"</f>
        <v>512522310</v>
      </c>
      <c r="E4436" s="1">
        <v>74</v>
      </c>
      <c r="F4436" s="1">
        <v>87.5</v>
      </c>
      <c r="H4436" s="1">
        <v>79.4</v>
      </c>
    </row>
    <row r="4437" s="1" customFormat="1" spans="1:8">
      <c r="A4437" s="1" t="s">
        <v>32</v>
      </c>
      <c r="B4437" s="1" t="s">
        <v>47</v>
      </c>
      <c r="C4437" s="1" t="str">
        <f t="shared" si="104"/>
        <v>020016</v>
      </c>
      <c r="D4437" s="1" t="str">
        <f>"512522311"</f>
        <v>512522311</v>
      </c>
      <c r="E4437" s="1">
        <v>51.5</v>
      </c>
      <c r="F4437" s="1">
        <v>68</v>
      </c>
      <c r="H4437" s="1">
        <v>58.1</v>
      </c>
    </row>
    <row r="4438" s="1" customFormat="1" spans="1:8">
      <c r="A4438" s="1" t="s">
        <v>32</v>
      </c>
      <c r="B4438" s="1" t="s">
        <v>47</v>
      </c>
      <c r="C4438" s="1" t="str">
        <f t="shared" si="104"/>
        <v>020016</v>
      </c>
      <c r="D4438" s="1" t="str">
        <f>"512522312"</f>
        <v>512522312</v>
      </c>
      <c r="E4438" s="1">
        <v>57.5</v>
      </c>
      <c r="F4438" s="1">
        <v>68.5</v>
      </c>
      <c r="H4438" s="1">
        <v>61.9</v>
      </c>
    </row>
    <row r="4439" s="1" customFormat="1" spans="1:8">
      <c r="A4439" s="1" t="s">
        <v>32</v>
      </c>
      <c r="B4439" s="1" t="s">
        <v>47</v>
      </c>
      <c r="C4439" s="1" t="str">
        <f t="shared" si="104"/>
        <v>020016</v>
      </c>
      <c r="D4439" s="1" t="str">
        <f>"512522313"</f>
        <v>512522313</v>
      </c>
      <c r="E4439" s="1">
        <v>68</v>
      </c>
      <c r="F4439" s="1">
        <v>87</v>
      </c>
      <c r="H4439" s="1">
        <v>75.6</v>
      </c>
    </row>
    <row r="4440" s="1" customFormat="1" spans="1:8">
      <c r="A4440" s="1" t="s">
        <v>32</v>
      </c>
      <c r="B4440" s="1" t="s">
        <v>47</v>
      </c>
      <c r="C4440" s="1" t="str">
        <f t="shared" si="104"/>
        <v>020016</v>
      </c>
      <c r="D4440" s="1" t="str">
        <f>"512522314"</f>
        <v>512522314</v>
      </c>
      <c r="E4440" s="1">
        <v>55.5</v>
      </c>
      <c r="F4440" s="1">
        <v>78.5</v>
      </c>
      <c r="H4440" s="1">
        <v>64.7</v>
      </c>
    </row>
    <row r="4441" s="1" customFormat="1" spans="1:8">
      <c r="A4441" s="1" t="s">
        <v>32</v>
      </c>
      <c r="B4441" s="1" t="s">
        <v>47</v>
      </c>
      <c r="C4441" s="1" t="str">
        <f t="shared" si="104"/>
        <v>020016</v>
      </c>
      <c r="D4441" s="1" t="str">
        <f>"512522315"</f>
        <v>512522315</v>
      </c>
      <c r="E4441" s="1">
        <v>45.5</v>
      </c>
      <c r="F4441" s="1">
        <v>71</v>
      </c>
      <c r="H4441" s="1">
        <v>55.7</v>
      </c>
    </row>
    <row r="4442" s="1" customFormat="1" spans="1:8">
      <c r="A4442" s="1" t="s">
        <v>32</v>
      </c>
      <c r="B4442" s="1" t="s">
        <v>47</v>
      </c>
      <c r="C4442" s="1" t="str">
        <f t="shared" si="104"/>
        <v>020016</v>
      </c>
      <c r="D4442" s="1" t="str">
        <f>"512522316"</f>
        <v>512522316</v>
      </c>
      <c r="E4442" s="1">
        <v>0</v>
      </c>
      <c r="F4442" s="1">
        <v>0</v>
      </c>
      <c r="H4442" s="1">
        <v>0</v>
      </c>
    </row>
    <row r="4443" s="1" customFormat="1" spans="1:8">
      <c r="A4443" s="1" t="s">
        <v>32</v>
      </c>
      <c r="B4443" s="1" t="s">
        <v>47</v>
      </c>
      <c r="C4443" s="1" t="str">
        <f t="shared" si="104"/>
        <v>020016</v>
      </c>
      <c r="D4443" s="1" t="str">
        <f>"512522317"</f>
        <v>512522317</v>
      </c>
      <c r="E4443" s="1">
        <v>90.5</v>
      </c>
      <c r="F4443" s="1">
        <v>87</v>
      </c>
      <c r="H4443" s="1">
        <v>89.1</v>
      </c>
    </row>
    <row r="4444" s="1" customFormat="1" spans="1:8">
      <c r="A4444" s="1" t="s">
        <v>32</v>
      </c>
      <c r="B4444" s="1" t="s">
        <v>47</v>
      </c>
      <c r="C4444" s="1" t="str">
        <f t="shared" si="104"/>
        <v>020016</v>
      </c>
      <c r="D4444" s="1" t="str">
        <f>"512522318"</f>
        <v>512522318</v>
      </c>
      <c r="E4444" s="1">
        <v>88</v>
      </c>
      <c r="F4444" s="1">
        <v>88</v>
      </c>
      <c r="H4444" s="1">
        <v>88</v>
      </c>
    </row>
    <row r="4445" s="1" customFormat="1" spans="1:8">
      <c r="A4445" s="1" t="s">
        <v>32</v>
      </c>
      <c r="B4445" s="1" t="s">
        <v>47</v>
      </c>
      <c r="C4445" s="1" t="str">
        <f t="shared" si="104"/>
        <v>020016</v>
      </c>
      <c r="D4445" s="1" t="str">
        <f>"512522319"</f>
        <v>512522319</v>
      </c>
      <c r="E4445" s="1">
        <v>83.5</v>
      </c>
      <c r="F4445" s="1">
        <v>74.5</v>
      </c>
      <c r="H4445" s="1">
        <v>79.9</v>
      </c>
    </row>
    <row r="4446" s="1" customFormat="1" spans="1:8">
      <c r="A4446" s="1" t="s">
        <v>32</v>
      </c>
      <c r="B4446" s="1" t="s">
        <v>47</v>
      </c>
      <c r="C4446" s="1" t="str">
        <f t="shared" si="104"/>
        <v>020016</v>
      </c>
      <c r="D4446" s="1" t="str">
        <f>"512522320"</f>
        <v>512522320</v>
      </c>
      <c r="E4446" s="1">
        <v>31</v>
      </c>
      <c r="F4446" s="1">
        <v>52.5</v>
      </c>
      <c r="H4446" s="1">
        <v>39.6</v>
      </c>
    </row>
    <row r="4447" s="1" customFormat="1" spans="1:8">
      <c r="A4447" s="1" t="s">
        <v>32</v>
      </c>
      <c r="B4447" s="1" t="s">
        <v>47</v>
      </c>
      <c r="C4447" s="1" t="str">
        <f t="shared" si="104"/>
        <v>020016</v>
      </c>
      <c r="D4447" s="1" t="str">
        <f>"512522321"</f>
        <v>512522321</v>
      </c>
      <c r="E4447" s="1">
        <v>74.5</v>
      </c>
      <c r="F4447" s="1">
        <v>67</v>
      </c>
      <c r="H4447" s="1">
        <v>71.5</v>
      </c>
    </row>
    <row r="4448" s="1" customFormat="1" spans="1:8">
      <c r="A4448" s="1" t="s">
        <v>32</v>
      </c>
      <c r="B4448" s="1" t="s">
        <v>47</v>
      </c>
      <c r="C4448" s="1" t="str">
        <f t="shared" si="104"/>
        <v>020016</v>
      </c>
      <c r="D4448" s="1" t="str">
        <f>"512522322"</f>
        <v>512522322</v>
      </c>
      <c r="E4448" s="1">
        <v>64</v>
      </c>
      <c r="F4448" s="1">
        <v>69.5</v>
      </c>
      <c r="H4448" s="1">
        <v>66.2</v>
      </c>
    </row>
    <row r="4449" s="1" customFormat="1" spans="1:8">
      <c r="A4449" s="1" t="s">
        <v>32</v>
      </c>
      <c r="B4449" s="1" t="s">
        <v>47</v>
      </c>
      <c r="C4449" s="1" t="str">
        <f t="shared" si="104"/>
        <v>020016</v>
      </c>
      <c r="D4449" s="1" t="str">
        <f>"512522323"</f>
        <v>512522323</v>
      </c>
      <c r="E4449" s="1">
        <v>86</v>
      </c>
      <c r="F4449" s="1">
        <v>58.5</v>
      </c>
      <c r="H4449" s="1">
        <v>75</v>
      </c>
    </row>
    <row r="4450" s="1" customFormat="1" spans="1:8">
      <c r="A4450" s="1" t="s">
        <v>32</v>
      </c>
      <c r="B4450" s="1" t="s">
        <v>47</v>
      </c>
      <c r="C4450" s="1" t="str">
        <f t="shared" si="104"/>
        <v>020016</v>
      </c>
      <c r="D4450" s="1" t="str">
        <f>"512522324"</f>
        <v>512522324</v>
      </c>
      <c r="E4450" s="1">
        <v>42.5</v>
      </c>
      <c r="F4450" s="1">
        <v>62</v>
      </c>
      <c r="H4450" s="1">
        <v>50.3</v>
      </c>
    </row>
    <row r="4451" s="1" customFormat="1" spans="1:8">
      <c r="A4451" s="1" t="s">
        <v>48</v>
      </c>
      <c r="B4451" s="1" t="s">
        <v>47</v>
      </c>
      <c r="C4451" s="1" t="str">
        <f t="shared" ref="C4451:C4466" si="105">"020027"</f>
        <v>020027</v>
      </c>
      <c r="D4451" s="1" t="str">
        <f>"512522325"</f>
        <v>512522325</v>
      </c>
      <c r="E4451" s="1">
        <v>0</v>
      </c>
      <c r="F4451" s="1">
        <v>0</v>
      </c>
      <c r="H4451" s="1">
        <v>0</v>
      </c>
    </row>
    <row r="4452" s="1" customFormat="1" spans="1:8">
      <c r="A4452" s="1" t="s">
        <v>48</v>
      </c>
      <c r="B4452" s="1" t="s">
        <v>47</v>
      </c>
      <c r="C4452" s="1" t="str">
        <f t="shared" si="105"/>
        <v>020027</v>
      </c>
      <c r="D4452" s="1" t="str">
        <f>"512522326"</f>
        <v>512522326</v>
      </c>
      <c r="E4452" s="1">
        <v>27</v>
      </c>
      <c r="F4452" s="1">
        <v>0</v>
      </c>
      <c r="H4452" s="1">
        <v>16.2</v>
      </c>
    </row>
    <row r="4453" s="1" customFormat="1" spans="1:8">
      <c r="A4453" s="1" t="s">
        <v>48</v>
      </c>
      <c r="B4453" s="1" t="s">
        <v>47</v>
      </c>
      <c r="C4453" s="1" t="str">
        <f t="shared" si="105"/>
        <v>020027</v>
      </c>
      <c r="D4453" s="1" t="str">
        <f>"512522327"</f>
        <v>512522327</v>
      </c>
      <c r="E4453" s="1">
        <v>77</v>
      </c>
      <c r="F4453" s="1">
        <v>57</v>
      </c>
      <c r="H4453" s="1">
        <v>69</v>
      </c>
    </row>
    <row r="4454" s="1" customFormat="1" spans="1:8">
      <c r="A4454" s="1" t="s">
        <v>48</v>
      </c>
      <c r="B4454" s="1" t="s">
        <v>47</v>
      </c>
      <c r="C4454" s="1" t="str">
        <f t="shared" si="105"/>
        <v>020027</v>
      </c>
      <c r="D4454" s="1" t="str">
        <f>"512522328"</f>
        <v>512522328</v>
      </c>
      <c r="E4454" s="1">
        <v>0</v>
      </c>
      <c r="F4454" s="1">
        <v>0</v>
      </c>
      <c r="H4454" s="1">
        <v>0</v>
      </c>
    </row>
    <row r="4455" s="1" customFormat="1" spans="1:8">
      <c r="A4455" s="1" t="s">
        <v>48</v>
      </c>
      <c r="B4455" s="1" t="s">
        <v>47</v>
      </c>
      <c r="C4455" s="1" t="str">
        <f t="shared" si="105"/>
        <v>020027</v>
      </c>
      <c r="D4455" s="1" t="str">
        <f>"512522329"</f>
        <v>512522329</v>
      </c>
      <c r="E4455" s="1">
        <v>52.5</v>
      </c>
      <c r="F4455" s="1">
        <v>62</v>
      </c>
      <c r="H4455" s="1">
        <v>56.3</v>
      </c>
    </row>
    <row r="4456" s="1" customFormat="1" spans="1:8">
      <c r="A4456" s="1" t="s">
        <v>48</v>
      </c>
      <c r="B4456" s="1" t="s">
        <v>47</v>
      </c>
      <c r="C4456" s="1" t="str">
        <f t="shared" si="105"/>
        <v>020027</v>
      </c>
      <c r="D4456" s="1" t="str">
        <f>"512522330"</f>
        <v>512522330</v>
      </c>
      <c r="E4456" s="1">
        <v>70</v>
      </c>
      <c r="F4456" s="1">
        <v>78.5</v>
      </c>
      <c r="H4456" s="1">
        <v>73.4</v>
      </c>
    </row>
    <row r="4457" s="1" customFormat="1" spans="1:8">
      <c r="A4457" s="1" t="s">
        <v>48</v>
      </c>
      <c r="B4457" s="1" t="s">
        <v>47</v>
      </c>
      <c r="C4457" s="1" t="str">
        <f t="shared" si="105"/>
        <v>020027</v>
      </c>
      <c r="D4457" s="1" t="str">
        <f>"512522401"</f>
        <v>512522401</v>
      </c>
      <c r="E4457" s="1">
        <v>47.5</v>
      </c>
      <c r="F4457" s="1">
        <v>55</v>
      </c>
      <c r="H4457" s="1">
        <v>50.5</v>
      </c>
    </row>
    <row r="4458" s="1" customFormat="1" spans="1:8">
      <c r="A4458" s="1" t="s">
        <v>48</v>
      </c>
      <c r="B4458" s="1" t="s">
        <v>47</v>
      </c>
      <c r="C4458" s="1" t="str">
        <f t="shared" si="105"/>
        <v>020027</v>
      </c>
      <c r="D4458" s="1" t="str">
        <f>"512522402"</f>
        <v>512522402</v>
      </c>
      <c r="E4458" s="1">
        <v>79.5</v>
      </c>
      <c r="F4458" s="1">
        <v>75.5</v>
      </c>
      <c r="H4458" s="1">
        <v>77.9</v>
      </c>
    </row>
    <row r="4459" s="1" customFormat="1" spans="1:8">
      <c r="A4459" s="1" t="s">
        <v>48</v>
      </c>
      <c r="B4459" s="1" t="s">
        <v>47</v>
      </c>
      <c r="C4459" s="1" t="str">
        <f t="shared" si="105"/>
        <v>020027</v>
      </c>
      <c r="D4459" s="1" t="str">
        <f>"512522403"</f>
        <v>512522403</v>
      </c>
      <c r="E4459" s="1">
        <v>48.5</v>
      </c>
      <c r="F4459" s="1">
        <v>59</v>
      </c>
      <c r="H4459" s="1">
        <v>52.7</v>
      </c>
    </row>
    <row r="4460" s="1" customFormat="1" spans="1:8">
      <c r="A4460" s="1" t="s">
        <v>48</v>
      </c>
      <c r="B4460" s="1" t="s">
        <v>47</v>
      </c>
      <c r="C4460" s="1" t="str">
        <f t="shared" si="105"/>
        <v>020027</v>
      </c>
      <c r="D4460" s="1" t="str">
        <f>"512522404"</f>
        <v>512522404</v>
      </c>
      <c r="E4460" s="1">
        <v>64.5</v>
      </c>
      <c r="F4460" s="1">
        <v>74.5</v>
      </c>
      <c r="H4460" s="1">
        <v>68.5</v>
      </c>
    </row>
    <row r="4461" s="1" customFormat="1" spans="1:8">
      <c r="A4461" s="1" t="s">
        <v>48</v>
      </c>
      <c r="B4461" s="1" t="s">
        <v>47</v>
      </c>
      <c r="C4461" s="1" t="str">
        <f t="shared" si="105"/>
        <v>020027</v>
      </c>
      <c r="D4461" s="1" t="str">
        <f>"512522405"</f>
        <v>512522405</v>
      </c>
      <c r="E4461" s="1">
        <v>47</v>
      </c>
      <c r="F4461" s="1">
        <v>63.5</v>
      </c>
      <c r="H4461" s="1">
        <v>53.6</v>
      </c>
    </row>
    <row r="4462" s="1" customFormat="1" spans="1:8">
      <c r="A4462" s="1" t="s">
        <v>48</v>
      </c>
      <c r="B4462" s="1" t="s">
        <v>47</v>
      </c>
      <c r="C4462" s="1" t="str">
        <f t="shared" si="105"/>
        <v>020027</v>
      </c>
      <c r="D4462" s="1" t="str">
        <f>"512522406"</f>
        <v>512522406</v>
      </c>
      <c r="E4462" s="1">
        <v>0</v>
      </c>
      <c r="F4462" s="1">
        <v>0</v>
      </c>
      <c r="H4462" s="1">
        <v>0</v>
      </c>
    </row>
    <row r="4463" s="1" customFormat="1" spans="1:8">
      <c r="A4463" s="1" t="s">
        <v>48</v>
      </c>
      <c r="B4463" s="1" t="s">
        <v>47</v>
      </c>
      <c r="C4463" s="1" t="str">
        <f t="shared" si="105"/>
        <v>020027</v>
      </c>
      <c r="D4463" s="1" t="str">
        <f>"512522407"</f>
        <v>512522407</v>
      </c>
      <c r="E4463" s="1">
        <v>0</v>
      </c>
      <c r="F4463" s="1">
        <v>0</v>
      </c>
      <c r="H4463" s="1">
        <v>0</v>
      </c>
    </row>
    <row r="4464" s="1" customFormat="1" spans="1:8">
      <c r="A4464" s="1" t="s">
        <v>48</v>
      </c>
      <c r="B4464" s="1" t="s">
        <v>47</v>
      </c>
      <c r="C4464" s="1" t="str">
        <f t="shared" si="105"/>
        <v>020027</v>
      </c>
      <c r="D4464" s="1" t="str">
        <f>"512522408"</f>
        <v>512522408</v>
      </c>
      <c r="E4464" s="1">
        <v>57.5</v>
      </c>
      <c r="F4464" s="1">
        <v>68.5</v>
      </c>
      <c r="H4464" s="1">
        <v>61.9</v>
      </c>
    </row>
    <row r="4465" s="1" customFormat="1" spans="1:8">
      <c r="A4465" s="1" t="s">
        <v>48</v>
      </c>
      <c r="B4465" s="1" t="s">
        <v>47</v>
      </c>
      <c r="C4465" s="1" t="str">
        <f t="shared" si="105"/>
        <v>020027</v>
      </c>
      <c r="D4465" s="1" t="str">
        <f>"512522409"</f>
        <v>512522409</v>
      </c>
      <c r="E4465" s="1">
        <v>43</v>
      </c>
      <c r="F4465" s="1">
        <v>63</v>
      </c>
      <c r="H4465" s="1">
        <v>51</v>
      </c>
    </row>
    <row r="4466" s="1" customFormat="1" spans="1:8">
      <c r="A4466" s="1" t="s">
        <v>48</v>
      </c>
      <c r="B4466" s="1" t="s">
        <v>47</v>
      </c>
      <c r="C4466" s="1" t="str">
        <f t="shared" si="105"/>
        <v>020027</v>
      </c>
      <c r="D4466" s="1" t="str">
        <f>"512522410"</f>
        <v>512522410</v>
      </c>
      <c r="E4466" s="1">
        <v>80</v>
      </c>
      <c r="F4466" s="1">
        <v>56</v>
      </c>
      <c r="H4466" s="1">
        <v>70.4</v>
      </c>
    </row>
    <row r="4467" s="1" customFormat="1" spans="1:8">
      <c r="A4467" s="1" t="s">
        <v>34</v>
      </c>
      <c r="B4467" s="1" t="s">
        <v>47</v>
      </c>
      <c r="C4467" s="1" t="str">
        <f t="shared" ref="C4467:C4501" si="106">"020030"</f>
        <v>020030</v>
      </c>
      <c r="D4467" s="1" t="str">
        <f>"512522411"</f>
        <v>512522411</v>
      </c>
      <c r="E4467" s="1">
        <v>0</v>
      </c>
      <c r="F4467" s="1">
        <v>0</v>
      </c>
      <c r="H4467" s="1">
        <v>0</v>
      </c>
    </row>
    <row r="4468" s="1" customFormat="1" spans="1:8">
      <c r="A4468" s="1" t="s">
        <v>34</v>
      </c>
      <c r="B4468" s="1" t="s">
        <v>47</v>
      </c>
      <c r="C4468" s="1" t="str">
        <f t="shared" si="106"/>
        <v>020030</v>
      </c>
      <c r="D4468" s="1" t="str">
        <f>"512522412"</f>
        <v>512522412</v>
      </c>
      <c r="E4468" s="1">
        <v>86</v>
      </c>
      <c r="F4468" s="1">
        <v>80</v>
      </c>
      <c r="H4468" s="1">
        <v>83.6</v>
      </c>
    </row>
    <row r="4469" s="1" customFormat="1" spans="1:8">
      <c r="A4469" s="1" t="s">
        <v>34</v>
      </c>
      <c r="B4469" s="1" t="s">
        <v>47</v>
      </c>
      <c r="C4469" s="1" t="str">
        <f t="shared" si="106"/>
        <v>020030</v>
      </c>
      <c r="D4469" s="1" t="str">
        <f>"512522413"</f>
        <v>512522413</v>
      </c>
      <c r="E4469" s="1">
        <v>69</v>
      </c>
      <c r="F4469" s="1">
        <v>64</v>
      </c>
      <c r="H4469" s="1">
        <v>67</v>
      </c>
    </row>
    <row r="4470" s="1" customFormat="1" spans="1:8">
      <c r="A4470" s="1" t="s">
        <v>34</v>
      </c>
      <c r="B4470" s="1" t="s">
        <v>47</v>
      </c>
      <c r="C4470" s="1" t="str">
        <f t="shared" si="106"/>
        <v>020030</v>
      </c>
      <c r="D4470" s="1" t="str">
        <f>"512522414"</f>
        <v>512522414</v>
      </c>
      <c r="E4470" s="1">
        <v>56</v>
      </c>
      <c r="F4470" s="1">
        <v>63.5</v>
      </c>
      <c r="H4470" s="1">
        <v>59</v>
      </c>
    </row>
    <row r="4471" s="1" customFormat="1" spans="1:8">
      <c r="A4471" s="1" t="s">
        <v>34</v>
      </c>
      <c r="B4471" s="1" t="s">
        <v>47</v>
      </c>
      <c r="C4471" s="1" t="str">
        <f t="shared" si="106"/>
        <v>020030</v>
      </c>
      <c r="D4471" s="1" t="str">
        <f>"512522415"</f>
        <v>512522415</v>
      </c>
      <c r="E4471" s="1">
        <v>84</v>
      </c>
      <c r="F4471" s="1">
        <v>61</v>
      </c>
      <c r="H4471" s="1">
        <v>74.8</v>
      </c>
    </row>
    <row r="4472" s="1" customFormat="1" spans="1:8">
      <c r="A4472" s="1" t="s">
        <v>34</v>
      </c>
      <c r="B4472" s="1" t="s">
        <v>47</v>
      </c>
      <c r="C4472" s="1" t="str">
        <f t="shared" si="106"/>
        <v>020030</v>
      </c>
      <c r="D4472" s="1" t="str">
        <f>"512522416"</f>
        <v>512522416</v>
      </c>
      <c r="E4472" s="1">
        <v>38</v>
      </c>
      <c r="F4472" s="1">
        <v>70</v>
      </c>
      <c r="H4472" s="1">
        <v>50.8</v>
      </c>
    </row>
    <row r="4473" s="1" customFormat="1" spans="1:8">
      <c r="A4473" s="1" t="s">
        <v>34</v>
      </c>
      <c r="B4473" s="1" t="s">
        <v>47</v>
      </c>
      <c r="C4473" s="1" t="str">
        <f t="shared" si="106"/>
        <v>020030</v>
      </c>
      <c r="D4473" s="1" t="str">
        <f>"512522417"</f>
        <v>512522417</v>
      </c>
      <c r="E4473" s="1">
        <v>66</v>
      </c>
      <c r="F4473" s="1">
        <v>74.5</v>
      </c>
      <c r="H4473" s="1">
        <v>69.4</v>
      </c>
    </row>
    <row r="4474" s="1" customFormat="1" spans="1:8">
      <c r="A4474" s="1" t="s">
        <v>34</v>
      </c>
      <c r="B4474" s="1" t="s">
        <v>47</v>
      </c>
      <c r="C4474" s="1" t="str">
        <f t="shared" si="106"/>
        <v>020030</v>
      </c>
      <c r="D4474" s="1" t="str">
        <f>"512522418"</f>
        <v>512522418</v>
      </c>
      <c r="E4474" s="1">
        <v>0</v>
      </c>
      <c r="F4474" s="1">
        <v>0</v>
      </c>
      <c r="H4474" s="1">
        <v>0</v>
      </c>
    </row>
    <row r="4475" s="1" customFormat="1" spans="1:8">
      <c r="A4475" s="1" t="s">
        <v>34</v>
      </c>
      <c r="B4475" s="1" t="s">
        <v>47</v>
      </c>
      <c r="C4475" s="1" t="str">
        <f t="shared" si="106"/>
        <v>020030</v>
      </c>
      <c r="D4475" s="1" t="str">
        <f>"512522419"</f>
        <v>512522419</v>
      </c>
      <c r="E4475" s="1">
        <v>33</v>
      </c>
      <c r="F4475" s="1">
        <v>72</v>
      </c>
      <c r="H4475" s="1">
        <v>48.6</v>
      </c>
    </row>
    <row r="4476" s="1" customFormat="1" spans="1:8">
      <c r="A4476" s="1" t="s">
        <v>34</v>
      </c>
      <c r="B4476" s="1" t="s">
        <v>47</v>
      </c>
      <c r="C4476" s="1" t="str">
        <f t="shared" si="106"/>
        <v>020030</v>
      </c>
      <c r="D4476" s="1" t="str">
        <f>"512522420"</f>
        <v>512522420</v>
      </c>
      <c r="E4476" s="1">
        <v>91</v>
      </c>
      <c r="F4476" s="1">
        <v>81.5</v>
      </c>
      <c r="H4476" s="1">
        <v>87.2</v>
      </c>
    </row>
    <row r="4477" s="1" customFormat="1" spans="1:8">
      <c r="A4477" s="1" t="s">
        <v>34</v>
      </c>
      <c r="B4477" s="1" t="s">
        <v>47</v>
      </c>
      <c r="C4477" s="1" t="str">
        <f t="shared" si="106"/>
        <v>020030</v>
      </c>
      <c r="D4477" s="1" t="str">
        <f>"512522421"</f>
        <v>512522421</v>
      </c>
      <c r="E4477" s="1">
        <v>76</v>
      </c>
      <c r="F4477" s="1">
        <v>65.5</v>
      </c>
      <c r="H4477" s="1">
        <v>71.8</v>
      </c>
    </row>
    <row r="4478" s="1" customFormat="1" spans="1:8">
      <c r="A4478" s="1" t="s">
        <v>34</v>
      </c>
      <c r="B4478" s="1" t="s">
        <v>47</v>
      </c>
      <c r="C4478" s="1" t="str">
        <f t="shared" si="106"/>
        <v>020030</v>
      </c>
      <c r="D4478" s="1" t="str">
        <f>"512522422"</f>
        <v>512522422</v>
      </c>
      <c r="E4478" s="1">
        <v>0</v>
      </c>
      <c r="F4478" s="1">
        <v>0</v>
      </c>
      <c r="H4478" s="1">
        <v>0</v>
      </c>
    </row>
    <row r="4479" s="1" customFormat="1" spans="1:8">
      <c r="A4479" s="1" t="s">
        <v>34</v>
      </c>
      <c r="B4479" s="1" t="s">
        <v>47</v>
      </c>
      <c r="C4479" s="1" t="str">
        <f t="shared" si="106"/>
        <v>020030</v>
      </c>
      <c r="D4479" s="1" t="str">
        <f>"512522423"</f>
        <v>512522423</v>
      </c>
      <c r="E4479" s="1">
        <v>72</v>
      </c>
      <c r="F4479" s="1">
        <v>83</v>
      </c>
      <c r="H4479" s="1">
        <v>76.4</v>
      </c>
    </row>
    <row r="4480" s="1" customFormat="1" spans="1:8">
      <c r="A4480" s="1" t="s">
        <v>34</v>
      </c>
      <c r="B4480" s="1" t="s">
        <v>47</v>
      </c>
      <c r="C4480" s="1" t="str">
        <f t="shared" si="106"/>
        <v>020030</v>
      </c>
      <c r="D4480" s="1" t="str">
        <f>"512522424"</f>
        <v>512522424</v>
      </c>
      <c r="E4480" s="1">
        <v>0</v>
      </c>
      <c r="F4480" s="1">
        <v>0</v>
      </c>
      <c r="H4480" s="1">
        <v>0</v>
      </c>
    </row>
    <row r="4481" s="1" customFormat="1" spans="1:8">
      <c r="A4481" s="1" t="s">
        <v>34</v>
      </c>
      <c r="B4481" s="1" t="s">
        <v>47</v>
      </c>
      <c r="C4481" s="1" t="str">
        <f t="shared" si="106"/>
        <v>020030</v>
      </c>
      <c r="D4481" s="1" t="str">
        <f>"512522425"</f>
        <v>512522425</v>
      </c>
      <c r="E4481" s="1">
        <v>63.5</v>
      </c>
      <c r="F4481" s="1">
        <v>69</v>
      </c>
      <c r="H4481" s="1">
        <v>65.7</v>
      </c>
    </row>
    <row r="4482" s="1" customFormat="1" spans="1:8">
      <c r="A4482" s="1" t="s">
        <v>34</v>
      </c>
      <c r="B4482" s="1" t="s">
        <v>47</v>
      </c>
      <c r="C4482" s="1" t="str">
        <f t="shared" si="106"/>
        <v>020030</v>
      </c>
      <c r="D4482" s="1" t="str">
        <f>"512522426"</f>
        <v>512522426</v>
      </c>
      <c r="E4482" s="1">
        <v>38.5</v>
      </c>
      <c r="F4482" s="1">
        <v>59.5</v>
      </c>
      <c r="H4482" s="1">
        <v>46.9</v>
      </c>
    </row>
    <row r="4483" s="1" customFormat="1" spans="1:8">
      <c r="A4483" s="1" t="s">
        <v>34</v>
      </c>
      <c r="B4483" s="1" t="s">
        <v>47</v>
      </c>
      <c r="C4483" s="1" t="str">
        <f t="shared" si="106"/>
        <v>020030</v>
      </c>
      <c r="D4483" s="1" t="str">
        <f>"512522427"</f>
        <v>512522427</v>
      </c>
      <c r="E4483" s="1">
        <v>54</v>
      </c>
      <c r="F4483" s="1">
        <v>76</v>
      </c>
      <c r="H4483" s="1">
        <v>62.8</v>
      </c>
    </row>
    <row r="4484" s="1" customFormat="1" spans="1:8">
      <c r="A4484" s="1" t="s">
        <v>34</v>
      </c>
      <c r="B4484" s="1" t="s">
        <v>47</v>
      </c>
      <c r="C4484" s="1" t="str">
        <f t="shared" si="106"/>
        <v>020030</v>
      </c>
      <c r="D4484" s="1" t="str">
        <f>"512522428"</f>
        <v>512522428</v>
      </c>
      <c r="E4484" s="1">
        <v>22.5</v>
      </c>
      <c r="F4484" s="1">
        <v>67</v>
      </c>
      <c r="H4484" s="1">
        <v>40.3</v>
      </c>
    </row>
    <row r="4485" s="1" customFormat="1" spans="1:8">
      <c r="A4485" s="1" t="s">
        <v>34</v>
      </c>
      <c r="B4485" s="1" t="s">
        <v>47</v>
      </c>
      <c r="C4485" s="1" t="str">
        <f t="shared" si="106"/>
        <v>020030</v>
      </c>
      <c r="D4485" s="1" t="str">
        <f>"512522429"</f>
        <v>512522429</v>
      </c>
      <c r="E4485" s="1">
        <v>68</v>
      </c>
      <c r="F4485" s="1">
        <v>75</v>
      </c>
      <c r="H4485" s="1">
        <v>70.8</v>
      </c>
    </row>
    <row r="4486" s="1" customFormat="1" spans="1:8">
      <c r="A4486" s="1" t="s">
        <v>34</v>
      </c>
      <c r="B4486" s="1" t="s">
        <v>47</v>
      </c>
      <c r="C4486" s="1" t="str">
        <f t="shared" si="106"/>
        <v>020030</v>
      </c>
      <c r="D4486" s="1" t="str">
        <f>"512522430"</f>
        <v>512522430</v>
      </c>
      <c r="E4486" s="1">
        <v>77</v>
      </c>
      <c r="F4486" s="1">
        <v>80.5</v>
      </c>
      <c r="H4486" s="1">
        <v>78.4</v>
      </c>
    </row>
    <row r="4487" s="1" customFormat="1" spans="1:8">
      <c r="A4487" s="1" t="s">
        <v>34</v>
      </c>
      <c r="B4487" s="1" t="s">
        <v>47</v>
      </c>
      <c r="C4487" s="1" t="str">
        <f t="shared" si="106"/>
        <v>020030</v>
      </c>
      <c r="D4487" s="1" t="str">
        <f>"512522501"</f>
        <v>512522501</v>
      </c>
      <c r="E4487" s="1">
        <v>0</v>
      </c>
      <c r="F4487" s="1">
        <v>0</v>
      </c>
      <c r="H4487" s="1">
        <v>0</v>
      </c>
    </row>
    <row r="4488" s="1" customFormat="1" spans="1:8">
      <c r="A4488" s="1" t="s">
        <v>34</v>
      </c>
      <c r="B4488" s="1" t="s">
        <v>47</v>
      </c>
      <c r="C4488" s="1" t="str">
        <f t="shared" si="106"/>
        <v>020030</v>
      </c>
      <c r="D4488" s="1" t="str">
        <f>"512522502"</f>
        <v>512522502</v>
      </c>
      <c r="E4488" s="1">
        <v>0</v>
      </c>
      <c r="F4488" s="1">
        <v>0</v>
      </c>
      <c r="H4488" s="1">
        <v>0</v>
      </c>
    </row>
    <row r="4489" s="1" customFormat="1" spans="1:8">
      <c r="A4489" s="1" t="s">
        <v>34</v>
      </c>
      <c r="B4489" s="1" t="s">
        <v>47</v>
      </c>
      <c r="C4489" s="1" t="str">
        <f t="shared" si="106"/>
        <v>020030</v>
      </c>
      <c r="D4489" s="1" t="str">
        <f>"512522503"</f>
        <v>512522503</v>
      </c>
      <c r="E4489" s="1">
        <v>89</v>
      </c>
      <c r="F4489" s="1">
        <v>77.5</v>
      </c>
      <c r="H4489" s="1">
        <v>84.4</v>
      </c>
    </row>
    <row r="4490" s="1" customFormat="1" spans="1:8">
      <c r="A4490" s="1" t="s">
        <v>34</v>
      </c>
      <c r="B4490" s="1" t="s">
        <v>47</v>
      </c>
      <c r="C4490" s="1" t="str">
        <f t="shared" si="106"/>
        <v>020030</v>
      </c>
      <c r="D4490" s="1" t="str">
        <f>"512522504"</f>
        <v>512522504</v>
      </c>
      <c r="E4490" s="1">
        <v>37</v>
      </c>
      <c r="F4490" s="1">
        <v>57</v>
      </c>
      <c r="H4490" s="1">
        <v>45</v>
      </c>
    </row>
    <row r="4491" s="1" customFormat="1" spans="1:8">
      <c r="A4491" s="1" t="s">
        <v>34</v>
      </c>
      <c r="B4491" s="1" t="s">
        <v>47</v>
      </c>
      <c r="C4491" s="1" t="str">
        <f t="shared" si="106"/>
        <v>020030</v>
      </c>
      <c r="D4491" s="1" t="str">
        <f>"512522505"</f>
        <v>512522505</v>
      </c>
      <c r="E4491" s="1">
        <v>0</v>
      </c>
      <c r="F4491" s="1">
        <v>0</v>
      </c>
      <c r="H4491" s="1">
        <v>0</v>
      </c>
    </row>
    <row r="4492" s="1" customFormat="1" spans="1:8">
      <c r="A4492" s="1" t="s">
        <v>34</v>
      </c>
      <c r="B4492" s="1" t="s">
        <v>47</v>
      </c>
      <c r="C4492" s="1" t="str">
        <f t="shared" si="106"/>
        <v>020030</v>
      </c>
      <c r="D4492" s="1" t="str">
        <f>"512522506"</f>
        <v>512522506</v>
      </c>
      <c r="E4492" s="1">
        <v>73.5</v>
      </c>
      <c r="F4492" s="1">
        <v>68.5</v>
      </c>
      <c r="H4492" s="1">
        <v>71.5</v>
      </c>
    </row>
    <row r="4493" s="1" customFormat="1" spans="1:8">
      <c r="A4493" s="1" t="s">
        <v>34</v>
      </c>
      <c r="B4493" s="1" t="s">
        <v>47</v>
      </c>
      <c r="C4493" s="1" t="str">
        <f t="shared" si="106"/>
        <v>020030</v>
      </c>
      <c r="D4493" s="1" t="str">
        <f>"512522507"</f>
        <v>512522507</v>
      </c>
      <c r="E4493" s="1">
        <v>0</v>
      </c>
      <c r="F4493" s="1">
        <v>0</v>
      </c>
      <c r="H4493" s="1">
        <v>0</v>
      </c>
    </row>
    <row r="4494" s="1" customFormat="1" spans="1:8">
      <c r="A4494" s="1" t="s">
        <v>34</v>
      </c>
      <c r="B4494" s="1" t="s">
        <v>47</v>
      </c>
      <c r="C4494" s="1" t="str">
        <f t="shared" si="106"/>
        <v>020030</v>
      </c>
      <c r="D4494" s="1" t="str">
        <f>"512522508"</f>
        <v>512522508</v>
      </c>
      <c r="E4494" s="1">
        <v>48.5</v>
      </c>
      <c r="F4494" s="1">
        <v>66.5</v>
      </c>
      <c r="H4494" s="1">
        <v>55.7</v>
      </c>
    </row>
    <row r="4495" s="1" customFormat="1" spans="1:8">
      <c r="A4495" s="1" t="s">
        <v>34</v>
      </c>
      <c r="B4495" s="1" t="s">
        <v>47</v>
      </c>
      <c r="C4495" s="1" t="str">
        <f t="shared" si="106"/>
        <v>020030</v>
      </c>
      <c r="D4495" s="1" t="str">
        <f>"512522509"</f>
        <v>512522509</v>
      </c>
      <c r="E4495" s="1">
        <v>39.5</v>
      </c>
      <c r="F4495" s="1">
        <v>60</v>
      </c>
      <c r="H4495" s="1">
        <v>47.7</v>
      </c>
    </row>
    <row r="4496" s="1" customFormat="1" spans="1:8">
      <c r="A4496" s="1" t="s">
        <v>34</v>
      </c>
      <c r="B4496" s="1" t="s">
        <v>47</v>
      </c>
      <c r="C4496" s="1" t="str">
        <f t="shared" si="106"/>
        <v>020030</v>
      </c>
      <c r="D4496" s="1" t="str">
        <f>"512522510"</f>
        <v>512522510</v>
      </c>
      <c r="E4496" s="1">
        <v>52</v>
      </c>
      <c r="F4496" s="1">
        <v>79.5</v>
      </c>
      <c r="H4496" s="1">
        <v>63</v>
      </c>
    </row>
    <row r="4497" s="1" customFormat="1" spans="1:8">
      <c r="A4497" s="1" t="s">
        <v>34</v>
      </c>
      <c r="B4497" s="1" t="s">
        <v>47</v>
      </c>
      <c r="C4497" s="1" t="str">
        <f t="shared" si="106"/>
        <v>020030</v>
      </c>
      <c r="D4497" s="1" t="str">
        <f>"512522511"</f>
        <v>512522511</v>
      </c>
      <c r="E4497" s="1">
        <v>0</v>
      </c>
      <c r="F4497" s="1">
        <v>0</v>
      </c>
      <c r="H4497" s="1">
        <v>0</v>
      </c>
    </row>
    <row r="4498" s="1" customFormat="1" spans="1:8">
      <c r="A4498" s="1" t="s">
        <v>34</v>
      </c>
      <c r="B4498" s="1" t="s">
        <v>47</v>
      </c>
      <c r="C4498" s="1" t="str">
        <f t="shared" si="106"/>
        <v>020030</v>
      </c>
      <c r="D4498" s="1" t="str">
        <f>"512522512"</f>
        <v>512522512</v>
      </c>
      <c r="E4498" s="1">
        <v>67.5</v>
      </c>
      <c r="F4498" s="1">
        <v>0</v>
      </c>
      <c r="H4498" s="1">
        <v>40.5</v>
      </c>
    </row>
    <row r="4499" s="1" customFormat="1" spans="1:8">
      <c r="A4499" s="1" t="s">
        <v>34</v>
      </c>
      <c r="B4499" s="1" t="s">
        <v>47</v>
      </c>
      <c r="C4499" s="1" t="str">
        <f t="shared" si="106"/>
        <v>020030</v>
      </c>
      <c r="D4499" s="1" t="str">
        <f>"512522513"</f>
        <v>512522513</v>
      </c>
      <c r="E4499" s="1">
        <v>41</v>
      </c>
      <c r="F4499" s="1">
        <v>66</v>
      </c>
      <c r="H4499" s="1">
        <v>51</v>
      </c>
    </row>
    <row r="4500" s="1" customFormat="1" spans="1:8">
      <c r="A4500" s="1" t="s">
        <v>34</v>
      </c>
      <c r="B4500" s="1" t="s">
        <v>47</v>
      </c>
      <c r="C4500" s="1" t="str">
        <f t="shared" si="106"/>
        <v>020030</v>
      </c>
      <c r="D4500" s="1" t="str">
        <f>"512522514"</f>
        <v>512522514</v>
      </c>
      <c r="E4500" s="1">
        <v>20</v>
      </c>
      <c r="F4500" s="1">
        <v>62</v>
      </c>
      <c r="H4500" s="1">
        <v>36.8</v>
      </c>
    </row>
    <row r="4501" s="1" customFormat="1" spans="1:8">
      <c r="A4501" s="1" t="s">
        <v>34</v>
      </c>
      <c r="B4501" s="1" t="s">
        <v>47</v>
      </c>
      <c r="C4501" s="1" t="str">
        <f t="shared" si="106"/>
        <v>020030</v>
      </c>
      <c r="D4501" s="1" t="str">
        <f>"512522515"</f>
        <v>512522515</v>
      </c>
      <c r="E4501" s="1">
        <v>59.5</v>
      </c>
      <c r="F4501" s="1">
        <v>69</v>
      </c>
      <c r="H4501" s="1">
        <v>63.3</v>
      </c>
    </row>
    <row r="4502" s="1" customFormat="1" spans="1:8">
      <c r="A4502" s="1" t="s">
        <v>34</v>
      </c>
      <c r="B4502" s="1" t="s">
        <v>49</v>
      </c>
      <c r="C4502" s="1" t="str">
        <f t="shared" ref="C4502:C4536" si="107">"020031"</f>
        <v>020031</v>
      </c>
      <c r="D4502" s="1" t="str">
        <f>"512522516"</f>
        <v>512522516</v>
      </c>
      <c r="E4502" s="1">
        <v>0</v>
      </c>
      <c r="F4502" s="1">
        <v>0</v>
      </c>
      <c r="H4502" s="1">
        <v>0</v>
      </c>
    </row>
    <row r="4503" s="1" customFormat="1" spans="1:8">
      <c r="A4503" s="1" t="s">
        <v>34</v>
      </c>
      <c r="B4503" s="1" t="s">
        <v>49</v>
      </c>
      <c r="C4503" s="1" t="str">
        <f t="shared" si="107"/>
        <v>020031</v>
      </c>
      <c r="D4503" s="1" t="str">
        <f>"512522517"</f>
        <v>512522517</v>
      </c>
      <c r="E4503" s="1">
        <v>48</v>
      </c>
      <c r="F4503" s="1">
        <v>72.5</v>
      </c>
      <c r="H4503" s="1">
        <v>57.8</v>
      </c>
    </row>
    <row r="4504" s="1" customFormat="1" spans="1:8">
      <c r="A4504" s="1" t="s">
        <v>34</v>
      </c>
      <c r="B4504" s="1" t="s">
        <v>49</v>
      </c>
      <c r="C4504" s="1" t="str">
        <f t="shared" si="107"/>
        <v>020031</v>
      </c>
      <c r="D4504" s="1" t="str">
        <f>"512522518"</f>
        <v>512522518</v>
      </c>
      <c r="E4504" s="1">
        <v>43.5</v>
      </c>
      <c r="F4504" s="1">
        <v>0</v>
      </c>
      <c r="H4504" s="1">
        <v>26.1</v>
      </c>
    </row>
    <row r="4505" s="1" customFormat="1" spans="1:8">
      <c r="A4505" s="1" t="s">
        <v>34</v>
      </c>
      <c r="B4505" s="1" t="s">
        <v>49</v>
      </c>
      <c r="C4505" s="1" t="str">
        <f t="shared" si="107"/>
        <v>020031</v>
      </c>
      <c r="D4505" s="1" t="str">
        <f>"512522519"</f>
        <v>512522519</v>
      </c>
      <c r="E4505" s="1">
        <v>94.5</v>
      </c>
      <c r="F4505" s="1">
        <v>90</v>
      </c>
      <c r="H4505" s="1">
        <v>92.7</v>
      </c>
    </row>
    <row r="4506" s="1" customFormat="1" spans="1:8">
      <c r="A4506" s="1" t="s">
        <v>34</v>
      </c>
      <c r="B4506" s="1" t="s">
        <v>49</v>
      </c>
      <c r="C4506" s="1" t="str">
        <f t="shared" si="107"/>
        <v>020031</v>
      </c>
      <c r="D4506" s="1" t="str">
        <f>"512522520"</f>
        <v>512522520</v>
      </c>
      <c r="E4506" s="1">
        <v>59.5</v>
      </c>
      <c r="F4506" s="1">
        <v>69</v>
      </c>
      <c r="H4506" s="1">
        <v>63.3</v>
      </c>
    </row>
    <row r="4507" s="1" customFormat="1" spans="1:8">
      <c r="A4507" s="1" t="s">
        <v>34</v>
      </c>
      <c r="B4507" s="1" t="s">
        <v>49</v>
      </c>
      <c r="C4507" s="1" t="str">
        <f t="shared" si="107"/>
        <v>020031</v>
      </c>
      <c r="D4507" s="1" t="str">
        <f>"512522521"</f>
        <v>512522521</v>
      </c>
      <c r="E4507" s="1">
        <v>73.5</v>
      </c>
      <c r="F4507" s="1">
        <v>84.5</v>
      </c>
      <c r="H4507" s="1">
        <v>77.9</v>
      </c>
    </row>
    <row r="4508" s="1" customFormat="1" spans="1:8">
      <c r="A4508" s="1" t="s">
        <v>34</v>
      </c>
      <c r="B4508" s="1" t="s">
        <v>49</v>
      </c>
      <c r="C4508" s="1" t="str">
        <f t="shared" si="107"/>
        <v>020031</v>
      </c>
      <c r="D4508" s="1" t="str">
        <f>"512522522"</f>
        <v>512522522</v>
      </c>
      <c r="E4508" s="1">
        <v>46</v>
      </c>
      <c r="F4508" s="1">
        <v>68</v>
      </c>
      <c r="H4508" s="1">
        <v>54.8</v>
      </c>
    </row>
    <row r="4509" s="1" customFormat="1" spans="1:8">
      <c r="A4509" s="1" t="s">
        <v>34</v>
      </c>
      <c r="B4509" s="1" t="s">
        <v>49</v>
      </c>
      <c r="C4509" s="1" t="str">
        <f t="shared" si="107"/>
        <v>020031</v>
      </c>
      <c r="D4509" s="1" t="str">
        <f>"512522523"</f>
        <v>512522523</v>
      </c>
      <c r="E4509" s="1">
        <v>78</v>
      </c>
      <c r="F4509" s="1">
        <v>75</v>
      </c>
      <c r="H4509" s="1">
        <v>76.8</v>
      </c>
    </row>
    <row r="4510" s="1" customFormat="1" spans="1:8">
      <c r="A4510" s="1" t="s">
        <v>34</v>
      </c>
      <c r="B4510" s="1" t="s">
        <v>49</v>
      </c>
      <c r="C4510" s="1" t="str">
        <f t="shared" si="107"/>
        <v>020031</v>
      </c>
      <c r="D4510" s="1" t="str">
        <f>"512522524"</f>
        <v>512522524</v>
      </c>
      <c r="E4510" s="1">
        <v>52</v>
      </c>
      <c r="F4510" s="1">
        <v>66.5</v>
      </c>
      <c r="H4510" s="1">
        <v>57.8</v>
      </c>
    </row>
    <row r="4511" s="1" customFormat="1" spans="1:8">
      <c r="A4511" s="1" t="s">
        <v>34</v>
      </c>
      <c r="B4511" s="1" t="s">
        <v>49</v>
      </c>
      <c r="C4511" s="1" t="str">
        <f t="shared" si="107"/>
        <v>020031</v>
      </c>
      <c r="D4511" s="1" t="str">
        <f>"512522525"</f>
        <v>512522525</v>
      </c>
      <c r="E4511" s="1">
        <v>67</v>
      </c>
      <c r="F4511" s="1">
        <v>69</v>
      </c>
      <c r="H4511" s="1">
        <v>67.8</v>
      </c>
    </row>
    <row r="4512" s="1" customFormat="1" spans="1:8">
      <c r="A4512" s="1" t="s">
        <v>34</v>
      </c>
      <c r="B4512" s="1" t="s">
        <v>49</v>
      </c>
      <c r="C4512" s="1" t="str">
        <f t="shared" si="107"/>
        <v>020031</v>
      </c>
      <c r="D4512" s="1" t="str">
        <f>"512522526"</f>
        <v>512522526</v>
      </c>
      <c r="E4512" s="1">
        <v>76</v>
      </c>
      <c r="F4512" s="1">
        <v>64</v>
      </c>
      <c r="H4512" s="1">
        <v>71.2</v>
      </c>
    </row>
    <row r="4513" s="1" customFormat="1" spans="1:8">
      <c r="A4513" s="1" t="s">
        <v>34</v>
      </c>
      <c r="B4513" s="1" t="s">
        <v>49</v>
      </c>
      <c r="C4513" s="1" t="str">
        <f t="shared" si="107"/>
        <v>020031</v>
      </c>
      <c r="D4513" s="1" t="str">
        <f>"512522527"</f>
        <v>512522527</v>
      </c>
      <c r="E4513" s="1">
        <v>67.5</v>
      </c>
      <c r="F4513" s="1">
        <v>58</v>
      </c>
      <c r="H4513" s="1">
        <v>63.7</v>
      </c>
    </row>
    <row r="4514" s="1" customFormat="1" spans="1:8">
      <c r="A4514" s="1" t="s">
        <v>34</v>
      </c>
      <c r="B4514" s="1" t="s">
        <v>49</v>
      </c>
      <c r="C4514" s="1" t="str">
        <f t="shared" si="107"/>
        <v>020031</v>
      </c>
      <c r="D4514" s="1" t="str">
        <f>"512522528"</f>
        <v>512522528</v>
      </c>
      <c r="E4514" s="1">
        <v>82</v>
      </c>
      <c r="F4514" s="1">
        <v>80.5</v>
      </c>
      <c r="H4514" s="1">
        <v>81.4</v>
      </c>
    </row>
    <row r="4515" s="1" customFormat="1" spans="1:8">
      <c r="A4515" s="1" t="s">
        <v>34</v>
      </c>
      <c r="B4515" s="1" t="s">
        <v>49</v>
      </c>
      <c r="C4515" s="1" t="str">
        <f t="shared" si="107"/>
        <v>020031</v>
      </c>
      <c r="D4515" s="1" t="str">
        <f>"512522529"</f>
        <v>512522529</v>
      </c>
      <c r="E4515" s="1">
        <v>38</v>
      </c>
      <c r="F4515" s="1">
        <v>62.5</v>
      </c>
      <c r="H4515" s="1">
        <v>47.8</v>
      </c>
    </row>
    <row r="4516" s="1" customFormat="1" spans="1:8">
      <c r="A4516" s="1" t="s">
        <v>34</v>
      </c>
      <c r="B4516" s="1" t="s">
        <v>49</v>
      </c>
      <c r="C4516" s="1" t="str">
        <f t="shared" si="107"/>
        <v>020031</v>
      </c>
      <c r="D4516" s="1" t="str">
        <f>"512522530"</f>
        <v>512522530</v>
      </c>
      <c r="E4516" s="1">
        <v>85</v>
      </c>
      <c r="F4516" s="1">
        <v>85.5</v>
      </c>
      <c r="H4516" s="1">
        <v>85.2</v>
      </c>
    </row>
    <row r="4517" s="1" customFormat="1" spans="1:8">
      <c r="A4517" s="1" t="s">
        <v>34</v>
      </c>
      <c r="B4517" s="1" t="s">
        <v>49</v>
      </c>
      <c r="C4517" s="1" t="str">
        <f t="shared" si="107"/>
        <v>020031</v>
      </c>
      <c r="D4517" s="1" t="str">
        <f>"512522601"</f>
        <v>512522601</v>
      </c>
      <c r="E4517" s="1">
        <v>92.5</v>
      </c>
      <c r="F4517" s="1">
        <v>93</v>
      </c>
      <c r="H4517" s="1">
        <v>92.7</v>
      </c>
    </row>
    <row r="4518" s="1" customFormat="1" spans="1:8">
      <c r="A4518" s="1" t="s">
        <v>34</v>
      </c>
      <c r="B4518" s="1" t="s">
        <v>49</v>
      </c>
      <c r="C4518" s="1" t="str">
        <f t="shared" si="107"/>
        <v>020031</v>
      </c>
      <c r="D4518" s="1" t="str">
        <f>"512522602"</f>
        <v>512522602</v>
      </c>
      <c r="E4518" s="1">
        <v>49</v>
      </c>
      <c r="F4518" s="1">
        <v>0</v>
      </c>
      <c r="H4518" s="1">
        <v>29.4</v>
      </c>
    </row>
    <row r="4519" s="1" customFormat="1" spans="1:8">
      <c r="A4519" s="1" t="s">
        <v>34</v>
      </c>
      <c r="B4519" s="1" t="s">
        <v>49</v>
      </c>
      <c r="C4519" s="1" t="str">
        <f t="shared" si="107"/>
        <v>020031</v>
      </c>
      <c r="D4519" s="1" t="str">
        <f>"512522603"</f>
        <v>512522603</v>
      </c>
      <c r="E4519" s="1">
        <v>0</v>
      </c>
      <c r="F4519" s="1">
        <v>0</v>
      </c>
      <c r="H4519" s="1">
        <v>0</v>
      </c>
    </row>
    <row r="4520" s="1" customFormat="1" spans="1:8">
      <c r="A4520" s="1" t="s">
        <v>34</v>
      </c>
      <c r="B4520" s="1" t="s">
        <v>49</v>
      </c>
      <c r="C4520" s="1" t="str">
        <f t="shared" si="107"/>
        <v>020031</v>
      </c>
      <c r="D4520" s="1" t="str">
        <f>"512522604"</f>
        <v>512522604</v>
      </c>
      <c r="E4520" s="1">
        <v>71</v>
      </c>
      <c r="F4520" s="1">
        <v>84</v>
      </c>
      <c r="H4520" s="1">
        <v>76.2</v>
      </c>
    </row>
    <row r="4521" s="1" customFormat="1" spans="1:8">
      <c r="A4521" s="1" t="s">
        <v>34</v>
      </c>
      <c r="B4521" s="1" t="s">
        <v>49</v>
      </c>
      <c r="C4521" s="1" t="str">
        <f t="shared" si="107"/>
        <v>020031</v>
      </c>
      <c r="D4521" s="1" t="str">
        <f>"512522605"</f>
        <v>512522605</v>
      </c>
      <c r="E4521" s="1">
        <v>65</v>
      </c>
      <c r="F4521" s="1">
        <v>66</v>
      </c>
      <c r="H4521" s="1">
        <v>65.4</v>
      </c>
    </row>
    <row r="4522" s="1" customFormat="1" spans="1:8">
      <c r="A4522" s="1" t="s">
        <v>34</v>
      </c>
      <c r="B4522" s="1" t="s">
        <v>49</v>
      </c>
      <c r="C4522" s="1" t="str">
        <f t="shared" si="107"/>
        <v>020031</v>
      </c>
      <c r="D4522" s="1" t="str">
        <f>"512522606"</f>
        <v>512522606</v>
      </c>
      <c r="E4522" s="1">
        <v>39</v>
      </c>
      <c r="F4522" s="1">
        <v>58</v>
      </c>
      <c r="H4522" s="1">
        <v>46.6</v>
      </c>
    </row>
    <row r="4523" s="1" customFormat="1" spans="1:8">
      <c r="A4523" s="1" t="s">
        <v>34</v>
      </c>
      <c r="B4523" s="1" t="s">
        <v>49</v>
      </c>
      <c r="C4523" s="1" t="str">
        <f t="shared" si="107"/>
        <v>020031</v>
      </c>
      <c r="D4523" s="1" t="str">
        <f>"512522607"</f>
        <v>512522607</v>
      </c>
      <c r="E4523" s="1">
        <v>42</v>
      </c>
      <c r="F4523" s="1">
        <v>57.5</v>
      </c>
      <c r="H4523" s="1">
        <v>48.2</v>
      </c>
    </row>
    <row r="4524" s="1" customFormat="1" spans="1:8">
      <c r="A4524" s="1" t="s">
        <v>34</v>
      </c>
      <c r="B4524" s="1" t="s">
        <v>49</v>
      </c>
      <c r="C4524" s="1" t="str">
        <f t="shared" si="107"/>
        <v>020031</v>
      </c>
      <c r="D4524" s="1" t="str">
        <f>"512522608"</f>
        <v>512522608</v>
      </c>
      <c r="E4524" s="1">
        <v>48.5</v>
      </c>
      <c r="F4524" s="1">
        <v>70.5</v>
      </c>
      <c r="H4524" s="1">
        <v>57.3</v>
      </c>
    </row>
    <row r="4525" s="1" customFormat="1" spans="1:8">
      <c r="A4525" s="1" t="s">
        <v>34</v>
      </c>
      <c r="B4525" s="1" t="s">
        <v>49</v>
      </c>
      <c r="C4525" s="1" t="str">
        <f t="shared" si="107"/>
        <v>020031</v>
      </c>
      <c r="D4525" s="1" t="str">
        <f>"512522609"</f>
        <v>512522609</v>
      </c>
      <c r="E4525" s="1">
        <v>69</v>
      </c>
      <c r="F4525" s="1">
        <v>56</v>
      </c>
      <c r="H4525" s="1">
        <v>63.8</v>
      </c>
    </row>
    <row r="4526" s="1" customFormat="1" spans="1:8">
      <c r="A4526" s="1" t="s">
        <v>34</v>
      </c>
      <c r="B4526" s="1" t="s">
        <v>49</v>
      </c>
      <c r="C4526" s="1" t="str">
        <f t="shared" si="107"/>
        <v>020031</v>
      </c>
      <c r="D4526" s="1" t="str">
        <f>"512522610"</f>
        <v>512522610</v>
      </c>
      <c r="E4526" s="1">
        <v>36</v>
      </c>
      <c r="F4526" s="1">
        <v>63</v>
      </c>
      <c r="H4526" s="1">
        <v>46.8</v>
      </c>
    </row>
    <row r="4527" s="1" customFormat="1" spans="1:8">
      <c r="A4527" s="1" t="s">
        <v>34</v>
      </c>
      <c r="B4527" s="1" t="s">
        <v>49</v>
      </c>
      <c r="C4527" s="1" t="str">
        <f t="shared" si="107"/>
        <v>020031</v>
      </c>
      <c r="D4527" s="1" t="str">
        <f>"512522611"</f>
        <v>512522611</v>
      </c>
      <c r="E4527" s="1">
        <v>59.5</v>
      </c>
      <c r="F4527" s="1">
        <v>68</v>
      </c>
      <c r="H4527" s="1">
        <v>62.9</v>
      </c>
    </row>
    <row r="4528" s="1" customFormat="1" spans="1:8">
      <c r="A4528" s="1" t="s">
        <v>34</v>
      </c>
      <c r="B4528" s="1" t="s">
        <v>49</v>
      </c>
      <c r="C4528" s="1" t="str">
        <f t="shared" si="107"/>
        <v>020031</v>
      </c>
      <c r="D4528" s="1" t="str">
        <f>"512522612"</f>
        <v>512522612</v>
      </c>
      <c r="E4528" s="1">
        <v>65</v>
      </c>
      <c r="F4528" s="1">
        <v>76</v>
      </c>
      <c r="H4528" s="1">
        <v>69.4</v>
      </c>
    </row>
    <row r="4529" s="1" customFormat="1" spans="1:8">
      <c r="A4529" s="1" t="s">
        <v>34</v>
      </c>
      <c r="B4529" s="1" t="s">
        <v>49</v>
      </c>
      <c r="C4529" s="1" t="str">
        <f t="shared" si="107"/>
        <v>020031</v>
      </c>
      <c r="D4529" s="1" t="str">
        <f>"512522613"</f>
        <v>512522613</v>
      </c>
      <c r="E4529" s="1">
        <v>0</v>
      </c>
      <c r="F4529" s="1">
        <v>0</v>
      </c>
      <c r="H4529" s="1">
        <v>0</v>
      </c>
    </row>
    <row r="4530" s="1" customFormat="1" spans="1:8">
      <c r="A4530" s="1" t="s">
        <v>34</v>
      </c>
      <c r="B4530" s="1" t="s">
        <v>49</v>
      </c>
      <c r="C4530" s="1" t="str">
        <f t="shared" si="107"/>
        <v>020031</v>
      </c>
      <c r="D4530" s="1" t="str">
        <f>"512522614"</f>
        <v>512522614</v>
      </c>
      <c r="E4530" s="1">
        <v>71.5</v>
      </c>
      <c r="F4530" s="1">
        <v>85</v>
      </c>
      <c r="H4530" s="1">
        <v>76.9</v>
      </c>
    </row>
    <row r="4531" s="1" customFormat="1" spans="1:8">
      <c r="A4531" s="1" t="s">
        <v>34</v>
      </c>
      <c r="B4531" s="1" t="s">
        <v>49</v>
      </c>
      <c r="C4531" s="1" t="str">
        <f t="shared" si="107"/>
        <v>020031</v>
      </c>
      <c r="D4531" s="1" t="str">
        <f>"512522615"</f>
        <v>512522615</v>
      </c>
      <c r="E4531" s="1">
        <v>0</v>
      </c>
      <c r="F4531" s="1">
        <v>0</v>
      </c>
      <c r="H4531" s="1">
        <v>0</v>
      </c>
    </row>
    <row r="4532" s="1" customFormat="1" spans="1:8">
      <c r="A4532" s="1" t="s">
        <v>34</v>
      </c>
      <c r="B4532" s="1" t="s">
        <v>49</v>
      </c>
      <c r="C4532" s="1" t="str">
        <f t="shared" si="107"/>
        <v>020031</v>
      </c>
      <c r="D4532" s="1" t="str">
        <f>"512522616"</f>
        <v>512522616</v>
      </c>
      <c r="E4532" s="1">
        <v>0</v>
      </c>
      <c r="F4532" s="1">
        <v>0</v>
      </c>
      <c r="H4532" s="1">
        <v>0</v>
      </c>
    </row>
    <row r="4533" s="1" customFormat="1" spans="1:8">
      <c r="A4533" s="1" t="s">
        <v>34</v>
      </c>
      <c r="B4533" s="1" t="s">
        <v>49</v>
      </c>
      <c r="C4533" s="1" t="str">
        <f t="shared" si="107"/>
        <v>020031</v>
      </c>
      <c r="D4533" s="1" t="str">
        <f>"512522617"</f>
        <v>512522617</v>
      </c>
      <c r="E4533" s="1">
        <v>56</v>
      </c>
      <c r="F4533" s="1">
        <v>67</v>
      </c>
      <c r="H4533" s="1">
        <v>60.4</v>
      </c>
    </row>
    <row r="4534" s="1" customFormat="1" spans="1:8">
      <c r="A4534" s="1" t="s">
        <v>34</v>
      </c>
      <c r="B4534" s="1" t="s">
        <v>49</v>
      </c>
      <c r="C4534" s="1" t="str">
        <f t="shared" si="107"/>
        <v>020031</v>
      </c>
      <c r="D4534" s="1" t="str">
        <f>"512522618"</f>
        <v>512522618</v>
      </c>
      <c r="E4534" s="1">
        <v>62</v>
      </c>
      <c r="F4534" s="1">
        <v>0</v>
      </c>
      <c r="H4534" s="1">
        <v>37.2</v>
      </c>
    </row>
    <row r="4535" s="1" customFormat="1" spans="1:8">
      <c r="A4535" s="1" t="s">
        <v>34</v>
      </c>
      <c r="B4535" s="1" t="s">
        <v>49</v>
      </c>
      <c r="C4535" s="1" t="str">
        <f t="shared" si="107"/>
        <v>020031</v>
      </c>
      <c r="D4535" s="1" t="str">
        <f>"512522619"</f>
        <v>512522619</v>
      </c>
      <c r="E4535" s="1">
        <v>85</v>
      </c>
      <c r="F4535" s="1">
        <v>82</v>
      </c>
      <c r="H4535" s="1">
        <v>83.8</v>
      </c>
    </row>
    <row r="4536" s="1" customFormat="1" spans="1:8">
      <c r="A4536" s="1" t="s">
        <v>34</v>
      </c>
      <c r="B4536" s="1" t="s">
        <v>49</v>
      </c>
      <c r="C4536" s="1" t="str">
        <f t="shared" si="107"/>
        <v>020031</v>
      </c>
      <c r="D4536" s="1" t="str">
        <f>"512522620"</f>
        <v>512522620</v>
      </c>
      <c r="E4536" s="1">
        <v>95.5</v>
      </c>
      <c r="F4536" s="1">
        <v>78.5</v>
      </c>
      <c r="H4536" s="1">
        <v>88.7</v>
      </c>
    </row>
    <row r="4537" s="1" customFormat="1" spans="1:8">
      <c r="A4537" s="1" t="s">
        <v>38</v>
      </c>
      <c r="B4537" s="1" t="s">
        <v>47</v>
      </c>
      <c r="C4537" s="1" t="str">
        <f t="shared" ref="C4537:C4550" si="108">"020040"</f>
        <v>020040</v>
      </c>
      <c r="D4537" s="1" t="str">
        <f>"512522621"</f>
        <v>512522621</v>
      </c>
      <c r="E4537" s="1">
        <v>50</v>
      </c>
      <c r="F4537" s="1">
        <v>73</v>
      </c>
      <c r="H4537" s="1">
        <v>59.2</v>
      </c>
    </row>
    <row r="4538" s="1" customFormat="1" spans="1:8">
      <c r="A4538" s="1" t="s">
        <v>38</v>
      </c>
      <c r="B4538" s="1" t="s">
        <v>47</v>
      </c>
      <c r="C4538" s="1" t="str">
        <f t="shared" si="108"/>
        <v>020040</v>
      </c>
      <c r="D4538" s="1" t="str">
        <f>"512522622"</f>
        <v>512522622</v>
      </c>
      <c r="E4538" s="1">
        <v>54</v>
      </c>
      <c r="F4538" s="1">
        <v>56.5</v>
      </c>
      <c r="H4538" s="1">
        <v>55</v>
      </c>
    </row>
    <row r="4539" s="1" customFormat="1" spans="1:8">
      <c r="A4539" s="1" t="s">
        <v>38</v>
      </c>
      <c r="B4539" s="1" t="s">
        <v>47</v>
      </c>
      <c r="C4539" s="1" t="str">
        <f t="shared" si="108"/>
        <v>020040</v>
      </c>
      <c r="D4539" s="1" t="str">
        <f>"512522623"</f>
        <v>512522623</v>
      </c>
      <c r="E4539" s="1">
        <v>0</v>
      </c>
      <c r="F4539" s="1">
        <v>0</v>
      </c>
      <c r="H4539" s="1">
        <v>0</v>
      </c>
    </row>
    <row r="4540" s="1" customFormat="1" spans="1:8">
      <c r="A4540" s="1" t="s">
        <v>38</v>
      </c>
      <c r="B4540" s="1" t="s">
        <v>47</v>
      </c>
      <c r="C4540" s="1" t="str">
        <f t="shared" si="108"/>
        <v>020040</v>
      </c>
      <c r="D4540" s="1" t="str">
        <f>"512522624"</f>
        <v>512522624</v>
      </c>
      <c r="E4540" s="1">
        <v>80</v>
      </c>
      <c r="F4540" s="1">
        <v>81</v>
      </c>
      <c r="H4540" s="1">
        <v>80.4</v>
      </c>
    </row>
    <row r="4541" s="1" customFormat="1" spans="1:8">
      <c r="A4541" s="1" t="s">
        <v>38</v>
      </c>
      <c r="B4541" s="1" t="s">
        <v>47</v>
      </c>
      <c r="C4541" s="1" t="str">
        <f t="shared" si="108"/>
        <v>020040</v>
      </c>
      <c r="D4541" s="1" t="str">
        <f>"512522625"</f>
        <v>512522625</v>
      </c>
      <c r="E4541" s="1">
        <v>42</v>
      </c>
      <c r="F4541" s="1">
        <v>55</v>
      </c>
      <c r="H4541" s="1">
        <v>47.2</v>
      </c>
    </row>
    <row r="4542" s="1" customFormat="1" spans="1:8">
      <c r="A4542" s="1" t="s">
        <v>38</v>
      </c>
      <c r="B4542" s="1" t="s">
        <v>47</v>
      </c>
      <c r="C4542" s="1" t="str">
        <f t="shared" si="108"/>
        <v>020040</v>
      </c>
      <c r="D4542" s="1" t="str">
        <f>"512522626"</f>
        <v>512522626</v>
      </c>
      <c r="E4542" s="1">
        <v>87</v>
      </c>
      <c r="F4542" s="1">
        <v>57</v>
      </c>
      <c r="H4542" s="1">
        <v>75</v>
      </c>
    </row>
    <row r="4543" s="1" customFormat="1" spans="1:8">
      <c r="A4543" s="1" t="s">
        <v>38</v>
      </c>
      <c r="B4543" s="1" t="s">
        <v>47</v>
      </c>
      <c r="C4543" s="1" t="str">
        <f t="shared" si="108"/>
        <v>020040</v>
      </c>
      <c r="D4543" s="1" t="str">
        <f>"512522627"</f>
        <v>512522627</v>
      </c>
      <c r="E4543" s="1">
        <v>0</v>
      </c>
      <c r="F4543" s="1">
        <v>0</v>
      </c>
      <c r="H4543" s="1">
        <v>0</v>
      </c>
    </row>
    <row r="4544" s="1" customFormat="1" spans="1:8">
      <c r="A4544" s="1" t="s">
        <v>38</v>
      </c>
      <c r="B4544" s="1" t="s">
        <v>47</v>
      </c>
      <c r="C4544" s="1" t="str">
        <f t="shared" si="108"/>
        <v>020040</v>
      </c>
      <c r="D4544" s="1" t="str">
        <f>"512522628"</f>
        <v>512522628</v>
      </c>
      <c r="E4544" s="1">
        <v>68.5</v>
      </c>
      <c r="F4544" s="1">
        <v>83.5</v>
      </c>
      <c r="G4544" s="1">
        <v>2</v>
      </c>
      <c r="H4544" s="1">
        <v>76.5</v>
      </c>
    </row>
    <row r="4545" s="1" customFormat="1" spans="1:8">
      <c r="A4545" s="1" t="s">
        <v>38</v>
      </c>
      <c r="B4545" s="1" t="s">
        <v>47</v>
      </c>
      <c r="C4545" s="1" t="str">
        <f t="shared" si="108"/>
        <v>020040</v>
      </c>
      <c r="D4545" s="1" t="str">
        <f>"512522629"</f>
        <v>512522629</v>
      </c>
      <c r="E4545" s="1">
        <v>71.5</v>
      </c>
      <c r="F4545" s="1">
        <v>69.5</v>
      </c>
      <c r="H4545" s="1">
        <v>70.7</v>
      </c>
    </row>
    <row r="4546" s="1" customFormat="1" spans="1:8">
      <c r="A4546" s="1" t="s">
        <v>38</v>
      </c>
      <c r="B4546" s="1" t="s">
        <v>47</v>
      </c>
      <c r="C4546" s="1" t="str">
        <f t="shared" si="108"/>
        <v>020040</v>
      </c>
      <c r="D4546" s="1" t="str">
        <f>"512522630"</f>
        <v>512522630</v>
      </c>
      <c r="E4546" s="1">
        <v>37</v>
      </c>
      <c r="F4546" s="1">
        <v>0</v>
      </c>
      <c r="H4546" s="1">
        <v>22.2</v>
      </c>
    </row>
    <row r="4547" s="1" customFormat="1" spans="1:8">
      <c r="A4547" s="1" t="s">
        <v>38</v>
      </c>
      <c r="B4547" s="1" t="s">
        <v>47</v>
      </c>
      <c r="C4547" s="1" t="str">
        <f t="shared" si="108"/>
        <v>020040</v>
      </c>
      <c r="D4547" s="1" t="str">
        <f>"512522701"</f>
        <v>512522701</v>
      </c>
      <c r="E4547" s="1">
        <v>0</v>
      </c>
      <c r="F4547" s="1">
        <v>0</v>
      </c>
      <c r="H4547" s="1">
        <v>0</v>
      </c>
    </row>
    <row r="4548" s="1" customFormat="1" spans="1:8">
      <c r="A4548" s="1" t="s">
        <v>38</v>
      </c>
      <c r="B4548" s="1" t="s">
        <v>47</v>
      </c>
      <c r="C4548" s="1" t="str">
        <f t="shared" si="108"/>
        <v>020040</v>
      </c>
      <c r="D4548" s="1" t="str">
        <f>"512522702"</f>
        <v>512522702</v>
      </c>
      <c r="E4548" s="1">
        <v>56</v>
      </c>
      <c r="F4548" s="1">
        <v>69.5</v>
      </c>
      <c r="H4548" s="1">
        <v>61.4</v>
      </c>
    </row>
    <row r="4549" s="1" customFormat="1" spans="1:8">
      <c r="A4549" s="1" t="s">
        <v>38</v>
      </c>
      <c r="B4549" s="1" t="s">
        <v>47</v>
      </c>
      <c r="C4549" s="1" t="str">
        <f t="shared" si="108"/>
        <v>020040</v>
      </c>
      <c r="D4549" s="1" t="str">
        <f>"512522703"</f>
        <v>512522703</v>
      </c>
      <c r="E4549" s="1">
        <v>66</v>
      </c>
      <c r="F4549" s="1">
        <v>72.5</v>
      </c>
      <c r="H4549" s="1">
        <v>68.6</v>
      </c>
    </row>
    <row r="4550" s="1" customFormat="1" spans="1:8">
      <c r="A4550" s="1" t="s">
        <v>38</v>
      </c>
      <c r="B4550" s="1" t="s">
        <v>47</v>
      </c>
      <c r="C4550" s="1" t="str">
        <f t="shared" si="108"/>
        <v>020040</v>
      </c>
      <c r="D4550" s="1" t="str">
        <f>"512522704"</f>
        <v>512522704</v>
      </c>
      <c r="E4550" s="1">
        <v>79.5</v>
      </c>
      <c r="F4550" s="1">
        <v>89.5</v>
      </c>
      <c r="H4550" s="1">
        <v>83.5</v>
      </c>
    </row>
    <row r="4551" s="1" customFormat="1" spans="1:8">
      <c r="A4551" s="1" t="s">
        <v>38</v>
      </c>
      <c r="B4551" s="1" t="s">
        <v>49</v>
      </c>
      <c r="C4551" s="1" t="str">
        <f t="shared" ref="C4551:C4564" si="109">"020041"</f>
        <v>020041</v>
      </c>
      <c r="D4551" s="1" t="str">
        <f>"512522705"</f>
        <v>512522705</v>
      </c>
      <c r="E4551" s="1">
        <v>97.5</v>
      </c>
      <c r="F4551" s="1">
        <v>90</v>
      </c>
      <c r="H4551" s="1">
        <v>94.5</v>
      </c>
    </row>
    <row r="4552" s="1" customFormat="1" spans="1:8">
      <c r="A4552" s="1" t="s">
        <v>38</v>
      </c>
      <c r="B4552" s="1" t="s">
        <v>49</v>
      </c>
      <c r="C4552" s="1" t="str">
        <f t="shared" si="109"/>
        <v>020041</v>
      </c>
      <c r="D4552" s="1" t="str">
        <f>"512522706"</f>
        <v>512522706</v>
      </c>
      <c r="E4552" s="1">
        <v>55</v>
      </c>
      <c r="F4552" s="1">
        <v>60</v>
      </c>
      <c r="H4552" s="1">
        <v>57</v>
      </c>
    </row>
    <row r="4553" s="1" customFormat="1" spans="1:8">
      <c r="A4553" s="1" t="s">
        <v>38</v>
      </c>
      <c r="B4553" s="1" t="s">
        <v>49</v>
      </c>
      <c r="C4553" s="1" t="str">
        <f t="shared" si="109"/>
        <v>020041</v>
      </c>
      <c r="D4553" s="1" t="str">
        <f>"512522707"</f>
        <v>512522707</v>
      </c>
      <c r="E4553" s="1">
        <v>0</v>
      </c>
      <c r="F4553" s="1">
        <v>0</v>
      </c>
      <c r="H4553" s="1">
        <v>0</v>
      </c>
    </row>
    <row r="4554" s="1" customFormat="1" spans="1:8">
      <c r="A4554" s="1" t="s">
        <v>38</v>
      </c>
      <c r="B4554" s="1" t="s">
        <v>49</v>
      </c>
      <c r="C4554" s="1" t="str">
        <f t="shared" si="109"/>
        <v>020041</v>
      </c>
      <c r="D4554" s="1" t="str">
        <f>"512522708"</f>
        <v>512522708</v>
      </c>
      <c r="E4554" s="1">
        <v>54</v>
      </c>
      <c r="F4554" s="1">
        <v>70.5</v>
      </c>
      <c r="H4554" s="1">
        <v>60.6</v>
      </c>
    </row>
    <row r="4555" s="1" customFormat="1" spans="1:8">
      <c r="A4555" s="1" t="s">
        <v>38</v>
      </c>
      <c r="B4555" s="1" t="s">
        <v>49</v>
      </c>
      <c r="C4555" s="1" t="str">
        <f t="shared" si="109"/>
        <v>020041</v>
      </c>
      <c r="D4555" s="1" t="str">
        <f>"512522709"</f>
        <v>512522709</v>
      </c>
      <c r="E4555" s="1">
        <v>40.5</v>
      </c>
      <c r="F4555" s="1">
        <v>51</v>
      </c>
      <c r="H4555" s="1">
        <v>44.7</v>
      </c>
    </row>
    <row r="4556" s="1" customFormat="1" spans="1:8">
      <c r="A4556" s="1" t="s">
        <v>38</v>
      </c>
      <c r="B4556" s="1" t="s">
        <v>49</v>
      </c>
      <c r="C4556" s="1" t="str">
        <f t="shared" si="109"/>
        <v>020041</v>
      </c>
      <c r="D4556" s="1" t="str">
        <f>"512522710"</f>
        <v>512522710</v>
      </c>
      <c r="E4556" s="1">
        <v>74</v>
      </c>
      <c r="F4556" s="1">
        <v>79</v>
      </c>
      <c r="H4556" s="1">
        <v>76</v>
      </c>
    </row>
    <row r="4557" s="1" customFormat="1" spans="1:8">
      <c r="A4557" s="1" t="s">
        <v>38</v>
      </c>
      <c r="B4557" s="1" t="s">
        <v>49</v>
      </c>
      <c r="C4557" s="1" t="str">
        <f t="shared" si="109"/>
        <v>020041</v>
      </c>
      <c r="D4557" s="1" t="str">
        <f>"512522711"</f>
        <v>512522711</v>
      </c>
      <c r="E4557" s="1">
        <v>42.5</v>
      </c>
      <c r="F4557" s="1">
        <v>59</v>
      </c>
      <c r="H4557" s="1">
        <v>49.1</v>
      </c>
    </row>
    <row r="4558" s="1" customFormat="1" spans="1:8">
      <c r="A4558" s="1" t="s">
        <v>38</v>
      </c>
      <c r="B4558" s="1" t="s">
        <v>49</v>
      </c>
      <c r="C4558" s="1" t="str">
        <f t="shared" si="109"/>
        <v>020041</v>
      </c>
      <c r="D4558" s="1" t="str">
        <f>"512522712"</f>
        <v>512522712</v>
      </c>
      <c r="E4558" s="1">
        <v>48.5</v>
      </c>
      <c r="F4558" s="1">
        <v>69.5</v>
      </c>
      <c r="H4558" s="1">
        <v>56.9</v>
      </c>
    </row>
    <row r="4559" s="1" customFormat="1" spans="1:8">
      <c r="A4559" s="1" t="s">
        <v>38</v>
      </c>
      <c r="B4559" s="1" t="s">
        <v>49</v>
      </c>
      <c r="C4559" s="1" t="str">
        <f t="shared" si="109"/>
        <v>020041</v>
      </c>
      <c r="D4559" s="1" t="str">
        <f>"512522713"</f>
        <v>512522713</v>
      </c>
      <c r="E4559" s="1">
        <v>44</v>
      </c>
      <c r="F4559" s="1">
        <v>65</v>
      </c>
      <c r="H4559" s="1">
        <v>52.4</v>
      </c>
    </row>
    <row r="4560" s="1" customFormat="1" spans="1:8">
      <c r="A4560" s="1" t="s">
        <v>38</v>
      </c>
      <c r="B4560" s="1" t="s">
        <v>49</v>
      </c>
      <c r="C4560" s="1" t="str">
        <f t="shared" si="109"/>
        <v>020041</v>
      </c>
      <c r="D4560" s="1" t="str">
        <f>"512522714"</f>
        <v>512522714</v>
      </c>
      <c r="E4560" s="1">
        <v>48.5</v>
      </c>
      <c r="F4560" s="1">
        <v>80.5</v>
      </c>
      <c r="H4560" s="1">
        <v>61.3</v>
      </c>
    </row>
    <row r="4561" s="1" customFormat="1" spans="1:8">
      <c r="A4561" s="1" t="s">
        <v>38</v>
      </c>
      <c r="B4561" s="1" t="s">
        <v>49</v>
      </c>
      <c r="C4561" s="1" t="str">
        <f t="shared" si="109"/>
        <v>020041</v>
      </c>
      <c r="D4561" s="1" t="str">
        <f>"512522715"</f>
        <v>512522715</v>
      </c>
      <c r="E4561" s="1">
        <v>0</v>
      </c>
      <c r="F4561" s="1">
        <v>0</v>
      </c>
      <c r="H4561" s="1">
        <v>0</v>
      </c>
    </row>
    <row r="4562" s="1" customFormat="1" spans="1:8">
      <c r="A4562" s="1" t="s">
        <v>38</v>
      </c>
      <c r="B4562" s="1" t="s">
        <v>49</v>
      </c>
      <c r="C4562" s="1" t="str">
        <f t="shared" si="109"/>
        <v>020041</v>
      </c>
      <c r="D4562" s="1" t="str">
        <f>"512522716"</f>
        <v>512522716</v>
      </c>
      <c r="E4562" s="1">
        <v>45.5</v>
      </c>
      <c r="F4562" s="1">
        <v>62.5</v>
      </c>
      <c r="H4562" s="1">
        <v>52.3</v>
      </c>
    </row>
    <row r="4563" s="1" customFormat="1" spans="1:8">
      <c r="A4563" s="1" t="s">
        <v>38</v>
      </c>
      <c r="B4563" s="1" t="s">
        <v>49</v>
      </c>
      <c r="C4563" s="1" t="str">
        <f t="shared" si="109"/>
        <v>020041</v>
      </c>
      <c r="D4563" s="1" t="str">
        <f>"512522717"</f>
        <v>512522717</v>
      </c>
      <c r="E4563" s="1">
        <v>0</v>
      </c>
      <c r="F4563" s="1">
        <v>0</v>
      </c>
      <c r="H4563" s="1">
        <v>0</v>
      </c>
    </row>
    <row r="4564" s="1" customFormat="1" spans="1:8">
      <c r="A4564" s="1" t="s">
        <v>38</v>
      </c>
      <c r="B4564" s="1" t="s">
        <v>49</v>
      </c>
      <c r="C4564" s="1" t="str">
        <f t="shared" si="109"/>
        <v>020041</v>
      </c>
      <c r="D4564" s="1" t="str">
        <f>"512522718"</f>
        <v>512522718</v>
      </c>
      <c r="E4564" s="1">
        <v>64.5</v>
      </c>
      <c r="F4564" s="1">
        <v>73.5</v>
      </c>
      <c r="H4564" s="1">
        <v>68.1</v>
      </c>
    </row>
    <row r="4565" s="1" customFormat="1" spans="1:8">
      <c r="A4565" s="1" t="s">
        <v>36</v>
      </c>
      <c r="B4565" s="1" t="s">
        <v>47</v>
      </c>
      <c r="C4565" s="1" t="str">
        <f t="shared" ref="C4565:C4580" si="110">"020045"</f>
        <v>020045</v>
      </c>
      <c r="D4565" s="1" t="str">
        <f>"512522719"</f>
        <v>512522719</v>
      </c>
      <c r="E4565" s="1">
        <v>45.5</v>
      </c>
      <c r="F4565" s="1">
        <v>68.5</v>
      </c>
      <c r="H4565" s="1">
        <v>54.7</v>
      </c>
    </row>
    <row r="4566" s="1" customFormat="1" spans="1:8">
      <c r="A4566" s="1" t="s">
        <v>36</v>
      </c>
      <c r="B4566" s="1" t="s">
        <v>47</v>
      </c>
      <c r="C4566" s="1" t="str">
        <f t="shared" si="110"/>
        <v>020045</v>
      </c>
      <c r="D4566" s="1" t="str">
        <f>"512522720"</f>
        <v>512522720</v>
      </c>
      <c r="E4566" s="1">
        <v>53.5</v>
      </c>
      <c r="F4566" s="1">
        <v>54</v>
      </c>
      <c r="H4566" s="1">
        <v>53.7</v>
      </c>
    </row>
    <row r="4567" s="1" customFormat="1" spans="1:8">
      <c r="A4567" s="1" t="s">
        <v>36</v>
      </c>
      <c r="B4567" s="1" t="s">
        <v>47</v>
      </c>
      <c r="C4567" s="1" t="str">
        <f t="shared" si="110"/>
        <v>020045</v>
      </c>
      <c r="D4567" s="1" t="str">
        <f>"512522721"</f>
        <v>512522721</v>
      </c>
      <c r="E4567" s="1">
        <v>48.5</v>
      </c>
      <c r="F4567" s="1">
        <v>60</v>
      </c>
      <c r="H4567" s="1">
        <v>53.1</v>
      </c>
    </row>
    <row r="4568" s="1" customFormat="1" spans="1:8">
      <c r="A4568" s="1" t="s">
        <v>36</v>
      </c>
      <c r="B4568" s="1" t="s">
        <v>47</v>
      </c>
      <c r="C4568" s="1" t="str">
        <f t="shared" si="110"/>
        <v>020045</v>
      </c>
      <c r="D4568" s="1" t="str">
        <f>"512522722"</f>
        <v>512522722</v>
      </c>
      <c r="E4568" s="1">
        <v>78</v>
      </c>
      <c r="F4568" s="1">
        <v>61</v>
      </c>
      <c r="H4568" s="1">
        <v>71.2</v>
      </c>
    </row>
    <row r="4569" s="1" customFormat="1" spans="1:8">
      <c r="A4569" s="1" t="s">
        <v>36</v>
      </c>
      <c r="B4569" s="1" t="s">
        <v>47</v>
      </c>
      <c r="C4569" s="1" t="str">
        <f t="shared" si="110"/>
        <v>020045</v>
      </c>
      <c r="D4569" s="1" t="str">
        <f>"512522723"</f>
        <v>512522723</v>
      </c>
      <c r="E4569" s="1">
        <v>0</v>
      </c>
      <c r="F4569" s="1">
        <v>0</v>
      </c>
      <c r="H4569" s="1">
        <v>0</v>
      </c>
    </row>
    <row r="4570" s="1" customFormat="1" spans="1:8">
      <c r="A4570" s="1" t="s">
        <v>36</v>
      </c>
      <c r="B4570" s="1" t="s">
        <v>47</v>
      </c>
      <c r="C4570" s="1" t="str">
        <f t="shared" si="110"/>
        <v>020045</v>
      </c>
      <c r="D4570" s="1" t="str">
        <f>"512522724"</f>
        <v>512522724</v>
      </c>
      <c r="E4570" s="1">
        <v>53.5</v>
      </c>
      <c r="F4570" s="1">
        <v>49.5</v>
      </c>
      <c r="H4570" s="1">
        <v>51.9</v>
      </c>
    </row>
    <row r="4571" s="1" customFormat="1" spans="1:8">
      <c r="A4571" s="1" t="s">
        <v>36</v>
      </c>
      <c r="B4571" s="1" t="s">
        <v>47</v>
      </c>
      <c r="C4571" s="1" t="str">
        <f t="shared" si="110"/>
        <v>020045</v>
      </c>
      <c r="D4571" s="1" t="str">
        <f>"512522725"</f>
        <v>512522725</v>
      </c>
      <c r="E4571" s="1">
        <v>0</v>
      </c>
      <c r="F4571" s="1">
        <v>0</v>
      </c>
      <c r="H4571" s="1">
        <v>0</v>
      </c>
    </row>
    <row r="4572" s="1" customFormat="1" spans="1:8">
      <c r="A4572" s="1" t="s">
        <v>36</v>
      </c>
      <c r="B4572" s="1" t="s">
        <v>47</v>
      </c>
      <c r="C4572" s="1" t="str">
        <f t="shared" si="110"/>
        <v>020045</v>
      </c>
      <c r="D4572" s="1" t="str">
        <f>"512522726"</f>
        <v>512522726</v>
      </c>
      <c r="E4572" s="1">
        <v>71.5</v>
      </c>
      <c r="F4572" s="1">
        <v>67</v>
      </c>
      <c r="H4572" s="1">
        <v>69.7</v>
      </c>
    </row>
    <row r="4573" s="1" customFormat="1" spans="1:8">
      <c r="A4573" s="1" t="s">
        <v>36</v>
      </c>
      <c r="B4573" s="1" t="s">
        <v>47</v>
      </c>
      <c r="C4573" s="1" t="str">
        <f t="shared" si="110"/>
        <v>020045</v>
      </c>
      <c r="D4573" s="1" t="str">
        <f>"512522727"</f>
        <v>512522727</v>
      </c>
      <c r="E4573" s="1">
        <v>40</v>
      </c>
      <c r="F4573" s="1">
        <v>41.5</v>
      </c>
      <c r="H4573" s="1">
        <v>40.6</v>
      </c>
    </row>
    <row r="4574" s="1" customFormat="1" spans="1:8">
      <c r="A4574" s="1" t="s">
        <v>36</v>
      </c>
      <c r="B4574" s="1" t="s">
        <v>47</v>
      </c>
      <c r="C4574" s="1" t="str">
        <f t="shared" si="110"/>
        <v>020045</v>
      </c>
      <c r="D4574" s="1" t="str">
        <f>"512522728"</f>
        <v>512522728</v>
      </c>
      <c r="E4574" s="1">
        <v>76</v>
      </c>
      <c r="F4574" s="1">
        <v>59</v>
      </c>
      <c r="H4574" s="1">
        <v>69.2</v>
      </c>
    </row>
    <row r="4575" s="1" customFormat="1" spans="1:8">
      <c r="A4575" s="1" t="s">
        <v>36</v>
      </c>
      <c r="B4575" s="1" t="s">
        <v>47</v>
      </c>
      <c r="C4575" s="1" t="str">
        <f t="shared" si="110"/>
        <v>020045</v>
      </c>
      <c r="D4575" s="1" t="str">
        <f>"512522729"</f>
        <v>512522729</v>
      </c>
      <c r="E4575" s="1">
        <v>48.5</v>
      </c>
      <c r="F4575" s="1">
        <v>61</v>
      </c>
      <c r="H4575" s="1">
        <v>53.5</v>
      </c>
    </row>
    <row r="4576" s="1" customFormat="1" spans="1:8">
      <c r="A4576" s="1" t="s">
        <v>36</v>
      </c>
      <c r="B4576" s="1" t="s">
        <v>47</v>
      </c>
      <c r="C4576" s="1" t="str">
        <f t="shared" si="110"/>
        <v>020045</v>
      </c>
      <c r="D4576" s="1" t="str">
        <f>"512522730"</f>
        <v>512522730</v>
      </c>
      <c r="E4576" s="1">
        <v>71</v>
      </c>
      <c r="F4576" s="1">
        <v>80</v>
      </c>
      <c r="H4576" s="1">
        <v>74.6</v>
      </c>
    </row>
    <row r="4577" s="1" customFormat="1" spans="1:8">
      <c r="A4577" s="1" t="s">
        <v>36</v>
      </c>
      <c r="B4577" s="1" t="s">
        <v>47</v>
      </c>
      <c r="C4577" s="1" t="str">
        <f t="shared" si="110"/>
        <v>020045</v>
      </c>
      <c r="D4577" s="1" t="str">
        <f>"512522801"</f>
        <v>512522801</v>
      </c>
      <c r="E4577" s="1">
        <v>70</v>
      </c>
      <c r="F4577" s="1">
        <v>66.5</v>
      </c>
      <c r="H4577" s="1">
        <v>68.6</v>
      </c>
    </row>
    <row r="4578" s="1" customFormat="1" spans="1:8">
      <c r="A4578" s="1" t="s">
        <v>36</v>
      </c>
      <c r="B4578" s="1" t="s">
        <v>47</v>
      </c>
      <c r="C4578" s="1" t="str">
        <f t="shared" si="110"/>
        <v>020045</v>
      </c>
      <c r="D4578" s="1" t="str">
        <f>"512522802"</f>
        <v>512522802</v>
      </c>
      <c r="E4578" s="1">
        <v>53.5</v>
      </c>
      <c r="F4578" s="1">
        <v>69</v>
      </c>
      <c r="H4578" s="1">
        <v>59.7</v>
      </c>
    </row>
    <row r="4579" s="1" customFormat="1" spans="1:8">
      <c r="A4579" s="1" t="s">
        <v>36</v>
      </c>
      <c r="B4579" s="1" t="s">
        <v>47</v>
      </c>
      <c r="C4579" s="1" t="str">
        <f t="shared" si="110"/>
        <v>020045</v>
      </c>
      <c r="D4579" s="1" t="str">
        <f>"512522803"</f>
        <v>512522803</v>
      </c>
      <c r="E4579" s="1">
        <v>69.5</v>
      </c>
      <c r="F4579" s="1">
        <v>70.5</v>
      </c>
      <c r="H4579" s="1">
        <v>69.9</v>
      </c>
    </row>
    <row r="4580" s="1" customFormat="1" spans="1:8">
      <c r="A4580" s="1" t="s">
        <v>36</v>
      </c>
      <c r="B4580" s="1" t="s">
        <v>47</v>
      </c>
      <c r="C4580" s="1" t="str">
        <f t="shared" si="110"/>
        <v>020045</v>
      </c>
      <c r="D4580" s="1" t="str">
        <f>"512522804"</f>
        <v>512522804</v>
      </c>
      <c r="E4580" s="1">
        <v>59</v>
      </c>
      <c r="F4580" s="1">
        <v>71.5</v>
      </c>
      <c r="H4580" s="1">
        <v>64</v>
      </c>
    </row>
    <row r="4581" s="1" customFormat="1" spans="1:8">
      <c r="A4581" s="1" t="s">
        <v>37</v>
      </c>
      <c r="B4581" s="1" t="s">
        <v>49</v>
      </c>
      <c r="C4581" s="1" t="str">
        <f t="shared" ref="C4581:C4639" si="111">"020047"</f>
        <v>020047</v>
      </c>
      <c r="D4581" s="1" t="str">
        <f>"512522805"</f>
        <v>512522805</v>
      </c>
      <c r="E4581" s="1">
        <v>35.5</v>
      </c>
      <c r="F4581" s="1">
        <v>48</v>
      </c>
      <c r="H4581" s="1">
        <v>40.5</v>
      </c>
    </row>
    <row r="4582" s="1" customFormat="1" spans="1:8">
      <c r="A4582" s="1" t="s">
        <v>37</v>
      </c>
      <c r="B4582" s="1" t="s">
        <v>49</v>
      </c>
      <c r="C4582" s="1" t="str">
        <f t="shared" si="111"/>
        <v>020047</v>
      </c>
      <c r="D4582" s="1" t="str">
        <f>"512522806"</f>
        <v>512522806</v>
      </c>
      <c r="E4582" s="1">
        <v>33.5</v>
      </c>
      <c r="F4582" s="1">
        <v>66</v>
      </c>
      <c r="H4582" s="1">
        <v>46.5</v>
      </c>
    </row>
    <row r="4583" s="1" customFormat="1" spans="1:8">
      <c r="A4583" s="1" t="s">
        <v>37</v>
      </c>
      <c r="B4583" s="1" t="s">
        <v>49</v>
      </c>
      <c r="C4583" s="1" t="str">
        <f t="shared" si="111"/>
        <v>020047</v>
      </c>
      <c r="D4583" s="1" t="str">
        <f>"512522807"</f>
        <v>512522807</v>
      </c>
      <c r="E4583" s="1">
        <v>39</v>
      </c>
      <c r="F4583" s="1">
        <v>79.5</v>
      </c>
      <c r="H4583" s="1">
        <v>55.2</v>
      </c>
    </row>
    <row r="4584" s="1" customFormat="1" spans="1:8">
      <c r="A4584" s="1" t="s">
        <v>37</v>
      </c>
      <c r="B4584" s="1" t="s">
        <v>49</v>
      </c>
      <c r="C4584" s="1" t="str">
        <f t="shared" si="111"/>
        <v>020047</v>
      </c>
      <c r="D4584" s="1" t="str">
        <f>"512522808"</f>
        <v>512522808</v>
      </c>
      <c r="E4584" s="1">
        <v>59.5</v>
      </c>
      <c r="F4584" s="1">
        <v>73.5</v>
      </c>
      <c r="H4584" s="1">
        <v>65.1</v>
      </c>
    </row>
    <row r="4585" s="1" customFormat="1" spans="1:8">
      <c r="A4585" s="1" t="s">
        <v>37</v>
      </c>
      <c r="B4585" s="1" t="s">
        <v>49</v>
      </c>
      <c r="C4585" s="1" t="str">
        <f t="shared" si="111"/>
        <v>020047</v>
      </c>
      <c r="D4585" s="1" t="str">
        <f>"512522809"</f>
        <v>512522809</v>
      </c>
      <c r="E4585" s="1">
        <v>71.5</v>
      </c>
      <c r="F4585" s="1">
        <v>59.5</v>
      </c>
      <c r="H4585" s="1">
        <v>66.7</v>
      </c>
    </row>
    <row r="4586" s="1" customFormat="1" spans="1:8">
      <c r="A4586" s="1" t="s">
        <v>37</v>
      </c>
      <c r="B4586" s="1" t="s">
        <v>49</v>
      </c>
      <c r="C4586" s="1" t="str">
        <f t="shared" si="111"/>
        <v>020047</v>
      </c>
      <c r="D4586" s="1" t="str">
        <f>"512522810"</f>
        <v>512522810</v>
      </c>
      <c r="E4586" s="1">
        <v>55</v>
      </c>
      <c r="F4586" s="1">
        <v>83.5</v>
      </c>
      <c r="H4586" s="1">
        <v>66.4</v>
      </c>
    </row>
    <row r="4587" s="1" customFormat="1" spans="1:8">
      <c r="A4587" s="1" t="s">
        <v>37</v>
      </c>
      <c r="B4587" s="1" t="s">
        <v>49</v>
      </c>
      <c r="C4587" s="1" t="str">
        <f t="shared" si="111"/>
        <v>020047</v>
      </c>
      <c r="D4587" s="1" t="str">
        <f>"512522811"</f>
        <v>512522811</v>
      </c>
      <c r="E4587" s="1">
        <v>65.5</v>
      </c>
      <c r="F4587" s="1">
        <v>76.5</v>
      </c>
      <c r="H4587" s="1">
        <v>69.9</v>
      </c>
    </row>
    <row r="4588" s="1" customFormat="1" spans="1:8">
      <c r="A4588" s="1" t="s">
        <v>37</v>
      </c>
      <c r="B4588" s="1" t="s">
        <v>49</v>
      </c>
      <c r="C4588" s="1" t="str">
        <f t="shared" si="111"/>
        <v>020047</v>
      </c>
      <c r="D4588" s="1" t="str">
        <f>"512522812"</f>
        <v>512522812</v>
      </c>
      <c r="E4588" s="1">
        <v>55.5</v>
      </c>
      <c r="F4588" s="1">
        <v>67</v>
      </c>
      <c r="H4588" s="1">
        <v>60.1</v>
      </c>
    </row>
    <row r="4589" s="1" customFormat="1" spans="1:8">
      <c r="A4589" s="1" t="s">
        <v>37</v>
      </c>
      <c r="B4589" s="1" t="s">
        <v>49</v>
      </c>
      <c r="C4589" s="1" t="str">
        <f t="shared" si="111"/>
        <v>020047</v>
      </c>
      <c r="D4589" s="1" t="str">
        <f>"512522813"</f>
        <v>512522813</v>
      </c>
      <c r="E4589" s="1">
        <v>0</v>
      </c>
      <c r="F4589" s="1">
        <v>0</v>
      </c>
      <c r="H4589" s="1">
        <v>0</v>
      </c>
    </row>
    <row r="4590" s="1" customFormat="1" spans="1:8">
      <c r="A4590" s="1" t="s">
        <v>37</v>
      </c>
      <c r="B4590" s="1" t="s">
        <v>49</v>
      </c>
      <c r="C4590" s="1" t="str">
        <f t="shared" si="111"/>
        <v>020047</v>
      </c>
      <c r="D4590" s="1" t="str">
        <f>"512522814"</f>
        <v>512522814</v>
      </c>
      <c r="E4590" s="1">
        <v>30</v>
      </c>
      <c r="F4590" s="1">
        <v>61</v>
      </c>
      <c r="H4590" s="1">
        <v>42.4</v>
      </c>
    </row>
    <row r="4591" s="1" customFormat="1" spans="1:8">
      <c r="A4591" s="1" t="s">
        <v>37</v>
      </c>
      <c r="B4591" s="1" t="s">
        <v>49</v>
      </c>
      <c r="C4591" s="1" t="str">
        <f t="shared" si="111"/>
        <v>020047</v>
      </c>
      <c r="D4591" s="1" t="str">
        <f>"512522815"</f>
        <v>512522815</v>
      </c>
      <c r="E4591" s="1">
        <v>73.5</v>
      </c>
      <c r="F4591" s="1">
        <v>76</v>
      </c>
      <c r="H4591" s="1">
        <v>74.5</v>
      </c>
    </row>
    <row r="4592" s="1" customFormat="1" spans="1:8">
      <c r="A4592" s="1" t="s">
        <v>37</v>
      </c>
      <c r="B4592" s="1" t="s">
        <v>49</v>
      </c>
      <c r="C4592" s="1" t="str">
        <f t="shared" si="111"/>
        <v>020047</v>
      </c>
      <c r="D4592" s="1" t="str">
        <f>"512522816"</f>
        <v>512522816</v>
      </c>
      <c r="E4592" s="1">
        <v>68</v>
      </c>
      <c r="F4592" s="1">
        <v>72</v>
      </c>
      <c r="H4592" s="1">
        <v>69.6</v>
      </c>
    </row>
    <row r="4593" s="1" customFormat="1" spans="1:8">
      <c r="A4593" s="1" t="s">
        <v>37</v>
      </c>
      <c r="B4593" s="1" t="s">
        <v>49</v>
      </c>
      <c r="C4593" s="1" t="str">
        <f t="shared" si="111"/>
        <v>020047</v>
      </c>
      <c r="D4593" s="1" t="str">
        <f>"512522817"</f>
        <v>512522817</v>
      </c>
      <c r="E4593" s="1">
        <v>0</v>
      </c>
      <c r="F4593" s="1">
        <v>0</v>
      </c>
      <c r="H4593" s="1">
        <v>0</v>
      </c>
    </row>
    <row r="4594" s="1" customFormat="1" spans="1:8">
      <c r="A4594" s="1" t="s">
        <v>37</v>
      </c>
      <c r="B4594" s="1" t="s">
        <v>49</v>
      </c>
      <c r="C4594" s="1" t="str">
        <f t="shared" si="111"/>
        <v>020047</v>
      </c>
      <c r="D4594" s="1" t="str">
        <f>"512522818"</f>
        <v>512522818</v>
      </c>
      <c r="E4594" s="1">
        <v>59.5</v>
      </c>
      <c r="F4594" s="1">
        <v>73.5</v>
      </c>
      <c r="H4594" s="1">
        <v>65.1</v>
      </c>
    </row>
    <row r="4595" s="1" customFormat="1" spans="1:8">
      <c r="A4595" s="1" t="s">
        <v>37</v>
      </c>
      <c r="B4595" s="1" t="s">
        <v>49</v>
      </c>
      <c r="C4595" s="1" t="str">
        <f t="shared" si="111"/>
        <v>020047</v>
      </c>
      <c r="D4595" s="1" t="str">
        <f>"512522819"</f>
        <v>512522819</v>
      </c>
      <c r="E4595" s="1">
        <v>36</v>
      </c>
      <c r="F4595" s="1">
        <v>52</v>
      </c>
      <c r="H4595" s="1">
        <v>42.4</v>
      </c>
    </row>
    <row r="4596" s="1" customFormat="1" spans="1:8">
      <c r="A4596" s="1" t="s">
        <v>37</v>
      </c>
      <c r="B4596" s="1" t="s">
        <v>49</v>
      </c>
      <c r="C4596" s="1" t="str">
        <f t="shared" si="111"/>
        <v>020047</v>
      </c>
      <c r="D4596" s="1" t="str">
        <f>"512522820"</f>
        <v>512522820</v>
      </c>
      <c r="E4596" s="1">
        <v>0</v>
      </c>
      <c r="F4596" s="1">
        <v>0</v>
      </c>
      <c r="H4596" s="1">
        <v>0</v>
      </c>
    </row>
    <row r="4597" s="1" customFormat="1" spans="1:8">
      <c r="A4597" s="1" t="s">
        <v>37</v>
      </c>
      <c r="B4597" s="1" t="s">
        <v>49</v>
      </c>
      <c r="C4597" s="1" t="str">
        <f t="shared" si="111"/>
        <v>020047</v>
      </c>
      <c r="D4597" s="1" t="str">
        <f>"512522821"</f>
        <v>512522821</v>
      </c>
      <c r="E4597" s="1">
        <v>43.5</v>
      </c>
      <c r="F4597" s="1">
        <v>79.5</v>
      </c>
      <c r="H4597" s="1">
        <v>57.9</v>
      </c>
    </row>
    <row r="4598" s="1" customFormat="1" spans="1:8">
      <c r="A4598" s="1" t="s">
        <v>37</v>
      </c>
      <c r="B4598" s="1" t="s">
        <v>49</v>
      </c>
      <c r="C4598" s="1" t="str">
        <f t="shared" si="111"/>
        <v>020047</v>
      </c>
      <c r="D4598" s="1" t="str">
        <f>"512522822"</f>
        <v>512522822</v>
      </c>
      <c r="E4598" s="1">
        <v>75.5</v>
      </c>
      <c r="F4598" s="1">
        <v>66.5</v>
      </c>
      <c r="H4598" s="1">
        <v>71.9</v>
      </c>
    </row>
    <row r="4599" s="1" customFormat="1" spans="1:8">
      <c r="A4599" s="1" t="s">
        <v>37</v>
      </c>
      <c r="B4599" s="1" t="s">
        <v>49</v>
      </c>
      <c r="C4599" s="1" t="str">
        <f t="shared" si="111"/>
        <v>020047</v>
      </c>
      <c r="D4599" s="1" t="str">
        <f>"512522823"</f>
        <v>512522823</v>
      </c>
      <c r="E4599" s="1">
        <v>50.5</v>
      </c>
      <c r="F4599" s="1">
        <v>69</v>
      </c>
      <c r="H4599" s="1">
        <v>57.9</v>
      </c>
    </row>
    <row r="4600" s="1" customFormat="1" spans="1:8">
      <c r="A4600" s="1" t="s">
        <v>37</v>
      </c>
      <c r="B4600" s="1" t="s">
        <v>49</v>
      </c>
      <c r="C4600" s="1" t="str">
        <f t="shared" si="111"/>
        <v>020047</v>
      </c>
      <c r="D4600" s="1" t="str">
        <f>"512522824"</f>
        <v>512522824</v>
      </c>
      <c r="E4600" s="1">
        <v>69.5</v>
      </c>
      <c r="F4600" s="1">
        <v>63</v>
      </c>
      <c r="H4600" s="1">
        <v>66.9</v>
      </c>
    </row>
    <row r="4601" s="1" customFormat="1" spans="1:8">
      <c r="A4601" s="1" t="s">
        <v>37</v>
      </c>
      <c r="B4601" s="1" t="s">
        <v>49</v>
      </c>
      <c r="C4601" s="1" t="str">
        <f t="shared" si="111"/>
        <v>020047</v>
      </c>
      <c r="D4601" s="1" t="str">
        <f>"512522825"</f>
        <v>512522825</v>
      </c>
      <c r="E4601" s="1">
        <v>80</v>
      </c>
      <c r="F4601" s="1">
        <v>77</v>
      </c>
      <c r="H4601" s="1">
        <v>78.8</v>
      </c>
    </row>
    <row r="4602" s="1" customFormat="1" spans="1:8">
      <c r="A4602" s="1" t="s">
        <v>37</v>
      </c>
      <c r="B4602" s="1" t="s">
        <v>49</v>
      </c>
      <c r="C4602" s="1" t="str">
        <f t="shared" si="111"/>
        <v>020047</v>
      </c>
      <c r="D4602" s="1" t="str">
        <f>"512522826"</f>
        <v>512522826</v>
      </c>
      <c r="E4602" s="1">
        <v>0</v>
      </c>
      <c r="F4602" s="1">
        <v>0</v>
      </c>
      <c r="H4602" s="1">
        <v>0</v>
      </c>
    </row>
    <row r="4603" s="1" customFormat="1" spans="1:8">
      <c r="A4603" s="1" t="s">
        <v>37</v>
      </c>
      <c r="B4603" s="1" t="s">
        <v>49</v>
      </c>
      <c r="C4603" s="1" t="str">
        <f t="shared" si="111"/>
        <v>020047</v>
      </c>
      <c r="D4603" s="1" t="str">
        <f>"512522827"</f>
        <v>512522827</v>
      </c>
      <c r="E4603" s="1">
        <v>45</v>
      </c>
      <c r="F4603" s="1">
        <v>58</v>
      </c>
      <c r="H4603" s="1">
        <v>50.2</v>
      </c>
    </row>
    <row r="4604" s="1" customFormat="1" spans="1:8">
      <c r="A4604" s="1" t="s">
        <v>37</v>
      </c>
      <c r="B4604" s="1" t="s">
        <v>49</v>
      </c>
      <c r="C4604" s="1" t="str">
        <f t="shared" si="111"/>
        <v>020047</v>
      </c>
      <c r="D4604" s="1" t="str">
        <f>"512522828"</f>
        <v>512522828</v>
      </c>
      <c r="E4604" s="1">
        <v>32.5</v>
      </c>
      <c r="F4604" s="1">
        <v>60.5</v>
      </c>
      <c r="H4604" s="1">
        <v>43.7</v>
      </c>
    </row>
    <row r="4605" s="1" customFormat="1" spans="1:8">
      <c r="A4605" s="1" t="s">
        <v>37</v>
      </c>
      <c r="B4605" s="1" t="s">
        <v>49</v>
      </c>
      <c r="C4605" s="1" t="str">
        <f t="shared" si="111"/>
        <v>020047</v>
      </c>
      <c r="D4605" s="1" t="str">
        <f>"512522829"</f>
        <v>512522829</v>
      </c>
      <c r="E4605" s="1">
        <v>0</v>
      </c>
      <c r="F4605" s="1">
        <v>0</v>
      </c>
      <c r="H4605" s="1">
        <v>0</v>
      </c>
    </row>
    <row r="4606" s="1" customFormat="1" spans="1:8">
      <c r="A4606" s="1" t="s">
        <v>37</v>
      </c>
      <c r="B4606" s="1" t="s">
        <v>49</v>
      </c>
      <c r="C4606" s="1" t="str">
        <f t="shared" si="111"/>
        <v>020047</v>
      </c>
      <c r="D4606" s="1" t="str">
        <f>"512522830"</f>
        <v>512522830</v>
      </c>
      <c r="E4606" s="1">
        <v>60</v>
      </c>
      <c r="F4606" s="1">
        <v>80</v>
      </c>
      <c r="H4606" s="1">
        <v>68</v>
      </c>
    </row>
    <row r="4607" s="1" customFormat="1" spans="1:8">
      <c r="A4607" s="1" t="s">
        <v>37</v>
      </c>
      <c r="B4607" s="1" t="s">
        <v>49</v>
      </c>
      <c r="C4607" s="1" t="str">
        <f t="shared" si="111"/>
        <v>020047</v>
      </c>
      <c r="D4607" s="1" t="str">
        <f>"512522901"</f>
        <v>512522901</v>
      </c>
      <c r="E4607" s="1">
        <v>78.5</v>
      </c>
      <c r="F4607" s="1">
        <v>83</v>
      </c>
      <c r="H4607" s="1">
        <v>80.3</v>
      </c>
    </row>
    <row r="4608" s="1" customFormat="1" spans="1:8">
      <c r="A4608" s="1" t="s">
        <v>37</v>
      </c>
      <c r="B4608" s="1" t="s">
        <v>49</v>
      </c>
      <c r="C4608" s="1" t="str">
        <f t="shared" si="111"/>
        <v>020047</v>
      </c>
      <c r="D4608" s="1" t="str">
        <f>"512522902"</f>
        <v>512522902</v>
      </c>
      <c r="E4608" s="1">
        <v>40</v>
      </c>
      <c r="F4608" s="1">
        <v>57.5</v>
      </c>
      <c r="H4608" s="1">
        <v>47</v>
      </c>
    </row>
    <row r="4609" s="1" customFormat="1" spans="1:8">
      <c r="A4609" s="1" t="s">
        <v>37</v>
      </c>
      <c r="B4609" s="1" t="s">
        <v>49</v>
      </c>
      <c r="C4609" s="1" t="str">
        <f t="shared" si="111"/>
        <v>020047</v>
      </c>
      <c r="D4609" s="1" t="str">
        <f>"512522903"</f>
        <v>512522903</v>
      </c>
      <c r="E4609" s="1">
        <v>29</v>
      </c>
      <c r="F4609" s="1">
        <v>0</v>
      </c>
      <c r="H4609" s="1">
        <v>17.4</v>
      </c>
    </row>
    <row r="4610" s="1" customFormat="1" spans="1:8">
      <c r="A4610" s="1" t="s">
        <v>37</v>
      </c>
      <c r="B4610" s="1" t="s">
        <v>49</v>
      </c>
      <c r="C4610" s="1" t="str">
        <f t="shared" si="111"/>
        <v>020047</v>
      </c>
      <c r="D4610" s="1" t="str">
        <f>"512522904"</f>
        <v>512522904</v>
      </c>
      <c r="E4610" s="1">
        <v>30</v>
      </c>
      <c r="F4610" s="1">
        <v>56</v>
      </c>
      <c r="H4610" s="1">
        <v>40.4</v>
      </c>
    </row>
    <row r="4611" s="1" customFormat="1" spans="1:8">
      <c r="A4611" s="1" t="s">
        <v>37</v>
      </c>
      <c r="B4611" s="1" t="s">
        <v>49</v>
      </c>
      <c r="C4611" s="1" t="str">
        <f t="shared" si="111"/>
        <v>020047</v>
      </c>
      <c r="D4611" s="1" t="str">
        <f>"512522905"</f>
        <v>512522905</v>
      </c>
      <c r="E4611" s="1">
        <v>57.5</v>
      </c>
      <c r="F4611" s="1">
        <v>53.5</v>
      </c>
      <c r="H4611" s="1">
        <v>55.9</v>
      </c>
    </row>
    <row r="4612" s="1" customFormat="1" spans="1:8">
      <c r="A4612" s="1" t="s">
        <v>37</v>
      </c>
      <c r="B4612" s="1" t="s">
        <v>49</v>
      </c>
      <c r="C4612" s="1" t="str">
        <f t="shared" si="111"/>
        <v>020047</v>
      </c>
      <c r="D4612" s="1" t="str">
        <f>"512522906"</f>
        <v>512522906</v>
      </c>
      <c r="E4612" s="1">
        <v>32.5</v>
      </c>
      <c r="F4612" s="1">
        <v>74.5</v>
      </c>
      <c r="H4612" s="1">
        <v>49.3</v>
      </c>
    </row>
    <row r="4613" s="1" customFormat="1" spans="1:8">
      <c r="A4613" s="1" t="s">
        <v>37</v>
      </c>
      <c r="B4613" s="1" t="s">
        <v>49</v>
      </c>
      <c r="C4613" s="1" t="str">
        <f t="shared" si="111"/>
        <v>020047</v>
      </c>
      <c r="D4613" s="1" t="str">
        <f>"512522907"</f>
        <v>512522907</v>
      </c>
      <c r="E4613" s="1">
        <v>55.5</v>
      </c>
      <c r="F4613" s="1">
        <v>59</v>
      </c>
      <c r="H4613" s="1">
        <v>56.9</v>
      </c>
    </row>
    <row r="4614" s="1" customFormat="1" spans="1:8">
      <c r="A4614" s="1" t="s">
        <v>37</v>
      </c>
      <c r="B4614" s="1" t="s">
        <v>49</v>
      </c>
      <c r="C4614" s="1" t="str">
        <f t="shared" si="111"/>
        <v>020047</v>
      </c>
      <c r="D4614" s="1" t="str">
        <f>"512522908"</f>
        <v>512522908</v>
      </c>
      <c r="E4614" s="1">
        <v>47.5</v>
      </c>
      <c r="F4614" s="1">
        <v>67.5</v>
      </c>
      <c r="H4614" s="1">
        <v>55.5</v>
      </c>
    </row>
    <row r="4615" s="1" customFormat="1" spans="1:8">
      <c r="A4615" s="1" t="s">
        <v>37</v>
      </c>
      <c r="B4615" s="1" t="s">
        <v>49</v>
      </c>
      <c r="C4615" s="1" t="str">
        <f t="shared" si="111"/>
        <v>020047</v>
      </c>
      <c r="D4615" s="1" t="str">
        <f>"512522909"</f>
        <v>512522909</v>
      </c>
      <c r="E4615" s="1">
        <v>67</v>
      </c>
      <c r="F4615" s="1">
        <v>76.5</v>
      </c>
      <c r="H4615" s="1">
        <v>70.8</v>
      </c>
    </row>
    <row r="4616" s="1" customFormat="1" spans="1:8">
      <c r="A4616" s="1" t="s">
        <v>37</v>
      </c>
      <c r="B4616" s="1" t="s">
        <v>49</v>
      </c>
      <c r="C4616" s="1" t="str">
        <f t="shared" si="111"/>
        <v>020047</v>
      </c>
      <c r="D4616" s="1" t="str">
        <f>"512522910"</f>
        <v>512522910</v>
      </c>
      <c r="E4616" s="1">
        <v>23.5</v>
      </c>
      <c r="F4616" s="1">
        <v>0</v>
      </c>
      <c r="H4616" s="1">
        <v>14.1</v>
      </c>
    </row>
    <row r="4617" s="1" customFormat="1" spans="1:8">
      <c r="A4617" s="1" t="s">
        <v>37</v>
      </c>
      <c r="B4617" s="1" t="s">
        <v>49</v>
      </c>
      <c r="C4617" s="1" t="str">
        <f t="shared" si="111"/>
        <v>020047</v>
      </c>
      <c r="D4617" s="1" t="str">
        <f>"512522911"</f>
        <v>512522911</v>
      </c>
      <c r="E4617" s="1">
        <v>53</v>
      </c>
      <c r="F4617" s="1">
        <v>82</v>
      </c>
      <c r="G4617" s="1">
        <v>2</v>
      </c>
      <c r="H4617" s="1">
        <v>66.6</v>
      </c>
    </row>
    <row r="4618" s="1" customFormat="1" spans="1:8">
      <c r="A4618" s="1" t="s">
        <v>37</v>
      </c>
      <c r="B4618" s="1" t="s">
        <v>49</v>
      </c>
      <c r="C4618" s="1" t="str">
        <f t="shared" si="111"/>
        <v>020047</v>
      </c>
      <c r="D4618" s="1" t="str">
        <f>"512522912"</f>
        <v>512522912</v>
      </c>
      <c r="E4618" s="1">
        <v>61</v>
      </c>
      <c r="F4618" s="1">
        <v>74.5</v>
      </c>
      <c r="H4618" s="1">
        <v>66.4</v>
      </c>
    </row>
    <row r="4619" s="1" customFormat="1" spans="1:8">
      <c r="A4619" s="1" t="s">
        <v>37</v>
      </c>
      <c r="B4619" s="1" t="s">
        <v>49</v>
      </c>
      <c r="C4619" s="1" t="str">
        <f t="shared" si="111"/>
        <v>020047</v>
      </c>
      <c r="D4619" s="1" t="str">
        <f>"512522913"</f>
        <v>512522913</v>
      </c>
      <c r="E4619" s="1">
        <v>43.5</v>
      </c>
      <c r="F4619" s="1">
        <v>0</v>
      </c>
      <c r="H4619" s="1">
        <v>26.1</v>
      </c>
    </row>
    <row r="4620" s="1" customFormat="1" spans="1:8">
      <c r="A4620" s="1" t="s">
        <v>37</v>
      </c>
      <c r="B4620" s="1" t="s">
        <v>49</v>
      </c>
      <c r="C4620" s="1" t="str">
        <f t="shared" si="111"/>
        <v>020047</v>
      </c>
      <c r="D4620" s="1" t="str">
        <f>"512522914"</f>
        <v>512522914</v>
      </c>
      <c r="E4620" s="1">
        <v>80</v>
      </c>
      <c r="F4620" s="1">
        <v>85.5</v>
      </c>
      <c r="H4620" s="1">
        <v>82.2</v>
      </c>
    </row>
    <row r="4621" s="1" customFormat="1" spans="1:8">
      <c r="A4621" s="1" t="s">
        <v>37</v>
      </c>
      <c r="B4621" s="1" t="s">
        <v>49</v>
      </c>
      <c r="C4621" s="1" t="str">
        <f t="shared" si="111"/>
        <v>020047</v>
      </c>
      <c r="D4621" s="1" t="str">
        <f>"512522915"</f>
        <v>512522915</v>
      </c>
      <c r="E4621" s="1">
        <v>44.5</v>
      </c>
      <c r="F4621" s="1">
        <v>62.5</v>
      </c>
      <c r="H4621" s="1">
        <v>51.7</v>
      </c>
    </row>
    <row r="4622" s="1" customFormat="1" spans="1:8">
      <c r="A4622" s="1" t="s">
        <v>37</v>
      </c>
      <c r="B4622" s="1" t="s">
        <v>49</v>
      </c>
      <c r="C4622" s="1" t="str">
        <f t="shared" si="111"/>
        <v>020047</v>
      </c>
      <c r="D4622" s="1" t="str">
        <f>"512522916"</f>
        <v>512522916</v>
      </c>
      <c r="E4622" s="1">
        <v>77.5</v>
      </c>
      <c r="F4622" s="1">
        <v>84.5</v>
      </c>
      <c r="H4622" s="1">
        <v>80.3</v>
      </c>
    </row>
    <row r="4623" s="1" customFormat="1" spans="1:8">
      <c r="A4623" s="1" t="s">
        <v>37</v>
      </c>
      <c r="B4623" s="1" t="s">
        <v>49</v>
      </c>
      <c r="C4623" s="1" t="str">
        <f t="shared" si="111"/>
        <v>020047</v>
      </c>
      <c r="D4623" s="1" t="str">
        <f>"512522917"</f>
        <v>512522917</v>
      </c>
      <c r="E4623" s="1">
        <v>59</v>
      </c>
      <c r="F4623" s="1">
        <v>64.5</v>
      </c>
      <c r="H4623" s="1">
        <v>61.2</v>
      </c>
    </row>
    <row r="4624" s="1" customFormat="1" spans="1:8">
      <c r="A4624" s="1" t="s">
        <v>37</v>
      </c>
      <c r="B4624" s="1" t="s">
        <v>49</v>
      </c>
      <c r="C4624" s="1" t="str">
        <f t="shared" si="111"/>
        <v>020047</v>
      </c>
      <c r="D4624" s="1" t="str">
        <f>"512522918"</f>
        <v>512522918</v>
      </c>
      <c r="E4624" s="1">
        <v>50</v>
      </c>
      <c r="F4624" s="1">
        <v>73</v>
      </c>
      <c r="H4624" s="1">
        <v>59.2</v>
      </c>
    </row>
    <row r="4625" s="1" customFormat="1" spans="1:8">
      <c r="A4625" s="1" t="s">
        <v>37</v>
      </c>
      <c r="B4625" s="1" t="s">
        <v>49</v>
      </c>
      <c r="C4625" s="1" t="str">
        <f t="shared" si="111"/>
        <v>020047</v>
      </c>
      <c r="D4625" s="1" t="str">
        <f>"512522919"</f>
        <v>512522919</v>
      </c>
      <c r="E4625" s="1">
        <v>58.5</v>
      </c>
      <c r="F4625" s="1">
        <v>76.5</v>
      </c>
      <c r="H4625" s="1">
        <v>65.7</v>
      </c>
    </row>
    <row r="4626" s="1" customFormat="1" spans="1:8">
      <c r="A4626" s="1" t="s">
        <v>37</v>
      </c>
      <c r="B4626" s="1" t="s">
        <v>49</v>
      </c>
      <c r="C4626" s="1" t="str">
        <f t="shared" si="111"/>
        <v>020047</v>
      </c>
      <c r="D4626" s="1" t="str">
        <f>"512522920"</f>
        <v>512522920</v>
      </c>
      <c r="E4626" s="1">
        <v>69</v>
      </c>
      <c r="F4626" s="1">
        <v>54</v>
      </c>
      <c r="H4626" s="1">
        <v>63</v>
      </c>
    </row>
    <row r="4627" s="1" customFormat="1" spans="1:8">
      <c r="A4627" s="1" t="s">
        <v>37</v>
      </c>
      <c r="B4627" s="1" t="s">
        <v>49</v>
      </c>
      <c r="C4627" s="1" t="str">
        <f t="shared" si="111"/>
        <v>020047</v>
      </c>
      <c r="D4627" s="1" t="str">
        <f>"512522921"</f>
        <v>512522921</v>
      </c>
      <c r="E4627" s="1">
        <v>86</v>
      </c>
      <c r="F4627" s="1">
        <v>78.5</v>
      </c>
      <c r="H4627" s="1">
        <v>83</v>
      </c>
    </row>
    <row r="4628" s="1" customFormat="1" spans="1:8">
      <c r="A4628" s="1" t="s">
        <v>37</v>
      </c>
      <c r="B4628" s="1" t="s">
        <v>49</v>
      </c>
      <c r="C4628" s="1" t="str">
        <f t="shared" si="111"/>
        <v>020047</v>
      </c>
      <c r="D4628" s="1" t="str">
        <f>"512522922"</f>
        <v>512522922</v>
      </c>
      <c r="E4628" s="1">
        <v>53.5</v>
      </c>
      <c r="F4628" s="1">
        <v>0</v>
      </c>
      <c r="H4628" s="1">
        <v>32.1</v>
      </c>
    </row>
    <row r="4629" s="1" customFormat="1" spans="1:8">
      <c r="A4629" s="1" t="s">
        <v>37</v>
      </c>
      <c r="B4629" s="1" t="s">
        <v>49</v>
      </c>
      <c r="C4629" s="1" t="str">
        <f t="shared" si="111"/>
        <v>020047</v>
      </c>
      <c r="D4629" s="1" t="str">
        <f>"512522923"</f>
        <v>512522923</v>
      </c>
      <c r="E4629" s="1">
        <v>35</v>
      </c>
      <c r="F4629" s="1">
        <v>71.5</v>
      </c>
      <c r="H4629" s="1">
        <v>49.6</v>
      </c>
    </row>
    <row r="4630" s="1" customFormat="1" spans="1:8">
      <c r="A4630" s="1" t="s">
        <v>37</v>
      </c>
      <c r="B4630" s="1" t="s">
        <v>49</v>
      </c>
      <c r="C4630" s="1" t="str">
        <f t="shared" si="111"/>
        <v>020047</v>
      </c>
      <c r="D4630" s="1" t="str">
        <f>"512522924"</f>
        <v>512522924</v>
      </c>
      <c r="E4630" s="1">
        <v>90.5</v>
      </c>
      <c r="F4630" s="1">
        <v>89.5</v>
      </c>
      <c r="H4630" s="1">
        <v>90.1</v>
      </c>
    </row>
    <row r="4631" s="1" customFormat="1" spans="1:8">
      <c r="A4631" s="1" t="s">
        <v>37</v>
      </c>
      <c r="B4631" s="1" t="s">
        <v>49</v>
      </c>
      <c r="C4631" s="1" t="str">
        <f t="shared" si="111"/>
        <v>020047</v>
      </c>
      <c r="D4631" s="1" t="str">
        <f>"512522925"</f>
        <v>512522925</v>
      </c>
      <c r="E4631" s="1">
        <v>101.5</v>
      </c>
      <c r="F4631" s="1">
        <v>90</v>
      </c>
      <c r="H4631" s="1">
        <v>96.9</v>
      </c>
    </row>
    <row r="4632" s="1" customFormat="1" spans="1:8">
      <c r="A4632" s="1" t="s">
        <v>37</v>
      </c>
      <c r="B4632" s="1" t="s">
        <v>49</v>
      </c>
      <c r="C4632" s="1" t="str">
        <f t="shared" si="111"/>
        <v>020047</v>
      </c>
      <c r="D4632" s="1" t="str">
        <f>"512522926"</f>
        <v>512522926</v>
      </c>
      <c r="E4632" s="1">
        <v>85</v>
      </c>
      <c r="F4632" s="1">
        <v>77.5</v>
      </c>
      <c r="H4632" s="1">
        <v>82</v>
      </c>
    </row>
    <row r="4633" s="1" customFormat="1" spans="1:8">
      <c r="A4633" s="1" t="s">
        <v>37</v>
      </c>
      <c r="B4633" s="1" t="s">
        <v>49</v>
      </c>
      <c r="C4633" s="1" t="str">
        <f t="shared" si="111"/>
        <v>020047</v>
      </c>
      <c r="D4633" s="1" t="str">
        <f>"512522927"</f>
        <v>512522927</v>
      </c>
      <c r="E4633" s="1">
        <v>74.5</v>
      </c>
      <c r="F4633" s="1">
        <v>75.5</v>
      </c>
      <c r="H4633" s="1">
        <v>74.9</v>
      </c>
    </row>
    <row r="4634" s="1" customFormat="1" spans="1:8">
      <c r="A4634" s="1" t="s">
        <v>37</v>
      </c>
      <c r="B4634" s="1" t="s">
        <v>49</v>
      </c>
      <c r="C4634" s="1" t="str">
        <f t="shared" si="111"/>
        <v>020047</v>
      </c>
      <c r="D4634" s="1" t="str">
        <f>"512522928"</f>
        <v>512522928</v>
      </c>
      <c r="E4634" s="1">
        <v>39.5</v>
      </c>
      <c r="F4634" s="1">
        <v>0</v>
      </c>
      <c r="H4634" s="1">
        <v>23.7</v>
      </c>
    </row>
    <row r="4635" s="1" customFormat="1" spans="1:8">
      <c r="A4635" s="1" t="s">
        <v>37</v>
      </c>
      <c r="B4635" s="1" t="s">
        <v>49</v>
      </c>
      <c r="C4635" s="1" t="str">
        <f t="shared" si="111"/>
        <v>020047</v>
      </c>
      <c r="D4635" s="1" t="str">
        <f>"512522929"</f>
        <v>512522929</v>
      </c>
      <c r="E4635" s="1">
        <v>53</v>
      </c>
      <c r="F4635" s="1">
        <v>54</v>
      </c>
      <c r="H4635" s="1">
        <v>53.4</v>
      </c>
    </row>
    <row r="4636" s="1" customFormat="1" spans="1:8">
      <c r="A4636" s="1" t="s">
        <v>37</v>
      </c>
      <c r="B4636" s="1" t="s">
        <v>49</v>
      </c>
      <c r="C4636" s="1" t="str">
        <f t="shared" si="111"/>
        <v>020047</v>
      </c>
      <c r="D4636" s="1" t="str">
        <f>"512522930"</f>
        <v>512522930</v>
      </c>
      <c r="E4636" s="1">
        <v>0</v>
      </c>
      <c r="F4636" s="1">
        <v>0</v>
      </c>
      <c r="H4636" s="1">
        <v>0</v>
      </c>
    </row>
    <row r="4637" s="1" customFormat="1" spans="1:8">
      <c r="A4637" s="1" t="s">
        <v>37</v>
      </c>
      <c r="B4637" s="1" t="s">
        <v>49</v>
      </c>
      <c r="C4637" s="1" t="str">
        <f t="shared" si="111"/>
        <v>020047</v>
      </c>
      <c r="D4637" s="1" t="str">
        <f>"512523001"</f>
        <v>512523001</v>
      </c>
      <c r="E4637" s="1">
        <v>63.5</v>
      </c>
      <c r="F4637" s="1">
        <v>74</v>
      </c>
      <c r="H4637" s="1">
        <v>67.7</v>
      </c>
    </row>
    <row r="4638" s="1" customFormat="1" spans="1:8">
      <c r="A4638" s="1" t="s">
        <v>37</v>
      </c>
      <c r="B4638" s="1" t="s">
        <v>49</v>
      </c>
      <c r="C4638" s="1" t="str">
        <f t="shared" si="111"/>
        <v>020047</v>
      </c>
      <c r="D4638" s="1" t="str">
        <f>"512523002"</f>
        <v>512523002</v>
      </c>
      <c r="E4638" s="1">
        <v>81</v>
      </c>
      <c r="F4638" s="1">
        <v>64.5</v>
      </c>
      <c r="H4638" s="1">
        <v>74.4</v>
      </c>
    </row>
    <row r="4639" s="1" customFormat="1" spans="1:8">
      <c r="A4639" s="1" t="s">
        <v>37</v>
      </c>
      <c r="B4639" s="1" t="s">
        <v>49</v>
      </c>
      <c r="C4639" s="1" t="str">
        <f t="shared" si="111"/>
        <v>020047</v>
      </c>
      <c r="D4639" s="1" t="str">
        <f>"512523003"</f>
        <v>512523003</v>
      </c>
      <c r="E4639" s="1">
        <v>67</v>
      </c>
      <c r="F4639" s="1">
        <v>63</v>
      </c>
      <c r="H4639" s="1">
        <v>65.4</v>
      </c>
    </row>
    <row r="4640" s="1" customFormat="1" spans="1:8">
      <c r="A4640" s="1" t="s">
        <v>46</v>
      </c>
      <c r="B4640" s="1" t="s">
        <v>50</v>
      </c>
      <c r="C4640" s="1" t="str">
        <f t="shared" ref="C4640:C4666" si="112">"020004"</f>
        <v>020004</v>
      </c>
      <c r="D4640" s="1" t="str">
        <f>"512625501"</f>
        <v>512625501</v>
      </c>
      <c r="E4640" s="1">
        <v>95.5</v>
      </c>
      <c r="F4640" s="1">
        <v>80</v>
      </c>
      <c r="H4640" s="1">
        <v>89.3</v>
      </c>
    </row>
    <row r="4641" s="1" customFormat="1" spans="1:8">
      <c r="A4641" s="1" t="s">
        <v>46</v>
      </c>
      <c r="B4641" s="1" t="s">
        <v>50</v>
      </c>
      <c r="C4641" s="1" t="str">
        <f t="shared" si="112"/>
        <v>020004</v>
      </c>
      <c r="D4641" s="1" t="str">
        <f>"512625502"</f>
        <v>512625502</v>
      </c>
      <c r="E4641" s="1">
        <v>95</v>
      </c>
      <c r="F4641" s="1">
        <v>75</v>
      </c>
      <c r="H4641" s="1">
        <v>87</v>
      </c>
    </row>
    <row r="4642" s="1" customFormat="1" spans="1:8">
      <c r="A4642" s="1" t="s">
        <v>46</v>
      </c>
      <c r="B4642" s="1" t="s">
        <v>50</v>
      </c>
      <c r="C4642" s="1" t="str">
        <f t="shared" si="112"/>
        <v>020004</v>
      </c>
      <c r="D4642" s="1" t="str">
        <f>"512625503"</f>
        <v>512625503</v>
      </c>
      <c r="E4642" s="1">
        <v>95.5</v>
      </c>
      <c r="F4642" s="1">
        <v>87.5</v>
      </c>
      <c r="H4642" s="1">
        <v>92.3</v>
      </c>
    </row>
    <row r="4643" s="1" customFormat="1" spans="1:8">
      <c r="A4643" s="1" t="s">
        <v>46</v>
      </c>
      <c r="B4643" s="1" t="s">
        <v>50</v>
      </c>
      <c r="C4643" s="1" t="str">
        <f t="shared" si="112"/>
        <v>020004</v>
      </c>
      <c r="D4643" s="1" t="str">
        <f>"512625504"</f>
        <v>512625504</v>
      </c>
      <c r="E4643" s="1">
        <v>65</v>
      </c>
      <c r="F4643" s="1">
        <v>47</v>
      </c>
      <c r="H4643" s="1">
        <v>57.8</v>
      </c>
    </row>
    <row r="4644" s="1" customFormat="1" spans="1:8">
      <c r="A4644" s="1" t="s">
        <v>46</v>
      </c>
      <c r="B4644" s="1" t="s">
        <v>50</v>
      </c>
      <c r="C4644" s="1" t="str">
        <f t="shared" si="112"/>
        <v>020004</v>
      </c>
      <c r="D4644" s="1" t="str">
        <f>"512625505"</f>
        <v>512625505</v>
      </c>
      <c r="E4644" s="1">
        <v>82.5</v>
      </c>
      <c r="F4644" s="1">
        <v>63</v>
      </c>
      <c r="H4644" s="1">
        <v>74.7</v>
      </c>
    </row>
    <row r="4645" s="1" customFormat="1" spans="1:8">
      <c r="A4645" s="1" t="s">
        <v>46</v>
      </c>
      <c r="B4645" s="1" t="s">
        <v>50</v>
      </c>
      <c r="C4645" s="1" t="str">
        <f t="shared" si="112"/>
        <v>020004</v>
      </c>
      <c r="D4645" s="1" t="str">
        <f>"512625506"</f>
        <v>512625506</v>
      </c>
      <c r="E4645" s="1">
        <v>97.5</v>
      </c>
      <c r="F4645" s="1">
        <v>76</v>
      </c>
      <c r="H4645" s="1">
        <v>88.9</v>
      </c>
    </row>
    <row r="4646" s="1" customFormat="1" spans="1:8">
      <c r="A4646" s="1" t="s">
        <v>46</v>
      </c>
      <c r="B4646" s="1" t="s">
        <v>50</v>
      </c>
      <c r="C4646" s="1" t="str">
        <f t="shared" si="112"/>
        <v>020004</v>
      </c>
      <c r="D4646" s="1" t="str">
        <f>"512625507"</f>
        <v>512625507</v>
      </c>
      <c r="E4646" s="1">
        <v>97.5</v>
      </c>
      <c r="F4646" s="1">
        <v>79.5</v>
      </c>
      <c r="H4646" s="1">
        <v>90.3</v>
      </c>
    </row>
    <row r="4647" s="1" customFormat="1" spans="1:8">
      <c r="A4647" s="1" t="s">
        <v>46</v>
      </c>
      <c r="B4647" s="1" t="s">
        <v>50</v>
      </c>
      <c r="C4647" s="1" t="str">
        <f t="shared" si="112"/>
        <v>020004</v>
      </c>
      <c r="D4647" s="1" t="str">
        <f>"512625508"</f>
        <v>512625508</v>
      </c>
      <c r="E4647" s="1">
        <v>87</v>
      </c>
      <c r="F4647" s="1">
        <v>72.5</v>
      </c>
      <c r="H4647" s="1">
        <v>81.2</v>
      </c>
    </row>
    <row r="4648" s="1" customFormat="1" spans="1:8">
      <c r="A4648" s="1" t="s">
        <v>46</v>
      </c>
      <c r="B4648" s="1" t="s">
        <v>50</v>
      </c>
      <c r="C4648" s="1" t="str">
        <f t="shared" si="112"/>
        <v>020004</v>
      </c>
      <c r="D4648" s="1" t="str">
        <f>"512625509"</f>
        <v>512625509</v>
      </c>
      <c r="E4648" s="1">
        <v>0</v>
      </c>
      <c r="F4648" s="1">
        <v>0</v>
      </c>
      <c r="H4648" s="1">
        <v>0</v>
      </c>
    </row>
    <row r="4649" s="1" customFormat="1" spans="1:8">
      <c r="A4649" s="1" t="s">
        <v>46</v>
      </c>
      <c r="B4649" s="1" t="s">
        <v>50</v>
      </c>
      <c r="C4649" s="1" t="str">
        <f t="shared" si="112"/>
        <v>020004</v>
      </c>
      <c r="D4649" s="1" t="str">
        <f>"512625510"</f>
        <v>512625510</v>
      </c>
      <c r="E4649" s="1">
        <v>94.5</v>
      </c>
      <c r="F4649" s="1">
        <v>66</v>
      </c>
      <c r="H4649" s="1">
        <v>83.1</v>
      </c>
    </row>
    <row r="4650" s="1" customFormat="1" spans="1:8">
      <c r="A4650" s="1" t="s">
        <v>46</v>
      </c>
      <c r="B4650" s="1" t="s">
        <v>50</v>
      </c>
      <c r="C4650" s="1" t="str">
        <f t="shared" si="112"/>
        <v>020004</v>
      </c>
      <c r="D4650" s="1" t="str">
        <f>"512625511"</f>
        <v>512625511</v>
      </c>
      <c r="E4650" s="1">
        <v>89.5</v>
      </c>
      <c r="F4650" s="1">
        <v>64.5</v>
      </c>
      <c r="H4650" s="1">
        <v>79.5</v>
      </c>
    </row>
    <row r="4651" s="1" customFormat="1" spans="1:8">
      <c r="A4651" s="1" t="s">
        <v>46</v>
      </c>
      <c r="B4651" s="1" t="s">
        <v>50</v>
      </c>
      <c r="C4651" s="1" t="str">
        <f t="shared" si="112"/>
        <v>020004</v>
      </c>
      <c r="D4651" s="1" t="str">
        <f>"512625512"</f>
        <v>512625512</v>
      </c>
      <c r="E4651" s="1">
        <v>90.5</v>
      </c>
      <c r="F4651" s="1">
        <v>71</v>
      </c>
      <c r="H4651" s="1">
        <v>82.7</v>
      </c>
    </row>
    <row r="4652" s="1" customFormat="1" spans="1:8">
      <c r="A4652" s="1" t="s">
        <v>46</v>
      </c>
      <c r="B4652" s="1" t="s">
        <v>50</v>
      </c>
      <c r="C4652" s="1" t="str">
        <f t="shared" si="112"/>
        <v>020004</v>
      </c>
      <c r="D4652" s="1" t="str">
        <f>"512625513"</f>
        <v>512625513</v>
      </c>
      <c r="E4652" s="1">
        <v>87.5</v>
      </c>
      <c r="F4652" s="1">
        <v>77</v>
      </c>
      <c r="H4652" s="1">
        <v>83.3</v>
      </c>
    </row>
    <row r="4653" s="1" customFormat="1" spans="1:8">
      <c r="A4653" s="1" t="s">
        <v>46</v>
      </c>
      <c r="B4653" s="1" t="s">
        <v>50</v>
      </c>
      <c r="C4653" s="1" t="str">
        <f t="shared" si="112"/>
        <v>020004</v>
      </c>
      <c r="D4653" s="1" t="str">
        <f>"512625514"</f>
        <v>512625514</v>
      </c>
      <c r="E4653" s="1">
        <v>96.5</v>
      </c>
      <c r="F4653" s="1">
        <v>70.5</v>
      </c>
      <c r="H4653" s="1">
        <v>86.1</v>
      </c>
    </row>
    <row r="4654" s="1" customFormat="1" spans="1:8">
      <c r="A4654" s="1" t="s">
        <v>46</v>
      </c>
      <c r="B4654" s="1" t="s">
        <v>50</v>
      </c>
      <c r="C4654" s="1" t="str">
        <f t="shared" si="112"/>
        <v>020004</v>
      </c>
      <c r="D4654" s="1" t="str">
        <f>"512625515"</f>
        <v>512625515</v>
      </c>
      <c r="E4654" s="1">
        <v>0</v>
      </c>
      <c r="F4654" s="1">
        <v>0</v>
      </c>
      <c r="H4654" s="1">
        <v>0</v>
      </c>
    </row>
    <row r="4655" s="1" customFormat="1" spans="1:8">
      <c r="A4655" s="1" t="s">
        <v>46</v>
      </c>
      <c r="B4655" s="1" t="s">
        <v>50</v>
      </c>
      <c r="C4655" s="1" t="str">
        <f t="shared" si="112"/>
        <v>020004</v>
      </c>
      <c r="D4655" s="1" t="str">
        <f>"512625516"</f>
        <v>512625516</v>
      </c>
      <c r="E4655" s="1">
        <v>0</v>
      </c>
      <c r="F4655" s="1">
        <v>0</v>
      </c>
      <c r="H4655" s="1">
        <v>0</v>
      </c>
    </row>
    <row r="4656" s="1" customFormat="1" spans="1:8">
      <c r="A4656" s="1" t="s">
        <v>46</v>
      </c>
      <c r="B4656" s="1" t="s">
        <v>50</v>
      </c>
      <c r="C4656" s="1" t="str">
        <f t="shared" si="112"/>
        <v>020004</v>
      </c>
      <c r="D4656" s="1" t="str">
        <f>"512625517"</f>
        <v>512625517</v>
      </c>
      <c r="E4656" s="1">
        <v>102.5</v>
      </c>
      <c r="F4656" s="1">
        <v>75.5</v>
      </c>
      <c r="H4656" s="1">
        <v>91.7</v>
      </c>
    </row>
    <row r="4657" s="1" customFormat="1" spans="1:8">
      <c r="A4657" s="1" t="s">
        <v>46</v>
      </c>
      <c r="B4657" s="1" t="s">
        <v>50</v>
      </c>
      <c r="C4657" s="1" t="str">
        <f t="shared" si="112"/>
        <v>020004</v>
      </c>
      <c r="D4657" s="1" t="str">
        <f>"512625518"</f>
        <v>512625518</v>
      </c>
      <c r="E4657" s="1">
        <v>103</v>
      </c>
      <c r="F4657" s="1">
        <v>78.5</v>
      </c>
      <c r="H4657" s="1">
        <v>93.2</v>
      </c>
    </row>
    <row r="4658" s="1" customFormat="1" spans="1:8">
      <c r="A4658" s="1" t="s">
        <v>46</v>
      </c>
      <c r="B4658" s="1" t="s">
        <v>50</v>
      </c>
      <c r="C4658" s="1" t="str">
        <f t="shared" si="112"/>
        <v>020004</v>
      </c>
      <c r="D4658" s="1" t="str">
        <f>"512625519"</f>
        <v>512625519</v>
      </c>
      <c r="E4658" s="1">
        <v>99</v>
      </c>
      <c r="F4658" s="1">
        <v>76</v>
      </c>
      <c r="H4658" s="1">
        <v>89.8</v>
      </c>
    </row>
    <row r="4659" s="1" customFormat="1" spans="1:8">
      <c r="A4659" s="1" t="s">
        <v>46</v>
      </c>
      <c r="B4659" s="1" t="s">
        <v>50</v>
      </c>
      <c r="C4659" s="1" t="str">
        <f t="shared" si="112"/>
        <v>020004</v>
      </c>
      <c r="D4659" s="1" t="str">
        <f>"512625520"</f>
        <v>512625520</v>
      </c>
      <c r="E4659" s="1">
        <v>101.5</v>
      </c>
      <c r="F4659" s="1">
        <v>79.5</v>
      </c>
      <c r="H4659" s="1">
        <v>92.7</v>
      </c>
    </row>
    <row r="4660" s="1" customFormat="1" spans="1:8">
      <c r="A4660" s="1" t="s">
        <v>46</v>
      </c>
      <c r="B4660" s="1" t="s">
        <v>50</v>
      </c>
      <c r="C4660" s="1" t="str">
        <f t="shared" si="112"/>
        <v>020004</v>
      </c>
      <c r="D4660" s="1" t="str">
        <f>"512625521"</f>
        <v>512625521</v>
      </c>
      <c r="E4660" s="1">
        <v>0</v>
      </c>
      <c r="F4660" s="1">
        <v>0</v>
      </c>
      <c r="H4660" s="1">
        <v>0</v>
      </c>
    </row>
    <row r="4661" s="1" customFormat="1" spans="1:8">
      <c r="A4661" s="1" t="s">
        <v>46</v>
      </c>
      <c r="B4661" s="1" t="s">
        <v>50</v>
      </c>
      <c r="C4661" s="1" t="str">
        <f t="shared" si="112"/>
        <v>020004</v>
      </c>
      <c r="D4661" s="1" t="str">
        <f>"512625522"</f>
        <v>512625522</v>
      </c>
      <c r="E4661" s="1">
        <v>108</v>
      </c>
      <c r="F4661" s="1">
        <v>79</v>
      </c>
      <c r="H4661" s="1">
        <v>96.4</v>
      </c>
    </row>
    <row r="4662" s="1" customFormat="1" spans="1:8">
      <c r="A4662" s="1" t="s">
        <v>46</v>
      </c>
      <c r="B4662" s="1" t="s">
        <v>50</v>
      </c>
      <c r="C4662" s="1" t="str">
        <f t="shared" si="112"/>
        <v>020004</v>
      </c>
      <c r="D4662" s="1" t="str">
        <f>"512625523"</f>
        <v>512625523</v>
      </c>
      <c r="E4662" s="1">
        <v>0</v>
      </c>
      <c r="F4662" s="1">
        <v>0</v>
      </c>
      <c r="H4662" s="1">
        <v>0</v>
      </c>
    </row>
    <row r="4663" s="1" customFormat="1" spans="1:8">
      <c r="A4663" s="1" t="s">
        <v>46</v>
      </c>
      <c r="B4663" s="1" t="s">
        <v>50</v>
      </c>
      <c r="C4663" s="1" t="str">
        <f t="shared" si="112"/>
        <v>020004</v>
      </c>
      <c r="D4663" s="1" t="str">
        <f>"512625524"</f>
        <v>512625524</v>
      </c>
      <c r="E4663" s="1">
        <v>90</v>
      </c>
      <c r="F4663" s="1">
        <v>71</v>
      </c>
      <c r="H4663" s="1">
        <v>82.4</v>
      </c>
    </row>
    <row r="4664" s="1" customFormat="1" spans="1:8">
      <c r="A4664" s="1" t="s">
        <v>46</v>
      </c>
      <c r="B4664" s="1" t="s">
        <v>50</v>
      </c>
      <c r="C4664" s="1" t="str">
        <f t="shared" si="112"/>
        <v>020004</v>
      </c>
      <c r="D4664" s="1" t="str">
        <f>"512625525"</f>
        <v>512625525</v>
      </c>
      <c r="E4664" s="1">
        <v>73.5</v>
      </c>
      <c r="F4664" s="1">
        <v>0</v>
      </c>
      <c r="H4664" s="1">
        <v>44.1</v>
      </c>
    </row>
    <row r="4665" s="1" customFormat="1" spans="1:8">
      <c r="A4665" s="1" t="s">
        <v>46</v>
      </c>
      <c r="B4665" s="1" t="s">
        <v>50</v>
      </c>
      <c r="C4665" s="1" t="str">
        <f t="shared" si="112"/>
        <v>020004</v>
      </c>
      <c r="D4665" s="1" t="str">
        <f>"512625526"</f>
        <v>512625526</v>
      </c>
      <c r="E4665" s="1">
        <v>83</v>
      </c>
      <c r="F4665" s="1">
        <v>74.5</v>
      </c>
      <c r="H4665" s="1">
        <v>79.6</v>
      </c>
    </row>
    <row r="4666" s="1" customFormat="1" spans="1:8">
      <c r="A4666" s="1" t="s">
        <v>46</v>
      </c>
      <c r="B4666" s="1" t="s">
        <v>50</v>
      </c>
      <c r="C4666" s="1" t="str">
        <f t="shared" si="112"/>
        <v>020004</v>
      </c>
      <c r="D4666" s="1" t="str">
        <f>"512625527"</f>
        <v>512625527</v>
      </c>
      <c r="E4666" s="1">
        <v>0</v>
      </c>
      <c r="F4666" s="1">
        <v>0</v>
      </c>
      <c r="H4666" s="1">
        <v>0</v>
      </c>
    </row>
    <row r="4667" s="1" customFormat="1" spans="1:8">
      <c r="A4667" s="1" t="s">
        <v>31</v>
      </c>
      <c r="B4667" s="1" t="s">
        <v>51</v>
      </c>
      <c r="C4667" s="1" t="str">
        <f t="shared" ref="C4667:C4722" si="113">"020013"</f>
        <v>020013</v>
      </c>
      <c r="D4667" s="1" t="str">
        <f>"512625528"</f>
        <v>512625528</v>
      </c>
      <c r="E4667" s="1">
        <v>86.5</v>
      </c>
      <c r="F4667" s="1">
        <v>66</v>
      </c>
      <c r="H4667" s="1">
        <v>78.3</v>
      </c>
    </row>
    <row r="4668" s="1" customFormat="1" spans="1:8">
      <c r="A4668" s="1" t="s">
        <v>31</v>
      </c>
      <c r="B4668" s="1" t="s">
        <v>51</v>
      </c>
      <c r="C4668" s="1" t="str">
        <f t="shared" si="113"/>
        <v>020013</v>
      </c>
      <c r="D4668" s="1" t="str">
        <f>"512625529"</f>
        <v>512625529</v>
      </c>
      <c r="E4668" s="1">
        <v>73.5</v>
      </c>
      <c r="F4668" s="1">
        <v>79</v>
      </c>
      <c r="H4668" s="1">
        <v>75.7</v>
      </c>
    </row>
    <row r="4669" s="1" customFormat="1" spans="1:8">
      <c r="A4669" s="1" t="s">
        <v>31</v>
      </c>
      <c r="B4669" s="1" t="s">
        <v>51</v>
      </c>
      <c r="C4669" s="1" t="str">
        <f t="shared" si="113"/>
        <v>020013</v>
      </c>
      <c r="D4669" s="1" t="str">
        <f>"512625530"</f>
        <v>512625530</v>
      </c>
      <c r="E4669" s="1">
        <v>88</v>
      </c>
      <c r="F4669" s="1">
        <v>71</v>
      </c>
      <c r="H4669" s="1">
        <v>81.2</v>
      </c>
    </row>
    <row r="4670" s="1" customFormat="1" spans="1:8">
      <c r="A4670" s="1" t="s">
        <v>31</v>
      </c>
      <c r="B4670" s="1" t="s">
        <v>51</v>
      </c>
      <c r="C4670" s="1" t="str">
        <f t="shared" si="113"/>
        <v>020013</v>
      </c>
      <c r="D4670" s="1" t="str">
        <f>"512625601"</f>
        <v>512625601</v>
      </c>
      <c r="E4670" s="1">
        <v>96</v>
      </c>
      <c r="F4670" s="1">
        <v>83</v>
      </c>
      <c r="H4670" s="1">
        <v>90.8</v>
      </c>
    </row>
    <row r="4671" s="1" customFormat="1" spans="1:8">
      <c r="A4671" s="1" t="s">
        <v>31</v>
      </c>
      <c r="B4671" s="1" t="s">
        <v>51</v>
      </c>
      <c r="C4671" s="1" t="str">
        <f t="shared" si="113"/>
        <v>020013</v>
      </c>
      <c r="D4671" s="1" t="str">
        <f>"512625602"</f>
        <v>512625602</v>
      </c>
      <c r="E4671" s="1">
        <v>100</v>
      </c>
      <c r="F4671" s="1">
        <v>88.5</v>
      </c>
      <c r="H4671" s="1">
        <v>95.4</v>
      </c>
    </row>
    <row r="4672" s="1" customFormat="1" spans="1:8">
      <c r="A4672" s="1" t="s">
        <v>31</v>
      </c>
      <c r="B4672" s="1" t="s">
        <v>51</v>
      </c>
      <c r="C4672" s="1" t="str">
        <f t="shared" si="113"/>
        <v>020013</v>
      </c>
      <c r="D4672" s="1" t="str">
        <f>"512625603"</f>
        <v>512625603</v>
      </c>
      <c r="E4672" s="1">
        <v>94</v>
      </c>
      <c r="F4672" s="1">
        <v>61.5</v>
      </c>
      <c r="H4672" s="1">
        <v>81</v>
      </c>
    </row>
    <row r="4673" s="1" customFormat="1" spans="1:8">
      <c r="A4673" s="1" t="s">
        <v>31</v>
      </c>
      <c r="B4673" s="1" t="s">
        <v>51</v>
      </c>
      <c r="C4673" s="1" t="str">
        <f t="shared" si="113"/>
        <v>020013</v>
      </c>
      <c r="D4673" s="1" t="str">
        <f>"512625604"</f>
        <v>512625604</v>
      </c>
      <c r="E4673" s="1">
        <v>90.5</v>
      </c>
      <c r="F4673" s="1">
        <v>78.5</v>
      </c>
      <c r="H4673" s="1">
        <v>85.7</v>
      </c>
    </row>
    <row r="4674" s="1" customFormat="1" spans="1:8">
      <c r="A4674" s="1" t="s">
        <v>31</v>
      </c>
      <c r="B4674" s="1" t="s">
        <v>51</v>
      </c>
      <c r="C4674" s="1" t="str">
        <f t="shared" si="113"/>
        <v>020013</v>
      </c>
      <c r="D4674" s="1" t="str">
        <f>"512625605"</f>
        <v>512625605</v>
      </c>
      <c r="E4674" s="1">
        <v>0</v>
      </c>
      <c r="F4674" s="1">
        <v>0</v>
      </c>
      <c r="H4674" s="1">
        <v>0</v>
      </c>
    </row>
    <row r="4675" s="1" customFormat="1" spans="1:8">
      <c r="A4675" s="1" t="s">
        <v>31</v>
      </c>
      <c r="B4675" s="1" t="s">
        <v>51</v>
      </c>
      <c r="C4675" s="1" t="str">
        <f t="shared" si="113"/>
        <v>020013</v>
      </c>
      <c r="D4675" s="1" t="str">
        <f>"512625606"</f>
        <v>512625606</v>
      </c>
      <c r="E4675" s="1">
        <v>93.5</v>
      </c>
      <c r="F4675" s="1">
        <v>60</v>
      </c>
      <c r="H4675" s="1">
        <v>80.1</v>
      </c>
    </row>
    <row r="4676" s="1" customFormat="1" spans="1:8">
      <c r="A4676" s="1" t="s">
        <v>31</v>
      </c>
      <c r="B4676" s="1" t="s">
        <v>51</v>
      </c>
      <c r="C4676" s="1" t="str">
        <f t="shared" si="113"/>
        <v>020013</v>
      </c>
      <c r="D4676" s="1" t="str">
        <f>"512625607"</f>
        <v>512625607</v>
      </c>
      <c r="E4676" s="1">
        <v>81.5</v>
      </c>
      <c r="F4676" s="1">
        <v>63.5</v>
      </c>
      <c r="H4676" s="1">
        <v>74.3</v>
      </c>
    </row>
    <row r="4677" s="1" customFormat="1" spans="1:8">
      <c r="A4677" s="1" t="s">
        <v>31</v>
      </c>
      <c r="B4677" s="1" t="s">
        <v>51</v>
      </c>
      <c r="C4677" s="1" t="str">
        <f t="shared" si="113"/>
        <v>020013</v>
      </c>
      <c r="D4677" s="1" t="str">
        <f>"512625608"</f>
        <v>512625608</v>
      </c>
      <c r="E4677" s="1">
        <v>86</v>
      </c>
      <c r="F4677" s="1">
        <v>63</v>
      </c>
      <c r="H4677" s="1">
        <v>76.8</v>
      </c>
    </row>
    <row r="4678" s="1" customFormat="1" spans="1:8">
      <c r="A4678" s="1" t="s">
        <v>31</v>
      </c>
      <c r="B4678" s="1" t="s">
        <v>51</v>
      </c>
      <c r="C4678" s="1" t="str">
        <f t="shared" si="113"/>
        <v>020013</v>
      </c>
      <c r="D4678" s="1" t="str">
        <f>"512625609"</f>
        <v>512625609</v>
      </c>
      <c r="E4678" s="1">
        <v>0</v>
      </c>
      <c r="F4678" s="1">
        <v>0</v>
      </c>
      <c r="H4678" s="1">
        <v>0</v>
      </c>
    </row>
    <row r="4679" s="1" customFormat="1" spans="1:8">
      <c r="A4679" s="1" t="s">
        <v>31</v>
      </c>
      <c r="B4679" s="1" t="s">
        <v>51</v>
      </c>
      <c r="C4679" s="1" t="str">
        <f t="shared" si="113"/>
        <v>020013</v>
      </c>
      <c r="D4679" s="1" t="str">
        <f>"512625610"</f>
        <v>512625610</v>
      </c>
      <c r="E4679" s="1">
        <v>87.5</v>
      </c>
      <c r="F4679" s="1">
        <v>62</v>
      </c>
      <c r="H4679" s="1">
        <v>77.3</v>
      </c>
    </row>
    <row r="4680" s="1" customFormat="1" spans="1:8">
      <c r="A4680" s="1" t="s">
        <v>31</v>
      </c>
      <c r="B4680" s="1" t="s">
        <v>51</v>
      </c>
      <c r="C4680" s="1" t="str">
        <f t="shared" si="113"/>
        <v>020013</v>
      </c>
      <c r="D4680" s="1" t="str">
        <f>"512625611"</f>
        <v>512625611</v>
      </c>
      <c r="E4680" s="1">
        <v>104</v>
      </c>
      <c r="F4680" s="1">
        <v>92.5</v>
      </c>
      <c r="H4680" s="1">
        <v>99.4</v>
      </c>
    </row>
    <row r="4681" s="1" customFormat="1" spans="1:8">
      <c r="A4681" s="1" t="s">
        <v>31</v>
      </c>
      <c r="B4681" s="1" t="s">
        <v>51</v>
      </c>
      <c r="C4681" s="1" t="str">
        <f t="shared" si="113"/>
        <v>020013</v>
      </c>
      <c r="D4681" s="1" t="str">
        <f>"512625612"</f>
        <v>512625612</v>
      </c>
      <c r="E4681" s="1">
        <v>68</v>
      </c>
      <c r="F4681" s="1">
        <v>72.5</v>
      </c>
      <c r="H4681" s="1">
        <v>69.8</v>
      </c>
    </row>
    <row r="4682" s="1" customFormat="1" spans="1:8">
      <c r="A4682" s="1" t="s">
        <v>31</v>
      </c>
      <c r="B4682" s="1" t="s">
        <v>51</v>
      </c>
      <c r="C4682" s="1" t="str">
        <f t="shared" si="113"/>
        <v>020013</v>
      </c>
      <c r="D4682" s="1" t="str">
        <f>"512625613"</f>
        <v>512625613</v>
      </c>
      <c r="E4682" s="1">
        <v>100</v>
      </c>
      <c r="F4682" s="1">
        <v>90.5</v>
      </c>
      <c r="H4682" s="1">
        <v>96.2</v>
      </c>
    </row>
    <row r="4683" s="1" customFormat="1" spans="1:8">
      <c r="A4683" s="1" t="s">
        <v>31</v>
      </c>
      <c r="B4683" s="1" t="s">
        <v>51</v>
      </c>
      <c r="C4683" s="1" t="str">
        <f t="shared" si="113"/>
        <v>020013</v>
      </c>
      <c r="D4683" s="1" t="str">
        <f>"512625614"</f>
        <v>512625614</v>
      </c>
      <c r="E4683" s="1">
        <v>92.5</v>
      </c>
      <c r="F4683" s="1">
        <v>67</v>
      </c>
      <c r="H4683" s="1">
        <v>82.3</v>
      </c>
    </row>
    <row r="4684" s="1" customFormat="1" spans="1:8">
      <c r="A4684" s="1" t="s">
        <v>31</v>
      </c>
      <c r="B4684" s="1" t="s">
        <v>51</v>
      </c>
      <c r="C4684" s="1" t="str">
        <f t="shared" si="113"/>
        <v>020013</v>
      </c>
      <c r="D4684" s="1" t="str">
        <f>"512625615"</f>
        <v>512625615</v>
      </c>
      <c r="E4684" s="1">
        <v>77.5</v>
      </c>
      <c r="F4684" s="1">
        <v>63.5</v>
      </c>
      <c r="H4684" s="1">
        <v>71.9</v>
      </c>
    </row>
    <row r="4685" s="1" customFormat="1" spans="1:8">
      <c r="A4685" s="1" t="s">
        <v>31</v>
      </c>
      <c r="B4685" s="1" t="s">
        <v>51</v>
      </c>
      <c r="C4685" s="1" t="str">
        <f t="shared" si="113"/>
        <v>020013</v>
      </c>
      <c r="D4685" s="1" t="str">
        <f>"512625616"</f>
        <v>512625616</v>
      </c>
      <c r="E4685" s="1">
        <v>81.5</v>
      </c>
      <c r="F4685" s="1">
        <v>70</v>
      </c>
      <c r="H4685" s="1">
        <v>76.9</v>
      </c>
    </row>
    <row r="4686" s="1" customFormat="1" spans="1:8">
      <c r="A4686" s="1" t="s">
        <v>31</v>
      </c>
      <c r="B4686" s="1" t="s">
        <v>51</v>
      </c>
      <c r="C4686" s="1" t="str">
        <f t="shared" si="113"/>
        <v>020013</v>
      </c>
      <c r="D4686" s="1" t="str">
        <f>"512625617"</f>
        <v>512625617</v>
      </c>
      <c r="E4686" s="1">
        <v>92.5</v>
      </c>
      <c r="F4686" s="1">
        <v>86.5</v>
      </c>
      <c r="H4686" s="1">
        <v>90.1</v>
      </c>
    </row>
    <row r="4687" s="1" customFormat="1" spans="1:8">
      <c r="A4687" s="1" t="s">
        <v>31</v>
      </c>
      <c r="B4687" s="1" t="s">
        <v>51</v>
      </c>
      <c r="C4687" s="1" t="str">
        <f t="shared" si="113"/>
        <v>020013</v>
      </c>
      <c r="D4687" s="1" t="str">
        <f>"512625618"</f>
        <v>512625618</v>
      </c>
      <c r="E4687" s="1">
        <v>94.5</v>
      </c>
      <c r="F4687" s="1">
        <v>72.5</v>
      </c>
      <c r="H4687" s="1">
        <v>85.7</v>
      </c>
    </row>
    <row r="4688" s="1" customFormat="1" spans="1:8">
      <c r="A4688" s="1" t="s">
        <v>31</v>
      </c>
      <c r="B4688" s="1" t="s">
        <v>51</v>
      </c>
      <c r="C4688" s="1" t="str">
        <f t="shared" si="113"/>
        <v>020013</v>
      </c>
      <c r="D4688" s="1" t="str">
        <f>"512625619"</f>
        <v>512625619</v>
      </c>
      <c r="E4688" s="1">
        <v>101.5</v>
      </c>
      <c r="F4688" s="1">
        <v>80.5</v>
      </c>
      <c r="H4688" s="1">
        <v>93.1</v>
      </c>
    </row>
    <row r="4689" s="1" customFormat="1" spans="1:8">
      <c r="A4689" s="1" t="s">
        <v>31</v>
      </c>
      <c r="B4689" s="1" t="s">
        <v>51</v>
      </c>
      <c r="C4689" s="1" t="str">
        <f t="shared" si="113"/>
        <v>020013</v>
      </c>
      <c r="D4689" s="1" t="str">
        <f>"512625620"</f>
        <v>512625620</v>
      </c>
      <c r="E4689" s="1">
        <v>104.5</v>
      </c>
      <c r="F4689" s="1">
        <v>85</v>
      </c>
      <c r="H4689" s="1">
        <v>96.7</v>
      </c>
    </row>
    <row r="4690" s="1" customFormat="1" spans="1:8">
      <c r="A4690" s="1" t="s">
        <v>31</v>
      </c>
      <c r="B4690" s="1" t="s">
        <v>51</v>
      </c>
      <c r="C4690" s="1" t="str">
        <f t="shared" si="113"/>
        <v>020013</v>
      </c>
      <c r="D4690" s="1" t="str">
        <f>"512625621"</f>
        <v>512625621</v>
      </c>
      <c r="E4690" s="1">
        <v>85.5</v>
      </c>
      <c r="F4690" s="1">
        <v>65</v>
      </c>
      <c r="H4690" s="1">
        <v>77.3</v>
      </c>
    </row>
    <row r="4691" s="1" customFormat="1" spans="1:8">
      <c r="A4691" s="1" t="s">
        <v>31</v>
      </c>
      <c r="B4691" s="1" t="s">
        <v>51</v>
      </c>
      <c r="C4691" s="1" t="str">
        <f t="shared" si="113"/>
        <v>020013</v>
      </c>
      <c r="D4691" s="1" t="str">
        <f>"512625622"</f>
        <v>512625622</v>
      </c>
      <c r="E4691" s="1">
        <v>84.5</v>
      </c>
      <c r="F4691" s="1">
        <v>65.5</v>
      </c>
      <c r="H4691" s="1">
        <v>76.9</v>
      </c>
    </row>
    <row r="4692" s="1" customFormat="1" spans="1:8">
      <c r="A4692" s="1" t="s">
        <v>31</v>
      </c>
      <c r="B4692" s="1" t="s">
        <v>51</v>
      </c>
      <c r="C4692" s="1" t="str">
        <f t="shared" si="113"/>
        <v>020013</v>
      </c>
      <c r="D4692" s="1" t="str">
        <f>"512625623"</f>
        <v>512625623</v>
      </c>
      <c r="E4692" s="1">
        <v>97.5</v>
      </c>
      <c r="F4692" s="1">
        <v>80.5</v>
      </c>
      <c r="H4692" s="1">
        <v>90.7</v>
      </c>
    </row>
    <row r="4693" s="1" customFormat="1" spans="1:8">
      <c r="A4693" s="1" t="s">
        <v>31</v>
      </c>
      <c r="B4693" s="1" t="s">
        <v>51</v>
      </c>
      <c r="C4693" s="1" t="str">
        <f t="shared" si="113"/>
        <v>020013</v>
      </c>
      <c r="D4693" s="1" t="str">
        <f>"512625624"</f>
        <v>512625624</v>
      </c>
      <c r="E4693" s="1">
        <v>92.5</v>
      </c>
      <c r="F4693" s="1">
        <v>75.5</v>
      </c>
      <c r="H4693" s="1">
        <v>85.7</v>
      </c>
    </row>
    <row r="4694" s="1" customFormat="1" spans="1:8">
      <c r="A4694" s="1" t="s">
        <v>31</v>
      </c>
      <c r="B4694" s="1" t="s">
        <v>51</v>
      </c>
      <c r="C4694" s="1" t="str">
        <f t="shared" si="113"/>
        <v>020013</v>
      </c>
      <c r="D4694" s="1" t="str">
        <f>"512625625"</f>
        <v>512625625</v>
      </c>
      <c r="E4694" s="1">
        <v>89</v>
      </c>
      <c r="F4694" s="1">
        <v>73.5</v>
      </c>
      <c r="H4694" s="1">
        <v>82.8</v>
      </c>
    </row>
    <row r="4695" s="1" customFormat="1" spans="1:8">
      <c r="A4695" s="1" t="s">
        <v>31</v>
      </c>
      <c r="B4695" s="1" t="s">
        <v>51</v>
      </c>
      <c r="C4695" s="1" t="str">
        <f t="shared" si="113"/>
        <v>020013</v>
      </c>
      <c r="D4695" s="1" t="str">
        <f>"512625626"</f>
        <v>512625626</v>
      </c>
      <c r="E4695" s="1">
        <v>95</v>
      </c>
      <c r="F4695" s="1">
        <v>82</v>
      </c>
      <c r="H4695" s="1">
        <v>89.8</v>
      </c>
    </row>
    <row r="4696" s="1" customFormat="1" spans="1:8">
      <c r="A4696" s="1" t="s">
        <v>31</v>
      </c>
      <c r="B4696" s="1" t="s">
        <v>51</v>
      </c>
      <c r="C4696" s="1" t="str">
        <f t="shared" si="113"/>
        <v>020013</v>
      </c>
      <c r="D4696" s="1" t="str">
        <f>"512625627"</f>
        <v>512625627</v>
      </c>
      <c r="E4696" s="1">
        <v>85.5</v>
      </c>
      <c r="F4696" s="1">
        <v>64.5</v>
      </c>
      <c r="H4696" s="1">
        <v>77.1</v>
      </c>
    </row>
    <row r="4697" s="1" customFormat="1" spans="1:8">
      <c r="A4697" s="1" t="s">
        <v>31</v>
      </c>
      <c r="B4697" s="1" t="s">
        <v>51</v>
      </c>
      <c r="C4697" s="1" t="str">
        <f t="shared" si="113"/>
        <v>020013</v>
      </c>
      <c r="D4697" s="1" t="str">
        <f>"512625628"</f>
        <v>512625628</v>
      </c>
      <c r="E4697" s="1">
        <v>93.5</v>
      </c>
      <c r="F4697" s="1">
        <v>84</v>
      </c>
      <c r="H4697" s="1">
        <v>89.7</v>
      </c>
    </row>
    <row r="4698" s="1" customFormat="1" spans="1:8">
      <c r="A4698" s="1" t="s">
        <v>31</v>
      </c>
      <c r="B4698" s="1" t="s">
        <v>51</v>
      </c>
      <c r="C4698" s="1" t="str">
        <f t="shared" si="113"/>
        <v>020013</v>
      </c>
      <c r="D4698" s="1" t="str">
        <f>"512625629"</f>
        <v>512625629</v>
      </c>
      <c r="E4698" s="1">
        <v>92</v>
      </c>
      <c r="F4698" s="1">
        <v>54</v>
      </c>
      <c r="H4698" s="1">
        <v>76.8</v>
      </c>
    </row>
    <row r="4699" s="1" customFormat="1" spans="1:8">
      <c r="A4699" s="1" t="s">
        <v>31</v>
      </c>
      <c r="B4699" s="1" t="s">
        <v>51</v>
      </c>
      <c r="C4699" s="1" t="str">
        <f t="shared" si="113"/>
        <v>020013</v>
      </c>
      <c r="D4699" s="1" t="str">
        <f>"512625630"</f>
        <v>512625630</v>
      </c>
      <c r="E4699" s="1">
        <v>89.5</v>
      </c>
      <c r="F4699" s="1">
        <v>72.5</v>
      </c>
      <c r="H4699" s="1">
        <v>82.7</v>
      </c>
    </row>
    <row r="4700" s="1" customFormat="1" spans="1:8">
      <c r="A4700" s="1" t="s">
        <v>31</v>
      </c>
      <c r="B4700" s="1" t="s">
        <v>51</v>
      </c>
      <c r="C4700" s="1" t="str">
        <f t="shared" si="113"/>
        <v>020013</v>
      </c>
      <c r="D4700" s="1" t="str">
        <f>"512625701"</f>
        <v>512625701</v>
      </c>
      <c r="E4700" s="1">
        <v>97</v>
      </c>
      <c r="F4700" s="1">
        <v>86</v>
      </c>
      <c r="H4700" s="1">
        <v>92.6</v>
      </c>
    </row>
    <row r="4701" s="1" customFormat="1" spans="1:8">
      <c r="A4701" s="1" t="s">
        <v>31</v>
      </c>
      <c r="B4701" s="1" t="s">
        <v>51</v>
      </c>
      <c r="C4701" s="1" t="str">
        <f t="shared" si="113"/>
        <v>020013</v>
      </c>
      <c r="D4701" s="1" t="str">
        <f>"512625702"</f>
        <v>512625702</v>
      </c>
      <c r="E4701" s="1">
        <v>98</v>
      </c>
      <c r="F4701" s="1">
        <v>82</v>
      </c>
      <c r="H4701" s="1">
        <v>91.6</v>
      </c>
    </row>
    <row r="4702" s="1" customFormat="1" spans="1:8">
      <c r="A4702" s="1" t="s">
        <v>31</v>
      </c>
      <c r="B4702" s="1" t="s">
        <v>51</v>
      </c>
      <c r="C4702" s="1" t="str">
        <f t="shared" si="113"/>
        <v>020013</v>
      </c>
      <c r="D4702" s="1" t="str">
        <f>"512625703"</f>
        <v>512625703</v>
      </c>
      <c r="E4702" s="1">
        <v>0</v>
      </c>
      <c r="F4702" s="1">
        <v>0</v>
      </c>
      <c r="H4702" s="1">
        <v>0</v>
      </c>
    </row>
    <row r="4703" s="1" customFormat="1" spans="1:8">
      <c r="A4703" s="1" t="s">
        <v>31</v>
      </c>
      <c r="B4703" s="1" t="s">
        <v>51</v>
      </c>
      <c r="C4703" s="1" t="str">
        <f t="shared" si="113"/>
        <v>020013</v>
      </c>
      <c r="D4703" s="1" t="str">
        <f>"512625704"</f>
        <v>512625704</v>
      </c>
      <c r="E4703" s="1">
        <v>86.5</v>
      </c>
      <c r="F4703" s="1">
        <v>75</v>
      </c>
      <c r="H4703" s="1">
        <v>81.9</v>
      </c>
    </row>
    <row r="4704" s="1" customFormat="1" spans="1:8">
      <c r="A4704" s="1" t="s">
        <v>31</v>
      </c>
      <c r="B4704" s="1" t="s">
        <v>51</v>
      </c>
      <c r="C4704" s="1" t="str">
        <f t="shared" si="113"/>
        <v>020013</v>
      </c>
      <c r="D4704" s="1" t="str">
        <f>"512625705"</f>
        <v>512625705</v>
      </c>
      <c r="E4704" s="1">
        <v>77</v>
      </c>
      <c r="F4704" s="1">
        <v>62</v>
      </c>
      <c r="H4704" s="1">
        <v>71</v>
      </c>
    </row>
    <row r="4705" s="1" customFormat="1" spans="1:8">
      <c r="A4705" s="1" t="s">
        <v>31</v>
      </c>
      <c r="B4705" s="1" t="s">
        <v>51</v>
      </c>
      <c r="C4705" s="1" t="str">
        <f t="shared" si="113"/>
        <v>020013</v>
      </c>
      <c r="D4705" s="1" t="str">
        <f>"512625706"</f>
        <v>512625706</v>
      </c>
      <c r="E4705" s="1">
        <v>82</v>
      </c>
      <c r="F4705" s="1">
        <v>59</v>
      </c>
      <c r="H4705" s="1">
        <v>72.8</v>
      </c>
    </row>
    <row r="4706" s="1" customFormat="1" spans="1:8">
      <c r="A4706" s="1" t="s">
        <v>31</v>
      </c>
      <c r="B4706" s="1" t="s">
        <v>51</v>
      </c>
      <c r="C4706" s="1" t="str">
        <f t="shared" si="113"/>
        <v>020013</v>
      </c>
      <c r="D4706" s="1" t="str">
        <f>"512625707"</f>
        <v>512625707</v>
      </c>
      <c r="E4706" s="1">
        <v>0</v>
      </c>
      <c r="F4706" s="1">
        <v>0</v>
      </c>
      <c r="H4706" s="1">
        <v>0</v>
      </c>
    </row>
    <row r="4707" s="1" customFormat="1" spans="1:8">
      <c r="A4707" s="1" t="s">
        <v>31</v>
      </c>
      <c r="B4707" s="1" t="s">
        <v>51</v>
      </c>
      <c r="C4707" s="1" t="str">
        <f t="shared" si="113"/>
        <v>020013</v>
      </c>
      <c r="D4707" s="1" t="str">
        <f>"512625708"</f>
        <v>512625708</v>
      </c>
      <c r="E4707" s="1">
        <v>93</v>
      </c>
      <c r="F4707" s="1">
        <v>75.5</v>
      </c>
      <c r="H4707" s="1">
        <v>86</v>
      </c>
    </row>
    <row r="4708" s="1" customFormat="1" spans="1:8">
      <c r="A4708" s="1" t="s">
        <v>31</v>
      </c>
      <c r="B4708" s="1" t="s">
        <v>51</v>
      </c>
      <c r="C4708" s="1" t="str">
        <f t="shared" si="113"/>
        <v>020013</v>
      </c>
      <c r="D4708" s="1" t="str">
        <f>"512625709"</f>
        <v>512625709</v>
      </c>
      <c r="E4708" s="1">
        <v>89</v>
      </c>
      <c r="F4708" s="1">
        <v>69.5</v>
      </c>
      <c r="H4708" s="1">
        <v>81.2</v>
      </c>
    </row>
    <row r="4709" s="1" customFormat="1" spans="1:8">
      <c r="A4709" s="1" t="s">
        <v>31</v>
      </c>
      <c r="B4709" s="1" t="s">
        <v>51</v>
      </c>
      <c r="C4709" s="1" t="str">
        <f t="shared" si="113"/>
        <v>020013</v>
      </c>
      <c r="D4709" s="1" t="str">
        <f>"512625710"</f>
        <v>512625710</v>
      </c>
      <c r="E4709" s="1">
        <v>88</v>
      </c>
      <c r="F4709" s="1">
        <v>78</v>
      </c>
      <c r="H4709" s="1">
        <v>84</v>
      </c>
    </row>
    <row r="4710" s="1" customFormat="1" spans="1:8">
      <c r="A4710" s="1" t="s">
        <v>31</v>
      </c>
      <c r="B4710" s="1" t="s">
        <v>51</v>
      </c>
      <c r="C4710" s="1" t="str">
        <f t="shared" si="113"/>
        <v>020013</v>
      </c>
      <c r="D4710" s="1" t="str">
        <f>"512625711"</f>
        <v>512625711</v>
      </c>
      <c r="E4710" s="1">
        <v>0</v>
      </c>
      <c r="F4710" s="1">
        <v>0</v>
      </c>
      <c r="H4710" s="1">
        <v>0</v>
      </c>
    </row>
    <row r="4711" s="1" customFormat="1" spans="1:8">
      <c r="A4711" s="1" t="s">
        <v>31</v>
      </c>
      <c r="B4711" s="1" t="s">
        <v>51</v>
      </c>
      <c r="C4711" s="1" t="str">
        <f t="shared" si="113"/>
        <v>020013</v>
      </c>
      <c r="D4711" s="1" t="str">
        <f>"512625712"</f>
        <v>512625712</v>
      </c>
      <c r="E4711" s="1">
        <v>0</v>
      </c>
      <c r="F4711" s="1">
        <v>0</v>
      </c>
      <c r="H4711" s="1">
        <v>0</v>
      </c>
    </row>
    <row r="4712" s="1" customFormat="1" spans="1:8">
      <c r="A4712" s="1" t="s">
        <v>31</v>
      </c>
      <c r="B4712" s="1" t="s">
        <v>51</v>
      </c>
      <c r="C4712" s="1" t="str">
        <f t="shared" si="113"/>
        <v>020013</v>
      </c>
      <c r="D4712" s="1" t="str">
        <f>"512625713"</f>
        <v>512625713</v>
      </c>
      <c r="E4712" s="1">
        <v>95.5</v>
      </c>
      <c r="F4712" s="1">
        <v>93</v>
      </c>
      <c r="H4712" s="1">
        <v>94.5</v>
      </c>
    </row>
    <row r="4713" s="1" customFormat="1" spans="1:8">
      <c r="A4713" s="1" t="s">
        <v>31</v>
      </c>
      <c r="B4713" s="1" t="s">
        <v>51</v>
      </c>
      <c r="C4713" s="1" t="str">
        <f t="shared" si="113"/>
        <v>020013</v>
      </c>
      <c r="D4713" s="1" t="str">
        <f>"512625714"</f>
        <v>512625714</v>
      </c>
      <c r="E4713" s="1">
        <v>90</v>
      </c>
      <c r="F4713" s="1">
        <v>66.5</v>
      </c>
      <c r="H4713" s="1">
        <v>80.6</v>
      </c>
    </row>
    <row r="4714" s="1" customFormat="1" spans="1:8">
      <c r="A4714" s="1" t="s">
        <v>31</v>
      </c>
      <c r="B4714" s="1" t="s">
        <v>51</v>
      </c>
      <c r="C4714" s="1" t="str">
        <f t="shared" si="113"/>
        <v>020013</v>
      </c>
      <c r="D4714" s="1" t="str">
        <f>"512625715"</f>
        <v>512625715</v>
      </c>
      <c r="E4714" s="1">
        <v>98</v>
      </c>
      <c r="F4714" s="1">
        <v>67.5</v>
      </c>
      <c r="H4714" s="1">
        <v>85.8</v>
      </c>
    </row>
    <row r="4715" s="1" customFormat="1" spans="1:8">
      <c r="A4715" s="1" t="s">
        <v>31</v>
      </c>
      <c r="B4715" s="1" t="s">
        <v>51</v>
      </c>
      <c r="C4715" s="1" t="str">
        <f t="shared" si="113"/>
        <v>020013</v>
      </c>
      <c r="D4715" s="1" t="str">
        <f>"512625716"</f>
        <v>512625716</v>
      </c>
      <c r="E4715" s="1">
        <v>0</v>
      </c>
      <c r="F4715" s="1">
        <v>0</v>
      </c>
      <c r="H4715" s="1">
        <v>0</v>
      </c>
    </row>
    <row r="4716" s="1" customFormat="1" spans="1:8">
      <c r="A4716" s="1" t="s">
        <v>31</v>
      </c>
      <c r="B4716" s="1" t="s">
        <v>51</v>
      </c>
      <c r="C4716" s="1" t="str">
        <f t="shared" si="113"/>
        <v>020013</v>
      </c>
      <c r="D4716" s="1" t="str">
        <f>"512625717"</f>
        <v>512625717</v>
      </c>
      <c r="E4716" s="1">
        <v>95.5</v>
      </c>
      <c r="F4716" s="1">
        <v>93.5</v>
      </c>
      <c r="H4716" s="1">
        <v>94.7</v>
      </c>
    </row>
    <row r="4717" s="1" customFormat="1" spans="1:8">
      <c r="A4717" s="1" t="s">
        <v>31</v>
      </c>
      <c r="B4717" s="1" t="s">
        <v>51</v>
      </c>
      <c r="C4717" s="1" t="str">
        <f t="shared" si="113"/>
        <v>020013</v>
      </c>
      <c r="D4717" s="1" t="str">
        <f>"512625718"</f>
        <v>512625718</v>
      </c>
      <c r="E4717" s="1">
        <v>98.5</v>
      </c>
      <c r="F4717" s="1">
        <v>86</v>
      </c>
      <c r="H4717" s="1">
        <v>93.5</v>
      </c>
    </row>
    <row r="4718" s="1" customFormat="1" spans="1:8">
      <c r="A4718" s="1" t="s">
        <v>31</v>
      </c>
      <c r="B4718" s="1" t="s">
        <v>51</v>
      </c>
      <c r="C4718" s="1" t="str">
        <f t="shared" si="113"/>
        <v>020013</v>
      </c>
      <c r="D4718" s="1" t="str">
        <f>"512625719"</f>
        <v>512625719</v>
      </c>
      <c r="E4718" s="1">
        <v>95.5</v>
      </c>
      <c r="F4718" s="1">
        <v>65.5</v>
      </c>
      <c r="H4718" s="1">
        <v>83.5</v>
      </c>
    </row>
    <row r="4719" s="1" customFormat="1" spans="1:8">
      <c r="A4719" s="1" t="s">
        <v>31</v>
      </c>
      <c r="B4719" s="1" t="s">
        <v>51</v>
      </c>
      <c r="C4719" s="1" t="str">
        <f t="shared" si="113"/>
        <v>020013</v>
      </c>
      <c r="D4719" s="1" t="str">
        <f>"512625720"</f>
        <v>512625720</v>
      </c>
      <c r="E4719" s="1">
        <v>85.5</v>
      </c>
      <c r="F4719" s="1">
        <v>63.5</v>
      </c>
      <c r="H4719" s="1">
        <v>76.7</v>
      </c>
    </row>
    <row r="4720" s="1" customFormat="1" spans="1:8">
      <c r="A4720" s="1" t="s">
        <v>31</v>
      </c>
      <c r="B4720" s="1" t="s">
        <v>51</v>
      </c>
      <c r="C4720" s="1" t="str">
        <f t="shared" si="113"/>
        <v>020013</v>
      </c>
      <c r="D4720" s="1" t="str">
        <f>"512625721"</f>
        <v>512625721</v>
      </c>
      <c r="E4720" s="1">
        <v>0</v>
      </c>
      <c r="F4720" s="1">
        <v>0</v>
      </c>
      <c r="H4720" s="1">
        <v>0</v>
      </c>
    </row>
    <row r="4721" s="1" customFormat="1" spans="1:8">
      <c r="A4721" s="1" t="s">
        <v>31</v>
      </c>
      <c r="B4721" s="1" t="s">
        <v>51</v>
      </c>
      <c r="C4721" s="1" t="str">
        <f t="shared" si="113"/>
        <v>020013</v>
      </c>
      <c r="D4721" s="1" t="str">
        <f>"512625722"</f>
        <v>512625722</v>
      </c>
      <c r="E4721" s="1">
        <v>0</v>
      </c>
      <c r="F4721" s="1">
        <v>0</v>
      </c>
      <c r="H4721" s="1">
        <v>0</v>
      </c>
    </row>
    <row r="4722" s="1" customFormat="1" spans="1:8">
      <c r="A4722" s="1" t="s">
        <v>31</v>
      </c>
      <c r="B4722" s="1" t="s">
        <v>51</v>
      </c>
      <c r="C4722" s="1" t="str">
        <f t="shared" si="113"/>
        <v>020013</v>
      </c>
      <c r="D4722" s="1" t="str">
        <f>"512625723"</f>
        <v>512625723</v>
      </c>
      <c r="E4722" s="1">
        <v>82.5</v>
      </c>
      <c r="F4722" s="1">
        <v>88.5</v>
      </c>
      <c r="H4722" s="1">
        <v>84.9</v>
      </c>
    </row>
    <row r="4723" s="1" customFormat="1" spans="1:8">
      <c r="A4723" s="1" t="s">
        <v>32</v>
      </c>
      <c r="B4723" s="1" t="s">
        <v>51</v>
      </c>
      <c r="C4723" s="1" t="str">
        <f t="shared" ref="C4723:C4786" si="114">"020017"</f>
        <v>020017</v>
      </c>
      <c r="D4723" s="1" t="str">
        <f>"512625724"</f>
        <v>512625724</v>
      </c>
      <c r="E4723" s="1">
        <v>100</v>
      </c>
      <c r="F4723" s="1">
        <v>68.5</v>
      </c>
      <c r="H4723" s="1">
        <v>87.4</v>
      </c>
    </row>
    <row r="4724" s="1" customFormat="1" spans="1:8">
      <c r="A4724" s="1" t="s">
        <v>32</v>
      </c>
      <c r="B4724" s="1" t="s">
        <v>51</v>
      </c>
      <c r="C4724" s="1" t="str">
        <f t="shared" si="114"/>
        <v>020017</v>
      </c>
      <c r="D4724" s="1" t="str">
        <f>"512625725"</f>
        <v>512625725</v>
      </c>
      <c r="E4724" s="1">
        <v>103</v>
      </c>
      <c r="F4724" s="1">
        <v>79</v>
      </c>
      <c r="H4724" s="1">
        <v>93.4</v>
      </c>
    </row>
    <row r="4725" s="1" customFormat="1" spans="1:8">
      <c r="A4725" s="1" t="s">
        <v>32</v>
      </c>
      <c r="B4725" s="1" t="s">
        <v>51</v>
      </c>
      <c r="C4725" s="1" t="str">
        <f t="shared" si="114"/>
        <v>020017</v>
      </c>
      <c r="D4725" s="1" t="str">
        <f>"512625726"</f>
        <v>512625726</v>
      </c>
      <c r="E4725" s="1">
        <v>0</v>
      </c>
      <c r="F4725" s="1">
        <v>0</v>
      </c>
      <c r="H4725" s="1">
        <v>0</v>
      </c>
    </row>
    <row r="4726" s="1" customFormat="1" spans="1:8">
      <c r="A4726" s="1" t="s">
        <v>32</v>
      </c>
      <c r="B4726" s="1" t="s">
        <v>51</v>
      </c>
      <c r="C4726" s="1" t="str">
        <f t="shared" si="114"/>
        <v>020017</v>
      </c>
      <c r="D4726" s="1" t="str">
        <f>"512625727"</f>
        <v>512625727</v>
      </c>
      <c r="E4726" s="1">
        <v>89</v>
      </c>
      <c r="F4726" s="1">
        <v>84</v>
      </c>
      <c r="H4726" s="1">
        <v>87</v>
      </c>
    </row>
    <row r="4727" s="1" customFormat="1" spans="1:8">
      <c r="A4727" s="1" t="s">
        <v>32</v>
      </c>
      <c r="B4727" s="1" t="s">
        <v>51</v>
      </c>
      <c r="C4727" s="1" t="str">
        <f t="shared" si="114"/>
        <v>020017</v>
      </c>
      <c r="D4727" s="1" t="str">
        <f>"512625728"</f>
        <v>512625728</v>
      </c>
      <c r="E4727" s="1">
        <v>104</v>
      </c>
      <c r="F4727" s="1">
        <v>96.5</v>
      </c>
      <c r="H4727" s="1">
        <v>101</v>
      </c>
    </row>
    <row r="4728" s="1" customFormat="1" spans="1:8">
      <c r="A4728" s="1" t="s">
        <v>32</v>
      </c>
      <c r="B4728" s="1" t="s">
        <v>51</v>
      </c>
      <c r="C4728" s="1" t="str">
        <f t="shared" si="114"/>
        <v>020017</v>
      </c>
      <c r="D4728" s="1" t="str">
        <f>"512625729"</f>
        <v>512625729</v>
      </c>
      <c r="E4728" s="1">
        <v>90</v>
      </c>
      <c r="F4728" s="1">
        <v>78.5</v>
      </c>
      <c r="H4728" s="1">
        <v>85.4</v>
      </c>
    </row>
    <row r="4729" s="1" customFormat="1" spans="1:8">
      <c r="A4729" s="1" t="s">
        <v>32</v>
      </c>
      <c r="B4729" s="1" t="s">
        <v>51</v>
      </c>
      <c r="C4729" s="1" t="str">
        <f t="shared" si="114"/>
        <v>020017</v>
      </c>
      <c r="D4729" s="1" t="str">
        <f>"512625730"</f>
        <v>512625730</v>
      </c>
      <c r="E4729" s="1">
        <v>66.5</v>
      </c>
      <c r="F4729" s="1">
        <v>60.5</v>
      </c>
      <c r="H4729" s="1">
        <v>64.1</v>
      </c>
    </row>
    <row r="4730" s="1" customFormat="1" spans="1:8">
      <c r="A4730" s="1" t="s">
        <v>32</v>
      </c>
      <c r="B4730" s="1" t="s">
        <v>51</v>
      </c>
      <c r="C4730" s="1" t="str">
        <f t="shared" si="114"/>
        <v>020017</v>
      </c>
      <c r="D4730" s="1" t="str">
        <f>"512625801"</f>
        <v>512625801</v>
      </c>
      <c r="E4730" s="1">
        <v>89</v>
      </c>
      <c r="F4730" s="1">
        <v>67</v>
      </c>
      <c r="H4730" s="1">
        <v>80.2</v>
      </c>
    </row>
    <row r="4731" s="1" customFormat="1" spans="1:8">
      <c r="A4731" s="1" t="s">
        <v>32</v>
      </c>
      <c r="B4731" s="1" t="s">
        <v>51</v>
      </c>
      <c r="C4731" s="1" t="str">
        <f t="shared" si="114"/>
        <v>020017</v>
      </c>
      <c r="D4731" s="1" t="str">
        <f>"512625802"</f>
        <v>512625802</v>
      </c>
      <c r="E4731" s="1">
        <v>87</v>
      </c>
      <c r="F4731" s="1">
        <v>80.5</v>
      </c>
      <c r="H4731" s="1">
        <v>84.4</v>
      </c>
    </row>
    <row r="4732" s="1" customFormat="1" spans="1:8">
      <c r="A4732" s="1" t="s">
        <v>32</v>
      </c>
      <c r="B4732" s="1" t="s">
        <v>51</v>
      </c>
      <c r="C4732" s="1" t="str">
        <f t="shared" si="114"/>
        <v>020017</v>
      </c>
      <c r="D4732" s="1" t="str">
        <f>"512625803"</f>
        <v>512625803</v>
      </c>
      <c r="E4732" s="1">
        <v>92.5</v>
      </c>
      <c r="F4732" s="1">
        <v>87</v>
      </c>
      <c r="H4732" s="1">
        <v>90.3</v>
      </c>
    </row>
    <row r="4733" s="1" customFormat="1" spans="1:8">
      <c r="A4733" s="1" t="s">
        <v>32</v>
      </c>
      <c r="B4733" s="1" t="s">
        <v>51</v>
      </c>
      <c r="C4733" s="1" t="str">
        <f t="shared" si="114"/>
        <v>020017</v>
      </c>
      <c r="D4733" s="1" t="str">
        <f>"512625804"</f>
        <v>512625804</v>
      </c>
      <c r="E4733" s="1">
        <v>0</v>
      </c>
      <c r="F4733" s="1">
        <v>0</v>
      </c>
      <c r="H4733" s="1">
        <v>0</v>
      </c>
    </row>
    <row r="4734" s="1" customFormat="1" spans="1:8">
      <c r="A4734" s="1" t="s">
        <v>32</v>
      </c>
      <c r="B4734" s="1" t="s">
        <v>51</v>
      </c>
      <c r="C4734" s="1" t="str">
        <f t="shared" si="114"/>
        <v>020017</v>
      </c>
      <c r="D4734" s="1" t="str">
        <f>"512625805"</f>
        <v>512625805</v>
      </c>
      <c r="E4734" s="1">
        <v>89.5</v>
      </c>
      <c r="F4734" s="1">
        <v>78.5</v>
      </c>
      <c r="H4734" s="1">
        <v>85.1</v>
      </c>
    </row>
    <row r="4735" s="1" customFormat="1" spans="1:8">
      <c r="A4735" s="1" t="s">
        <v>32</v>
      </c>
      <c r="B4735" s="1" t="s">
        <v>51</v>
      </c>
      <c r="C4735" s="1" t="str">
        <f t="shared" si="114"/>
        <v>020017</v>
      </c>
      <c r="D4735" s="1" t="str">
        <f>"512625806"</f>
        <v>512625806</v>
      </c>
      <c r="E4735" s="1">
        <v>91</v>
      </c>
      <c r="F4735" s="1">
        <v>73.5</v>
      </c>
      <c r="H4735" s="1">
        <v>84</v>
      </c>
    </row>
    <row r="4736" s="1" customFormat="1" spans="1:8">
      <c r="A4736" s="1" t="s">
        <v>32</v>
      </c>
      <c r="B4736" s="1" t="s">
        <v>51</v>
      </c>
      <c r="C4736" s="1" t="str">
        <f t="shared" si="114"/>
        <v>020017</v>
      </c>
      <c r="D4736" s="1" t="str">
        <f>"512625807"</f>
        <v>512625807</v>
      </c>
      <c r="E4736" s="1">
        <v>80</v>
      </c>
      <c r="F4736" s="1">
        <v>66</v>
      </c>
      <c r="H4736" s="1">
        <v>74.4</v>
      </c>
    </row>
    <row r="4737" s="1" customFormat="1" spans="1:8">
      <c r="A4737" s="1" t="s">
        <v>32</v>
      </c>
      <c r="B4737" s="1" t="s">
        <v>51</v>
      </c>
      <c r="C4737" s="1" t="str">
        <f t="shared" si="114"/>
        <v>020017</v>
      </c>
      <c r="D4737" s="1" t="str">
        <f>"512625808"</f>
        <v>512625808</v>
      </c>
      <c r="E4737" s="1">
        <v>100</v>
      </c>
      <c r="F4737" s="1">
        <v>71.5</v>
      </c>
      <c r="H4737" s="1">
        <v>88.6</v>
      </c>
    </row>
    <row r="4738" s="1" customFormat="1" spans="1:8">
      <c r="A4738" s="1" t="s">
        <v>32</v>
      </c>
      <c r="B4738" s="1" t="s">
        <v>51</v>
      </c>
      <c r="C4738" s="1" t="str">
        <f t="shared" si="114"/>
        <v>020017</v>
      </c>
      <c r="D4738" s="1" t="str">
        <f>"512625809"</f>
        <v>512625809</v>
      </c>
      <c r="E4738" s="1">
        <v>102</v>
      </c>
      <c r="F4738" s="1">
        <v>89.5</v>
      </c>
      <c r="H4738" s="1">
        <v>97</v>
      </c>
    </row>
    <row r="4739" s="1" customFormat="1" spans="1:8">
      <c r="A4739" s="1" t="s">
        <v>32</v>
      </c>
      <c r="B4739" s="1" t="s">
        <v>51</v>
      </c>
      <c r="C4739" s="1" t="str">
        <f t="shared" si="114"/>
        <v>020017</v>
      </c>
      <c r="D4739" s="1" t="str">
        <f>"512625810"</f>
        <v>512625810</v>
      </c>
      <c r="E4739" s="1">
        <v>73</v>
      </c>
      <c r="F4739" s="1">
        <v>70.5</v>
      </c>
      <c r="H4739" s="1">
        <v>72</v>
      </c>
    </row>
    <row r="4740" s="1" customFormat="1" spans="1:8">
      <c r="A4740" s="1" t="s">
        <v>32</v>
      </c>
      <c r="B4740" s="1" t="s">
        <v>51</v>
      </c>
      <c r="C4740" s="1" t="str">
        <f t="shared" si="114"/>
        <v>020017</v>
      </c>
      <c r="D4740" s="1" t="str">
        <f>"512625811"</f>
        <v>512625811</v>
      </c>
      <c r="E4740" s="1">
        <v>92</v>
      </c>
      <c r="F4740" s="1">
        <v>65.5</v>
      </c>
      <c r="H4740" s="1">
        <v>81.4</v>
      </c>
    </row>
    <row r="4741" s="1" customFormat="1" spans="1:8">
      <c r="A4741" s="1" t="s">
        <v>32</v>
      </c>
      <c r="B4741" s="1" t="s">
        <v>51</v>
      </c>
      <c r="C4741" s="1" t="str">
        <f t="shared" si="114"/>
        <v>020017</v>
      </c>
      <c r="D4741" s="1" t="str">
        <f>"512625812"</f>
        <v>512625812</v>
      </c>
      <c r="E4741" s="1">
        <v>92</v>
      </c>
      <c r="F4741" s="1">
        <v>72</v>
      </c>
      <c r="H4741" s="1">
        <v>84</v>
      </c>
    </row>
    <row r="4742" s="1" customFormat="1" spans="1:8">
      <c r="A4742" s="1" t="s">
        <v>32</v>
      </c>
      <c r="B4742" s="1" t="s">
        <v>51</v>
      </c>
      <c r="C4742" s="1" t="str">
        <f t="shared" si="114"/>
        <v>020017</v>
      </c>
      <c r="D4742" s="1" t="str">
        <f>"512625813"</f>
        <v>512625813</v>
      </c>
      <c r="E4742" s="1">
        <v>0</v>
      </c>
      <c r="F4742" s="1">
        <v>0</v>
      </c>
      <c r="H4742" s="1">
        <v>0</v>
      </c>
    </row>
    <row r="4743" s="1" customFormat="1" spans="1:8">
      <c r="A4743" s="1" t="s">
        <v>32</v>
      </c>
      <c r="B4743" s="1" t="s">
        <v>51</v>
      </c>
      <c r="C4743" s="1" t="str">
        <f t="shared" si="114"/>
        <v>020017</v>
      </c>
      <c r="D4743" s="1" t="str">
        <f>"512625814"</f>
        <v>512625814</v>
      </c>
      <c r="E4743" s="1">
        <v>0</v>
      </c>
      <c r="F4743" s="1">
        <v>0</v>
      </c>
      <c r="H4743" s="1">
        <v>0</v>
      </c>
    </row>
    <row r="4744" s="1" customFormat="1" spans="1:8">
      <c r="A4744" s="1" t="s">
        <v>32</v>
      </c>
      <c r="B4744" s="1" t="s">
        <v>51</v>
      </c>
      <c r="C4744" s="1" t="str">
        <f t="shared" si="114"/>
        <v>020017</v>
      </c>
      <c r="D4744" s="1" t="str">
        <f>"512625815"</f>
        <v>512625815</v>
      </c>
      <c r="E4744" s="1">
        <v>101.5</v>
      </c>
      <c r="F4744" s="1">
        <v>83</v>
      </c>
      <c r="H4744" s="1">
        <v>94.1</v>
      </c>
    </row>
    <row r="4745" s="1" customFormat="1" spans="1:8">
      <c r="A4745" s="1" t="s">
        <v>32</v>
      </c>
      <c r="B4745" s="1" t="s">
        <v>51</v>
      </c>
      <c r="C4745" s="1" t="str">
        <f t="shared" si="114"/>
        <v>020017</v>
      </c>
      <c r="D4745" s="1" t="str">
        <f>"512625816"</f>
        <v>512625816</v>
      </c>
      <c r="E4745" s="1">
        <v>91.5</v>
      </c>
      <c r="F4745" s="1">
        <v>0</v>
      </c>
      <c r="H4745" s="1">
        <v>54.9</v>
      </c>
    </row>
    <row r="4746" s="1" customFormat="1" spans="1:8">
      <c r="A4746" s="1" t="s">
        <v>32</v>
      </c>
      <c r="B4746" s="1" t="s">
        <v>51</v>
      </c>
      <c r="C4746" s="1" t="str">
        <f t="shared" si="114"/>
        <v>020017</v>
      </c>
      <c r="D4746" s="1" t="str">
        <f>"512625817"</f>
        <v>512625817</v>
      </c>
      <c r="E4746" s="1">
        <v>86</v>
      </c>
      <c r="F4746" s="1">
        <v>88.5</v>
      </c>
      <c r="H4746" s="1">
        <v>87</v>
      </c>
    </row>
    <row r="4747" s="1" customFormat="1" spans="1:8">
      <c r="A4747" s="1" t="s">
        <v>32</v>
      </c>
      <c r="B4747" s="1" t="s">
        <v>51</v>
      </c>
      <c r="C4747" s="1" t="str">
        <f t="shared" si="114"/>
        <v>020017</v>
      </c>
      <c r="D4747" s="1" t="str">
        <f>"512625818"</f>
        <v>512625818</v>
      </c>
      <c r="E4747" s="1">
        <v>86.5</v>
      </c>
      <c r="F4747" s="1">
        <v>79</v>
      </c>
      <c r="H4747" s="1">
        <v>83.5</v>
      </c>
    </row>
    <row r="4748" s="1" customFormat="1" spans="1:8">
      <c r="A4748" s="1" t="s">
        <v>32</v>
      </c>
      <c r="B4748" s="1" t="s">
        <v>51</v>
      </c>
      <c r="C4748" s="1" t="str">
        <f t="shared" si="114"/>
        <v>020017</v>
      </c>
      <c r="D4748" s="1" t="str">
        <f>"512625819"</f>
        <v>512625819</v>
      </c>
      <c r="E4748" s="1">
        <v>0</v>
      </c>
      <c r="F4748" s="1">
        <v>0</v>
      </c>
      <c r="H4748" s="1">
        <v>0</v>
      </c>
    </row>
    <row r="4749" s="1" customFormat="1" spans="1:8">
      <c r="A4749" s="1" t="s">
        <v>32</v>
      </c>
      <c r="B4749" s="1" t="s">
        <v>51</v>
      </c>
      <c r="C4749" s="1" t="str">
        <f t="shared" si="114"/>
        <v>020017</v>
      </c>
      <c r="D4749" s="1" t="str">
        <f>"512625820"</f>
        <v>512625820</v>
      </c>
      <c r="E4749" s="1">
        <v>94</v>
      </c>
      <c r="F4749" s="1">
        <v>83</v>
      </c>
      <c r="H4749" s="1">
        <v>89.6</v>
      </c>
    </row>
    <row r="4750" s="1" customFormat="1" spans="1:8">
      <c r="A4750" s="1" t="s">
        <v>32</v>
      </c>
      <c r="B4750" s="1" t="s">
        <v>51</v>
      </c>
      <c r="C4750" s="1" t="str">
        <f t="shared" si="114"/>
        <v>020017</v>
      </c>
      <c r="D4750" s="1" t="str">
        <f>"512625821"</f>
        <v>512625821</v>
      </c>
      <c r="E4750" s="1">
        <v>83</v>
      </c>
      <c r="F4750" s="1">
        <v>68.5</v>
      </c>
      <c r="H4750" s="1">
        <v>77.2</v>
      </c>
    </row>
    <row r="4751" s="1" customFormat="1" spans="1:8">
      <c r="A4751" s="1" t="s">
        <v>32</v>
      </c>
      <c r="B4751" s="1" t="s">
        <v>51</v>
      </c>
      <c r="C4751" s="1" t="str">
        <f t="shared" si="114"/>
        <v>020017</v>
      </c>
      <c r="D4751" s="1" t="str">
        <f>"512625822"</f>
        <v>512625822</v>
      </c>
      <c r="E4751" s="1">
        <v>93</v>
      </c>
      <c r="F4751" s="1">
        <v>77</v>
      </c>
      <c r="H4751" s="1">
        <v>86.6</v>
      </c>
    </row>
    <row r="4752" s="1" customFormat="1" spans="1:8">
      <c r="A4752" s="1" t="s">
        <v>32</v>
      </c>
      <c r="B4752" s="1" t="s">
        <v>51</v>
      </c>
      <c r="C4752" s="1" t="str">
        <f t="shared" si="114"/>
        <v>020017</v>
      </c>
      <c r="D4752" s="1" t="str">
        <f>"512625823"</f>
        <v>512625823</v>
      </c>
      <c r="E4752" s="1">
        <v>97.5</v>
      </c>
      <c r="F4752" s="1">
        <v>90</v>
      </c>
      <c r="H4752" s="1">
        <v>94.5</v>
      </c>
    </row>
    <row r="4753" s="1" customFormat="1" spans="1:8">
      <c r="A4753" s="1" t="s">
        <v>32</v>
      </c>
      <c r="B4753" s="1" t="s">
        <v>51</v>
      </c>
      <c r="C4753" s="1" t="str">
        <f t="shared" si="114"/>
        <v>020017</v>
      </c>
      <c r="D4753" s="1" t="str">
        <f>"512625824"</f>
        <v>512625824</v>
      </c>
      <c r="E4753" s="1">
        <v>89.5</v>
      </c>
      <c r="F4753" s="1">
        <v>67</v>
      </c>
      <c r="H4753" s="1">
        <v>80.5</v>
      </c>
    </row>
    <row r="4754" s="1" customFormat="1" spans="1:8">
      <c r="A4754" s="1" t="s">
        <v>32</v>
      </c>
      <c r="B4754" s="1" t="s">
        <v>51</v>
      </c>
      <c r="C4754" s="1" t="str">
        <f t="shared" si="114"/>
        <v>020017</v>
      </c>
      <c r="D4754" s="1" t="str">
        <f>"512625825"</f>
        <v>512625825</v>
      </c>
      <c r="E4754" s="1">
        <v>0</v>
      </c>
      <c r="F4754" s="1">
        <v>0</v>
      </c>
      <c r="H4754" s="1">
        <v>0</v>
      </c>
    </row>
    <row r="4755" s="1" customFormat="1" spans="1:8">
      <c r="A4755" s="1" t="s">
        <v>32</v>
      </c>
      <c r="B4755" s="1" t="s">
        <v>51</v>
      </c>
      <c r="C4755" s="1" t="str">
        <f t="shared" si="114"/>
        <v>020017</v>
      </c>
      <c r="D4755" s="1" t="str">
        <f>"512625826"</f>
        <v>512625826</v>
      </c>
      <c r="E4755" s="1">
        <v>90</v>
      </c>
      <c r="F4755" s="1">
        <v>71.5</v>
      </c>
      <c r="H4755" s="1">
        <v>82.6</v>
      </c>
    </row>
    <row r="4756" s="1" customFormat="1" spans="1:8">
      <c r="A4756" s="1" t="s">
        <v>32</v>
      </c>
      <c r="B4756" s="1" t="s">
        <v>51</v>
      </c>
      <c r="C4756" s="1" t="str">
        <f t="shared" si="114"/>
        <v>020017</v>
      </c>
      <c r="D4756" s="1" t="str">
        <f>"512625827"</f>
        <v>512625827</v>
      </c>
      <c r="E4756" s="1">
        <v>100</v>
      </c>
      <c r="F4756" s="1">
        <v>84</v>
      </c>
      <c r="H4756" s="1">
        <v>93.6</v>
      </c>
    </row>
    <row r="4757" s="1" customFormat="1" spans="1:8">
      <c r="A4757" s="1" t="s">
        <v>32</v>
      </c>
      <c r="B4757" s="1" t="s">
        <v>51</v>
      </c>
      <c r="C4757" s="1" t="str">
        <f t="shared" si="114"/>
        <v>020017</v>
      </c>
      <c r="D4757" s="1" t="str">
        <f>"512625828"</f>
        <v>512625828</v>
      </c>
      <c r="E4757" s="1">
        <v>0</v>
      </c>
      <c r="F4757" s="1">
        <v>0</v>
      </c>
      <c r="H4757" s="1">
        <v>0</v>
      </c>
    </row>
    <row r="4758" s="1" customFormat="1" spans="1:8">
      <c r="A4758" s="1" t="s">
        <v>32</v>
      </c>
      <c r="B4758" s="1" t="s">
        <v>51</v>
      </c>
      <c r="C4758" s="1" t="str">
        <f t="shared" si="114"/>
        <v>020017</v>
      </c>
      <c r="D4758" s="1" t="str">
        <f>"512625829"</f>
        <v>512625829</v>
      </c>
      <c r="E4758" s="1">
        <v>87</v>
      </c>
      <c r="F4758" s="1">
        <v>73</v>
      </c>
      <c r="H4758" s="1">
        <v>81.4</v>
      </c>
    </row>
    <row r="4759" s="1" customFormat="1" spans="1:8">
      <c r="A4759" s="1" t="s">
        <v>32</v>
      </c>
      <c r="B4759" s="1" t="s">
        <v>51</v>
      </c>
      <c r="C4759" s="1" t="str">
        <f t="shared" si="114"/>
        <v>020017</v>
      </c>
      <c r="D4759" s="1" t="str">
        <f>"512625830"</f>
        <v>512625830</v>
      </c>
      <c r="E4759" s="1">
        <v>0</v>
      </c>
      <c r="F4759" s="1">
        <v>0</v>
      </c>
      <c r="H4759" s="1">
        <v>0</v>
      </c>
    </row>
    <row r="4760" s="1" customFormat="1" spans="1:8">
      <c r="A4760" s="1" t="s">
        <v>32</v>
      </c>
      <c r="B4760" s="1" t="s">
        <v>51</v>
      </c>
      <c r="C4760" s="1" t="str">
        <f t="shared" si="114"/>
        <v>020017</v>
      </c>
      <c r="D4760" s="1" t="str">
        <f>"512625901"</f>
        <v>512625901</v>
      </c>
      <c r="E4760" s="1">
        <v>94</v>
      </c>
      <c r="F4760" s="1">
        <v>75</v>
      </c>
      <c r="H4760" s="1">
        <v>86.4</v>
      </c>
    </row>
    <row r="4761" s="1" customFormat="1" spans="1:8">
      <c r="A4761" s="1" t="s">
        <v>32</v>
      </c>
      <c r="B4761" s="1" t="s">
        <v>51</v>
      </c>
      <c r="C4761" s="1" t="str">
        <f t="shared" si="114"/>
        <v>020017</v>
      </c>
      <c r="D4761" s="1" t="str">
        <f>"512625902"</f>
        <v>512625902</v>
      </c>
      <c r="E4761" s="1">
        <v>92.5</v>
      </c>
      <c r="F4761" s="1">
        <v>78</v>
      </c>
      <c r="H4761" s="1">
        <v>86.7</v>
      </c>
    </row>
    <row r="4762" s="1" customFormat="1" spans="1:8">
      <c r="A4762" s="1" t="s">
        <v>32</v>
      </c>
      <c r="B4762" s="1" t="s">
        <v>51</v>
      </c>
      <c r="C4762" s="1" t="str">
        <f t="shared" si="114"/>
        <v>020017</v>
      </c>
      <c r="D4762" s="1" t="str">
        <f>"512625903"</f>
        <v>512625903</v>
      </c>
      <c r="E4762" s="1">
        <v>85.5</v>
      </c>
      <c r="F4762" s="1">
        <v>63.5</v>
      </c>
      <c r="H4762" s="1">
        <v>76.7</v>
      </c>
    </row>
    <row r="4763" s="1" customFormat="1" spans="1:8">
      <c r="A4763" s="1" t="s">
        <v>32</v>
      </c>
      <c r="B4763" s="1" t="s">
        <v>51</v>
      </c>
      <c r="C4763" s="1" t="str">
        <f t="shared" si="114"/>
        <v>020017</v>
      </c>
      <c r="D4763" s="1" t="str">
        <f>"512625904"</f>
        <v>512625904</v>
      </c>
      <c r="E4763" s="1">
        <v>95</v>
      </c>
      <c r="F4763" s="1">
        <v>78</v>
      </c>
      <c r="H4763" s="1">
        <v>88.2</v>
      </c>
    </row>
    <row r="4764" s="1" customFormat="1" spans="1:8">
      <c r="A4764" s="1" t="s">
        <v>32</v>
      </c>
      <c r="B4764" s="1" t="s">
        <v>51</v>
      </c>
      <c r="C4764" s="1" t="str">
        <f t="shared" si="114"/>
        <v>020017</v>
      </c>
      <c r="D4764" s="1" t="str">
        <f>"512625905"</f>
        <v>512625905</v>
      </c>
      <c r="E4764" s="1">
        <v>101.5</v>
      </c>
      <c r="F4764" s="1">
        <v>91</v>
      </c>
      <c r="H4764" s="1">
        <v>97.3</v>
      </c>
    </row>
    <row r="4765" s="1" customFormat="1" spans="1:8">
      <c r="A4765" s="1" t="s">
        <v>32</v>
      </c>
      <c r="B4765" s="1" t="s">
        <v>51</v>
      </c>
      <c r="C4765" s="1" t="str">
        <f t="shared" si="114"/>
        <v>020017</v>
      </c>
      <c r="D4765" s="1" t="str">
        <f>"512625906"</f>
        <v>512625906</v>
      </c>
      <c r="E4765" s="1">
        <v>91.5</v>
      </c>
      <c r="F4765" s="1">
        <v>76</v>
      </c>
      <c r="H4765" s="1">
        <v>85.3</v>
      </c>
    </row>
    <row r="4766" s="1" customFormat="1" spans="1:8">
      <c r="A4766" s="1" t="s">
        <v>32</v>
      </c>
      <c r="B4766" s="1" t="s">
        <v>51</v>
      </c>
      <c r="C4766" s="1" t="str">
        <f t="shared" si="114"/>
        <v>020017</v>
      </c>
      <c r="D4766" s="1" t="str">
        <f>"512625907"</f>
        <v>512625907</v>
      </c>
      <c r="E4766" s="1">
        <v>96.5</v>
      </c>
      <c r="F4766" s="1">
        <v>80</v>
      </c>
      <c r="H4766" s="1">
        <v>89.9</v>
      </c>
    </row>
    <row r="4767" s="1" customFormat="1" spans="1:8">
      <c r="A4767" s="1" t="s">
        <v>32</v>
      </c>
      <c r="B4767" s="1" t="s">
        <v>51</v>
      </c>
      <c r="C4767" s="1" t="str">
        <f t="shared" si="114"/>
        <v>020017</v>
      </c>
      <c r="D4767" s="1" t="str">
        <f>"512625908"</f>
        <v>512625908</v>
      </c>
      <c r="E4767" s="1">
        <v>0</v>
      </c>
      <c r="F4767" s="1">
        <v>0</v>
      </c>
      <c r="H4767" s="1">
        <v>0</v>
      </c>
    </row>
    <row r="4768" s="1" customFormat="1" spans="1:8">
      <c r="A4768" s="1" t="s">
        <v>32</v>
      </c>
      <c r="B4768" s="1" t="s">
        <v>51</v>
      </c>
      <c r="C4768" s="1" t="str">
        <f t="shared" si="114"/>
        <v>020017</v>
      </c>
      <c r="D4768" s="1" t="str">
        <f>"512625909"</f>
        <v>512625909</v>
      </c>
      <c r="E4768" s="1">
        <v>90</v>
      </c>
      <c r="F4768" s="1">
        <v>65</v>
      </c>
      <c r="H4768" s="1">
        <v>80</v>
      </c>
    </row>
    <row r="4769" s="1" customFormat="1" spans="1:8">
      <c r="A4769" s="1" t="s">
        <v>32</v>
      </c>
      <c r="B4769" s="1" t="s">
        <v>51</v>
      </c>
      <c r="C4769" s="1" t="str">
        <f t="shared" si="114"/>
        <v>020017</v>
      </c>
      <c r="D4769" s="1" t="str">
        <f>"512625910"</f>
        <v>512625910</v>
      </c>
      <c r="E4769" s="1">
        <v>90.5</v>
      </c>
      <c r="F4769" s="1">
        <v>87.5</v>
      </c>
      <c r="H4769" s="1">
        <v>89.3</v>
      </c>
    </row>
    <row r="4770" s="1" customFormat="1" spans="1:8">
      <c r="A4770" s="1" t="s">
        <v>32</v>
      </c>
      <c r="B4770" s="1" t="s">
        <v>51</v>
      </c>
      <c r="C4770" s="1" t="str">
        <f t="shared" si="114"/>
        <v>020017</v>
      </c>
      <c r="D4770" s="1" t="str">
        <f>"512625911"</f>
        <v>512625911</v>
      </c>
      <c r="E4770" s="1">
        <v>90</v>
      </c>
      <c r="F4770" s="1">
        <v>67.5</v>
      </c>
      <c r="H4770" s="1">
        <v>81</v>
      </c>
    </row>
    <row r="4771" s="1" customFormat="1" spans="1:8">
      <c r="A4771" s="1" t="s">
        <v>32</v>
      </c>
      <c r="B4771" s="1" t="s">
        <v>51</v>
      </c>
      <c r="C4771" s="1" t="str">
        <f t="shared" si="114"/>
        <v>020017</v>
      </c>
      <c r="D4771" s="1" t="str">
        <f>"512625912"</f>
        <v>512625912</v>
      </c>
      <c r="E4771" s="1">
        <v>86</v>
      </c>
      <c r="F4771" s="1">
        <v>69.5</v>
      </c>
      <c r="H4771" s="1">
        <v>79.4</v>
      </c>
    </row>
    <row r="4772" s="1" customFormat="1" spans="1:8">
      <c r="A4772" s="1" t="s">
        <v>32</v>
      </c>
      <c r="B4772" s="1" t="s">
        <v>51</v>
      </c>
      <c r="C4772" s="1" t="str">
        <f t="shared" si="114"/>
        <v>020017</v>
      </c>
      <c r="D4772" s="1" t="str">
        <f>"512625913"</f>
        <v>512625913</v>
      </c>
      <c r="E4772" s="1">
        <v>86</v>
      </c>
      <c r="F4772" s="1">
        <v>82</v>
      </c>
      <c r="H4772" s="1">
        <v>84.4</v>
      </c>
    </row>
    <row r="4773" s="1" customFormat="1" spans="1:8">
      <c r="A4773" s="1" t="s">
        <v>32</v>
      </c>
      <c r="B4773" s="1" t="s">
        <v>51</v>
      </c>
      <c r="C4773" s="1" t="str">
        <f t="shared" si="114"/>
        <v>020017</v>
      </c>
      <c r="D4773" s="1" t="str">
        <f>"512625914"</f>
        <v>512625914</v>
      </c>
      <c r="E4773" s="1">
        <v>0</v>
      </c>
      <c r="F4773" s="1">
        <v>0</v>
      </c>
      <c r="H4773" s="1">
        <v>0</v>
      </c>
    </row>
    <row r="4774" s="1" customFormat="1" spans="1:8">
      <c r="A4774" s="1" t="s">
        <v>32</v>
      </c>
      <c r="B4774" s="1" t="s">
        <v>51</v>
      </c>
      <c r="C4774" s="1" t="str">
        <f t="shared" si="114"/>
        <v>020017</v>
      </c>
      <c r="D4774" s="1" t="str">
        <f>"512625915"</f>
        <v>512625915</v>
      </c>
      <c r="E4774" s="1">
        <v>0</v>
      </c>
      <c r="F4774" s="1">
        <v>0</v>
      </c>
      <c r="H4774" s="1">
        <v>0</v>
      </c>
    </row>
    <row r="4775" s="1" customFormat="1" spans="1:8">
      <c r="A4775" s="1" t="s">
        <v>32</v>
      </c>
      <c r="B4775" s="1" t="s">
        <v>51</v>
      </c>
      <c r="C4775" s="1" t="str">
        <f t="shared" si="114"/>
        <v>020017</v>
      </c>
      <c r="D4775" s="1" t="str">
        <f>"512625916"</f>
        <v>512625916</v>
      </c>
      <c r="E4775" s="1">
        <v>94.5</v>
      </c>
      <c r="F4775" s="1">
        <v>71.5</v>
      </c>
      <c r="H4775" s="1">
        <v>85.3</v>
      </c>
    </row>
    <row r="4776" s="1" customFormat="1" spans="1:8">
      <c r="A4776" s="1" t="s">
        <v>32</v>
      </c>
      <c r="B4776" s="1" t="s">
        <v>51</v>
      </c>
      <c r="C4776" s="1" t="str">
        <f t="shared" si="114"/>
        <v>020017</v>
      </c>
      <c r="D4776" s="1" t="str">
        <f>"512625917"</f>
        <v>512625917</v>
      </c>
      <c r="E4776" s="1">
        <v>101.5</v>
      </c>
      <c r="F4776" s="1">
        <v>91</v>
      </c>
      <c r="H4776" s="1">
        <v>97.3</v>
      </c>
    </row>
    <row r="4777" s="1" customFormat="1" spans="1:8">
      <c r="A4777" s="1" t="s">
        <v>32</v>
      </c>
      <c r="B4777" s="1" t="s">
        <v>51</v>
      </c>
      <c r="C4777" s="1" t="str">
        <f t="shared" si="114"/>
        <v>020017</v>
      </c>
      <c r="D4777" s="1" t="str">
        <f>"512625918"</f>
        <v>512625918</v>
      </c>
      <c r="E4777" s="1">
        <v>101</v>
      </c>
      <c r="F4777" s="1">
        <v>85</v>
      </c>
      <c r="H4777" s="1">
        <v>94.6</v>
      </c>
    </row>
    <row r="4778" s="1" customFormat="1" spans="1:8">
      <c r="A4778" s="1" t="s">
        <v>32</v>
      </c>
      <c r="B4778" s="1" t="s">
        <v>51</v>
      </c>
      <c r="C4778" s="1" t="str">
        <f t="shared" si="114"/>
        <v>020017</v>
      </c>
      <c r="D4778" s="1" t="str">
        <f>"512625919"</f>
        <v>512625919</v>
      </c>
      <c r="E4778" s="1">
        <v>74.5</v>
      </c>
      <c r="F4778" s="1">
        <v>65.5</v>
      </c>
      <c r="H4778" s="1">
        <v>70.9</v>
      </c>
    </row>
    <row r="4779" s="1" customFormat="1" spans="1:8">
      <c r="A4779" s="1" t="s">
        <v>32</v>
      </c>
      <c r="B4779" s="1" t="s">
        <v>51</v>
      </c>
      <c r="C4779" s="1" t="str">
        <f t="shared" si="114"/>
        <v>020017</v>
      </c>
      <c r="D4779" s="1" t="str">
        <f>"512625920"</f>
        <v>512625920</v>
      </c>
      <c r="E4779" s="1">
        <v>93.5</v>
      </c>
      <c r="F4779" s="1">
        <v>73</v>
      </c>
      <c r="H4779" s="1">
        <v>85.3</v>
      </c>
    </row>
    <row r="4780" s="1" customFormat="1" spans="1:8">
      <c r="A4780" s="1" t="s">
        <v>32</v>
      </c>
      <c r="B4780" s="1" t="s">
        <v>51</v>
      </c>
      <c r="C4780" s="1" t="str">
        <f t="shared" si="114"/>
        <v>020017</v>
      </c>
      <c r="D4780" s="1" t="str">
        <f>"512625921"</f>
        <v>512625921</v>
      </c>
      <c r="E4780" s="1">
        <v>0</v>
      </c>
      <c r="F4780" s="1">
        <v>0</v>
      </c>
      <c r="H4780" s="1">
        <v>0</v>
      </c>
    </row>
    <row r="4781" s="1" customFormat="1" spans="1:8">
      <c r="A4781" s="1" t="s">
        <v>32</v>
      </c>
      <c r="B4781" s="1" t="s">
        <v>51</v>
      </c>
      <c r="C4781" s="1" t="str">
        <f t="shared" si="114"/>
        <v>020017</v>
      </c>
      <c r="D4781" s="1" t="str">
        <f>"512625922"</f>
        <v>512625922</v>
      </c>
      <c r="E4781" s="1">
        <v>93.5</v>
      </c>
      <c r="F4781" s="1">
        <v>82.5</v>
      </c>
      <c r="H4781" s="1">
        <v>89.1</v>
      </c>
    </row>
    <row r="4782" s="1" customFormat="1" spans="1:8">
      <c r="A4782" s="1" t="s">
        <v>32</v>
      </c>
      <c r="B4782" s="1" t="s">
        <v>51</v>
      </c>
      <c r="C4782" s="1" t="str">
        <f t="shared" si="114"/>
        <v>020017</v>
      </c>
      <c r="D4782" s="1" t="str">
        <f>"512625923"</f>
        <v>512625923</v>
      </c>
      <c r="E4782" s="1">
        <v>80.5</v>
      </c>
      <c r="F4782" s="1">
        <v>64.5</v>
      </c>
      <c r="H4782" s="1">
        <v>74.1</v>
      </c>
    </row>
    <row r="4783" s="1" customFormat="1" spans="1:8">
      <c r="A4783" s="1" t="s">
        <v>32</v>
      </c>
      <c r="B4783" s="1" t="s">
        <v>51</v>
      </c>
      <c r="C4783" s="1" t="str">
        <f t="shared" si="114"/>
        <v>020017</v>
      </c>
      <c r="D4783" s="1" t="str">
        <f>"512625924"</f>
        <v>512625924</v>
      </c>
      <c r="E4783" s="1">
        <v>95</v>
      </c>
      <c r="F4783" s="1">
        <v>84.5</v>
      </c>
      <c r="H4783" s="1">
        <v>90.8</v>
      </c>
    </row>
    <row r="4784" s="1" customFormat="1" spans="1:8">
      <c r="A4784" s="1" t="s">
        <v>32</v>
      </c>
      <c r="B4784" s="1" t="s">
        <v>51</v>
      </c>
      <c r="C4784" s="1" t="str">
        <f t="shared" si="114"/>
        <v>020017</v>
      </c>
      <c r="D4784" s="1" t="str">
        <f>"512625925"</f>
        <v>512625925</v>
      </c>
      <c r="E4784" s="1">
        <v>82.5</v>
      </c>
      <c r="F4784" s="1">
        <v>77</v>
      </c>
      <c r="H4784" s="1">
        <v>80.3</v>
      </c>
    </row>
    <row r="4785" s="1" customFormat="1" spans="1:8">
      <c r="A4785" s="1" t="s">
        <v>32</v>
      </c>
      <c r="B4785" s="1" t="s">
        <v>51</v>
      </c>
      <c r="C4785" s="1" t="str">
        <f t="shared" si="114"/>
        <v>020017</v>
      </c>
      <c r="D4785" s="1" t="str">
        <f>"512625926"</f>
        <v>512625926</v>
      </c>
      <c r="E4785" s="1">
        <v>102.5</v>
      </c>
      <c r="F4785" s="1">
        <v>78.5</v>
      </c>
      <c r="H4785" s="1">
        <v>92.9</v>
      </c>
    </row>
    <row r="4786" s="1" customFormat="1" spans="1:8">
      <c r="A4786" s="1" t="s">
        <v>32</v>
      </c>
      <c r="B4786" s="1" t="s">
        <v>51</v>
      </c>
      <c r="C4786" s="1" t="str">
        <f t="shared" si="114"/>
        <v>020017</v>
      </c>
      <c r="D4786" s="1" t="str">
        <f>"512625927"</f>
        <v>512625927</v>
      </c>
      <c r="E4786" s="1">
        <v>80.5</v>
      </c>
      <c r="F4786" s="1">
        <v>67</v>
      </c>
      <c r="H4786" s="1">
        <v>75.1</v>
      </c>
    </row>
    <row r="4787" s="1" customFormat="1" spans="1:8">
      <c r="A4787" s="1" t="s">
        <v>32</v>
      </c>
      <c r="B4787" s="1" t="s">
        <v>51</v>
      </c>
      <c r="C4787" s="1" t="str">
        <f t="shared" ref="C4787:C4848" si="115">"020017"</f>
        <v>020017</v>
      </c>
      <c r="D4787" s="1" t="str">
        <f>"512625928"</f>
        <v>512625928</v>
      </c>
      <c r="E4787" s="1">
        <v>101</v>
      </c>
      <c r="F4787" s="1">
        <v>92</v>
      </c>
      <c r="H4787" s="1">
        <v>97.4</v>
      </c>
    </row>
    <row r="4788" s="1" customFormat="1" spans="1:8">
      <c r="A4788" s="1" t="s">
        <v>32</v>
      </c>
      <c r="B4788" s="1" t="s">
        <v>51</v>
      </c>
      <c r="C4788" s="1" t="str">
        <f t="shared" si="115"/>
        <v>020017</v>
      </c>
      <c r="D4788" s="1" t="str">
        <f>"512625929"</f>
        <v>512625929</v>
      </c>
      <c r="E4788" s="1">
        <v>0</v>
      </c>
      <c r="F4788" s="1">
        <v>0</v>
      </c>
      <c r="H4788" s="1">
        <v>0</v>
      </c>
    </row>
    <row r="4789" s="1" customFormat="1" spans="1:8">
      <c r="A4789" s="1" t="s">
        <v>32</v>
      </c>
      <c r="B4789" s="1" t="s">
        <v>51</v>
      </c>
      <c r="C4789" s="1" t="str">
        <f t="shared" si="115"/>
        <v>020017</v>
      </c>
      <c r="D4789" s="1" t="str">
        <f>"512625930"</f>
        <v>512625930</v>
      </c>
      <c r="E4789" s="1">
        <v>106.5</v>
      </c>
      <c r="F4789" s="1">
        <v>91</v>
      </c>
      <c r="H4789" s="1">
        <v>100.3</v>
      </c>
    </row>
    <row r="4790" s="1" customFormat="1" spans="1:8">
      <c r="A4790" s="1" t="s">
        <v>32</v>
      </c>
      <c r="B4790" s="1" t="s">
        <v>51</v>
      </c>
      <c r="C4790" s="1" t="str">
        <f t="shared" si="115"/>
        <v>020017</v>
      </c>
      <c r="D4790" s="1" t="str">
        <f>"512626001"</f>
        <v>512626001</v>
      </c>
      <c r="E4790" s="1">
        <v>65.5</v>
      </c>
      <c r="F4790" s="1">
        <v>0</v>
      </c>
      <c r="H4790" s="1">
        <v>39.3</v>
      </c>
    </row>
    <row r="4791" s="1" customFormat="1" spans="1:8">
      <c r="A4791" s="1" t="s">
        <v>32</v>
      </c>
      <c r="B4791" s="1" t="s">
        <v>51</v>
      </c>
      <c r="C4791" s="1" t="str">
        <f t="shared" si="115"/>
        <v>020017</v>
      </c>
      <c r="D4791" s="1" t="str">
        <f>"512626002"</f>
        <v>512626002</v>
      </c>
      <c r="E4791" s="1">
        <v>0</v>
      </c>
      <c r="F4791" s="1">
        <v>0</v>
      </c>
      <c r="H4791" s="1">
        <v>0</v>
      </c>
    </row>
    <row r="4792" s="1" customFormat="1" spans="1:8">
      <c r="A4792" s="1" t="s">
        <v>32</v>
      </c>
      <c r="B4792" s="1" t="s">
        <v>51</v>
      </c>
      <c r="C4792" s="1" t="str">
        <f t="shared" si="115"/>
        <v>020017</v>
      </c>
      <c r="D4792" s="1" t="str">
        <f>"512626003"</f>
        <v>512626003</v>
      </c>
      <c r="E4792" s="1">
        <v>96</v>
      </c>
      <c r="F4792" s="1">
        <v>70.5</v>
      </c>
      <c r="H4792" s="1">
        <v>85.8</v>
      </c>
    </row>
    <row r="4793" s="1" customFormat="1" spans="1:8">
      <c r="A4793" s="1" t="s">
        <v>32</v>
      </c>
      <c r="B4793" s="1" t="s">
        <v>51</v>
      </c>
      <c r="C4793" s="1" t="str">
        <f t="shared" si="115"/>
        <v>020017</v>
      </c>
      <c r="D4793" s="1" t="str">
        <f>"512626004"</f>
        <v>512626004</v>
      </c>
      <c r="E4793" s="1">
        <v>77</v>
      </c>
      <c r="F4793" s="1">
        <v>63</v>
      </c>
      <c r="H4793" s="1">
        <v>71.4</v>
      </c>
    </row>
    <row r="4794" s="1" customFormat="1" spans="1:8">
      <c r="A4794" s="1" t="s">
        <v>32</v>
      </c>
      <c r="B4794" s="1" t="s">
        <v>51</v>
      </c>
      <c r="C4794" s="1" t="str">
        <f t="shared" si="115"/>
        <v>020017</v>
      </c>
      <c r="D4794" s="1" t="str">
        <f>"512626005"</f>
        <v>512626005</v>
      </c>
      <c r="E4794" s="1">
        <v>83.5</v>
      </c>
      <c r="F4794" s="1">
        <v>59.5</v>
      </c>
      <c r="H4794" s="1">
        <v>73.9</v>
      </c>
    </row>
    <row r="4795" s="1" customFormat="1" spans="1:8">
      <c r="A4795" s="1" t="s">
        <v>32</v>
      </c>
      <c r="B4795" s="1" t="s">
        <v>51</v>
      </c>
      <c r="C4795" s="1" t="str">
        <f t="shared" si="115"/>
        <v>020017</v>
      </c>
      <c r="D4795" s="1" t="str">
        <f>"512626006"</f>
        <v>512626006</v>
      </c>
      <c r="E4795" s="1">
        <v>91</v>
      </c>
      <c r="F4795" s="1">
        <v>70.5</v>
      </c>
      <c r="H4795" s="1">
        <v>82.8</v>
      </c>
    </row>
    <row r="4796" s="1" customFormat="1" spans="1:8">
      <c r="A4796" s="1" t="s">
        <v>32</v>
      </c>
      <c r="B4796" s="1" t="s">
        <v>51</v>
      </c>
      <c r="C4796" s="1" t="str">
        <f t="shared" si="115"/>
        <v>020017</v>
      </c>
      <c r="D4796" s="1" t="str">
        <f>"512626007"</f>
        <v>512626007</v>
      </c>
      <c r="E4796" s="1">
        <v>0</v>
      </c>
      <c r="F4796" s="1">
        <v>0</v>
      </c>
      <c r="H4796" s="1">
        <v>0</v>
      </c>
    </row>
    <row r="4797" s="1" customFormat="1" spans="1:8">
      <c r="A4797" s="1" t="s">
        <v>32</v>
      </c>
      <c r="B4797" s="1" t="s">
        <v>51</v>
      </c>
      <c r="C4797" s="1" t="str">
        <f t="shared" si="115"/>
        <v>020017</v>
      </c>
      <c r="D4797" s="1" t="str">
        <f>"512626008"</f>
        <v>512626008</v>
      </c>
      <c r="E4797" s="1">
        <v>96.5</v>
      </c>
      <c r="F4797" s="1">
        <v>92</v>
      </c>
      <c r="H4797" s="1">
        <v>94.7</v>
      </c>
    </row>
    <row r="4798" s="1" customFormat="1" spans="1:8">
      <c r="A4798" s="1" t="s">
        <v>32</v>
      </c>
      <c r="B4798" s="1" t="s">
        <v>51</v>
      </c>
      <c r="C4798" s="1" t="str">
        <f t="shared" si="115"/>
        <v>020017</v>
      </c>
      <c r="D4798" s="1" t="str">
        <f>"512626009"</f>
        <v>512626009</v>
      </c>
      <c r="E4798" s="1">
        <v>88</v>
      </c>
      <c r="F4798" s="1">
        <v>75.5</v>
      </c>
      <c r="H4798" s="1">
        <v>83</v>
      </c>
    </row>
    <row r="4799" s="1" customFormat="1" spans="1:8">
      <c r="A4799" s="1" t="s">
        <v>32</v>
      </c>
      <c r="B4799" s="1" t="s">
        <v>51</v>
      </c>
      <c r="C4799" s="1" t="str">
        <f t="shared" si="115"/>
        <v>020017</v>
      </c>
      <c r="D4799" s="1" t="str">
        <f>"512626010"</f>
        <v>512626010</v>
      </c>
      <c r="E4799" s="1">
        <v>91.5</v>
      </c>
      <c r="F4799" s="1">
        <v>92</v>
      </c>
      <c r="H4799" s="1">
        <v>91.7</v>
      </c>
    </row>
    <row r="4800" s="1" customFormat="1" spans="1:8">
      <c r="A4800" s="1" t="s">
        <v>32</v>
      </c>
      <c r="B4800" s="1" t="s">
        <v>51</v>
      </c>
      <c r="C4800" s="1" t="str">
        <f t="shared" si="115"/>
        <v>020017</v>
      </c>
      <c r="D4800" s="1" t="str">
        <f>"512626011"</f>
        <v>512626011</v>
      </c>
      <c r="E4800" s="1">
        <v>0</v>
      </c>
      <c r="F4800" s="1">
        <v>0</v>
      </c>
      <c r="H4800" s="1">
        <v>0</v>
      </c>
    </row>
    <row r="4801" s="1" customFormat="1" spans="1:8">
      <c r="A4801" s="1" t="s">
        <v>32</v>
      </c>
      <c r="B4801" s="1" t="s">
        <v>51</v>
      </c>
      <c r="C4801" s="1" t="str">
        <f t="shared" si="115"/>
        <v>020017</v>
      </c>
      <c r="D4801" s="1" t="str">
        <f>"512626012"</f>
        <v>512626012</v>
      </c>
      <c r="E4801" s="1">
        <v>84.5</v>
      </c>
      <c r="F4801" s="1">
        <v>69</v>
      </c>
      <c r="H4801" s="1">
        <v>78.3</v>
      </c>
    </row>
    <row r="4802" s="1" customFormat="1" spans="1:8">
      <c r="A4802" s="1" t="s">
        <v>32</v>
      </c>
      <c r="B4802" s="1" t="s">
        <v>51</v>
      </c>
      <c r="C4802" s="1" t="str">
        <f t="shared" si="115"/>
        <v>020017</v>
      </c>
      <c r="D4802" s="1" t="str">
        <f>"512626013"</f>
        <v>512626013</v>
      </c>
      <c r="E4802" s="1">
        <v>104.5</v>
      </c>
      <c r="F4802" s="1">
        <v>93.5</v>
      </c>
      <c r="H4802" s="1">
        <v>100.1</v>
      </c>
    </row>
    <row r="4803" s="1" customFormat="1" spans="1:8">
      <c r="A4803" s="1" t="s">
        <v>32</v>
      </c>
      <c r="B4803" s="1" t="s">
        <v>51</v>
      </c>
      <c r="C4803" s="1" t="str">
        <f t="shared" si="115"/>
        <v>020017</v>
      </c>
      <c r="D4803" s="1" t="str">
        <f>"512626014"</f>
        <v>512626014</v>
      </c>
      <c r="E4803" s="1">
        <v>96</v>
      </c>
      <c r="F4803" s="1">
        <v>35</v>
      </c>
      <c r="H4803" s="1">
        <v>71.6</v>
      </c>
    </row>
    <row r="4804" s="1" customFormat="1" spans="1:8">
      <c r="A4804" s="1" t="s">
        <v>32</v>
      </c>
      <c r="B4804" s="1" t="s">
        <v>51</v>
      </c>
      <c r="C4804" s="1" t="str">
        <f t="shared" si="115"/>
        <v>020017</v>
      </c>
      <c r="D4804" s="1" t="str">
        <f>"512626015"</f>
        <v>512626015</v>
      </c>
      <c r="E4804" s="1">
        <v>85.5</v>
      </c>
      <c r="F4804" s="1">
        <v>75.5</v>
      </c>
      <c r="H4804" s="1">
        <v>81.5</v>
      </c>
    </row>
    <row r="4805" s="1" customFormat="1" spans="1:8">
      <c r="A4805" s="1" t="s">
        <v>32</v>
      </c>
      <c r="B4805" s="1" t="s">
        <v>51</v>
      </c>
      <c r="C4805" s="1" t="str">
        <f t="shared" si="115"/>
        <v>020017</v>
      </c>
      <c r="D4805" s="1" t="str">
        <f>"512626016"</f>
        <v>512626016</v>
      </c>
      <c r="E4805" s="1">
        <v>75.5</v>
      </c>
      <c r="F4805" s="1">
        <v>68</v>
      </c>
      <c r="H4805" s="1">
        <v>72.5</v>
      </c>
    </row>
    <row r="4806" s="1" customFormat="1" spans="1:8">
      <c r="A4806" s="1" t="s">
        <v>32</v>
      </c>
      <c r="B4806" s="1" t="s">
        <v>51</v>
      </c>
      <c r="C4806" s="1" t="str">
        <f t="shared" si="115"/>
        <v>020017</v>
      </c>
      <c r="D4806" s="1" t="str">
        <f>"512626017"</f>
        <v>512626017</v>
      </c>
      <c r="E4806" s="1">
        <v>98</v>
      </c>
      <c r="F4806" s="1">
        <v>79</v>
      </c>
      <c r="H4806" s="1">
        <v>90.4</v>
      </c>
    </row>
    <row r="4807" s="1" customFormat="1" spans="1:8">
      <c r="A4807" s="1" t="s">
        <v>32</v>
      </c>
      <c r="B4807" s="1" t="s">
        <v>51</v>
      </c>
      <c r="C4807" s="1" t="str">
        <f t="shared" si="115"/>
        <v>020017</v>
      </c>
      <c r="D4807" s="1" t="str">
        <f>"512626018"</f>
        <v>512626018</v>
      </c>
      <c r="E4807" s="1">
        <v>88</v>
      </c>
      <c r="F4807" s="1">
        <v>78</v>
      </c>
      <c r="H4807" s="1">
        <v>84</v>
      </c>
    </row>
    <row r="4808" s="1" customFormat="1" spans="1:8">
      <c r="A4808" s="1" t="s">
        <v>32</v>
      </c>
      <c r="B4808" s="1" t="s">
        <v>51</v>
      </c>
      <c r="C4808" s="1" t="str">
        <f t="shared" si="115"/>
        <v>020017</v>
      </c>
      <c r="D4808" s="1" t="str">
        <f>"512626019"</f>
        <v>512626019</v>
      </c>
      <c r="E4808" s="1">
        <v>93</v>
      </c>
      <c r="F4808" s="1">
        <v>93.5</v>
      </c>
      <c r="H4808" s="1">
        <v>93.2</v>
      </c>
    </row>
    <row r="4809" s="1" customFormat="1" spans="1:8">
      <c r="A4809" s="1" t="s">
        <v>32</v>
      </c>
      <c r="B4809" s="1" t="s">
        <v>51</v>
      </c>
      <c r="C4809" s="1" t="str">
        <f t="shared" si="115"/>
        <v>020017</v>
      </c>
      <c r="D4809" s="1" t="str">
        <f>"512626020"</f>
        <v>512626020</v>
      </c>
      <c r="E4809" s="1">
        <v>103.5</v>
      </c>
      <c r="F4809" s="1">
        <v>77</v>
      </c>
      <c r="H4809" s="1">
        <v>92.9</v>
      </c>
    </row>
    <row r="4810" s="1" customFormat="1" spans="1:8">
      <c r="A4810" s="1" t="s">
        <v>32</v>
      </c>
      <c r="B4810" s="1" t="s">
        <v>51</v>
      </c>
      <c r="C4810" s="1" t="str">
        <f t="shared" si="115"/>
        <v>020017</v>
      </c>
      <c r="D4810" s="1" t="str">
        <f>"512626021"</f>
        <v>512626021</v>
      </c>
      <c r="E4810" s="1">
        <v>107</v>
      </c>
      <c r="F4810" s="1">
        <v>77</v>
      </c>
      <c r="H4810" s="1">
        <v>95</v>
      </c>
    </row>
    <row r="4811" s="1" customFormat="1" spans="1:8">
      <c r="A4811" s="1" t="s">
        <v>32</v>
      </c>
      <c r="B4811" s="1" t="s">
        <v>51</v>
      </c>
      <c r="C4811" s="1" t="str">
        <f t="shared" si="115"/>
        <v>020017</v>
      </c>
      <c r="D4811" s="1" t="str">
        <f>"512626022"</f>
        <v>512626022</v>
      </c>
      <c r="E4811" s="1">
        <v>0</v>
      </c>
      <c r="F4811" s="1">
        <v>0</v>
      </c>
      <c r="H4811" s="1">
        <v>0</v>
      </c>
    </row>
    <row r="4812" s="1" customFormat="1" spans="1:8">
      <c r="A4812" s="1" t="s">
        <v>32</v>
      </c>
      <c r="B4812" s="1" t="s">
        <v>51</v>
      </c>
      <c r="C4812" s="1" t="str">
        <f t="shared" si="115"/>
        <v>020017</v>
      </c>
      <c r="D4812" s="1" t="str">
        <f>"512626023"</f>
        <v>512626023</v>
      </c>
      <c r="E4812" s="1">
        <v>91.5</v>
      </c>
      <c r="F4812" s="1">
        <v>81</v>
      </c>
      <c r="H4812" s="1">
        <v>87.3</v>
      </c>
    </row>
    <row r="4813" s="1" customFormat="1" spans="1:8">
      <c r="A4813" s="1" t="s">
        <v>32</v>
      </c>
      <c r="B4813" s="1" t="s">
        <v>51</v>
      </c>
      <c r="C4813" s="1" t="str">
        <f t="shared" si="115"/>
        <v>020017</v>
      </c>
      <c r="D4813" s="1" t="str">
        <f>"512626024"</f>
        <v>512626024</v>
      </c>
      <c r="E4813" s="1">
        <v>93.5</v>
      </c>
      <c r="F4813" s="1">
        <v>93.5</v>
      </c>
      <c r="H4813" s="1">
        <v>93.5</v>
      </c>
    </row>
    <row r="4814" s="1" customFormat="1" spans="1:8">
      <c r="A4814" s="1" t="s">
        <v>32</v>
      </c>
      <c r="B4814" s="1" t="s">
        <v>51</v>
      </c>
      <c r="C4814" s="1" t="str">
        <f t="shared" si="115"/>
        <v>020017</v>
      </c>
      <c r="D4814" s="1" t="str">
        <f>"512626025"</f>
        <v>512626025</v>
      </c>
      <c r="E4814" s="1">
        <v>83.5</v>
      </c>
      <c r="F4814" s="1">
        <v>72.5</v>
      </c>
      <c r="H4814" s="1">
        <v>79.1</v>
      </c>
    </row>
    <row r="4815" s="1" customFormat="1" spans="1:8">
      <c r="A4815" s="1" t="s">
        <v>32</v>
      </c>
      <c r="B4815" s="1" t="s">
        <v>51</v>
      </c>
      <c r="C4815" s="1" t="str">
        <f t="shared" si="115"/>
        <v>020017</v>
      </c>
      <c r="D4815" s="1" t="str">
        <f>"512626026"</f>
        <v>512626026</v>
      </c>
      <c r="E4815" s="1">
        <v>0</v>
      </c>
      <c r="F4815" s="1">
        <v>0</v>
      </c>
      <c r="H4815" s="1">
        <v>0</v>
      </c>
    </row>
    <row r="4816" s="1" customFormat="1" spans="1:8">
      <c r="A4816" s="1" t="s">
        <v>32</v>
      </c>
      <c r="B4816" s="1" t="s">
        <v>51</v>
      </c>
      <c r="C4816" s="1" t="str">
        <f t="shared" si="115"/>
        <v>020017</v>
      </c>
      <c r="D4816" s="1" t="str">
        <f>"512626027"</f>
        <v>512626027</v>
      </c>
      <c r="E4816" s="1">
        <v>0</v>
      </c>
      <c r="F4816" s="1">
        <v>0</v>
      </c>
      <c r="H4816" s="1">
        <v>0</v>
      </c>
    </row>
    <row r="4817" s="1" customFormat="1" spans="1:8">
      <c r="A4817" s="1" t="s">
        <v>32</v>
      </c>
      <c r="B4817" s="1" t="s">
        <v>51</v>
      </c>
      <c r="C4817" s="1" t="str">
        <f t="shared" si="115"/>
        <v>020017</v>
      </c>
      <c r="D4817" s="1" t="str">
        <f>"512626028"</f>
        <v>512626028</v>
      </c>
      <c r="E4817" s="1">
        <v>66</v>
      </c>
      <c r="F4817" s="1">
        <v>59</v>
      </c>
      <c r="H4817" s="1">
        <v>63.2</v>
      </c>
    </row>
    <row r="4818" s="1" customFormat="1" spans="1:8">
      <c r="A4818" s="1" t="s">
        <v>32</v>
      </c>
      <c r="B4818" s="1" t="s">
        <v>51</v>
      </c>
      <c r="C4818" s="1" t="str">
        <f t="shared" si="115"/>
        <v>020017</v>
      </c>
      <c r="D4818" s="1" t="str">
        <f>"512626029"</f>
        <v>512626029</v>
      </c>
      <c r="E4818" s="1">
        <v>79</v>
      </c>
      <c r="F4818" s="1">
        <v>61</v>
      </c>
      <c r="H4818" s="1">
        <v>71.8</v>
      </c>
    </row>
    <row r="4819" s="1" customFormat="1" spans="1:8">
      <c r="A4819" s="1" t="s">
        <v>32</v>
      </c>
      <c r="B4819" s="1" t="s">
        <v>51</v>
      </c>
      <c r="C4819" s="1" t="str">
        <f t="shared" si="115"/>
        <v>020017</v>
      </c>
      <c r="D4819" s="1" t="str">
        <f>"512626030"</f>
        <v>512626030</v>
      </c>
      <c r="E4819" s="1">
        <v>89.5</v>
      </c>
      <c r="F4819" s="1">
        <v>78</v>
      </c>
      <c r="H4819" s="1">
        <v>84.9</v>
      </c>
    </row>
    <row r="4820" s="1" customFormat="1" spans="1:8">
      <c r="A4820" s="1" t="s">
        <v>32</v>
      </c>
      <c r="B4820" s="1" t="s">
        <v>51</v>
      </c>
      <c r="C4820" s="1" t="str">
        <f t="shared" si="115"/>
        <v>020017</v>
      </c>
      <c r="D4820" s="1" t="str">
        <f>"512626101"</f>
        <v>512626101</v>
      </c>
      <c r="E4820" s="1">
        <v>77.5</v>
      </c>
      <c r="F4820" s="1">
        <v>63.5</v>
      </c>
      <c r="H4820" s="1">
        <v>71.9</v>
      </c>
    </row>
    <row r="4821" s="1" customFormat="1" spans="1:8">
      <c r="A4821" s="1" t="s">
        <v>32</v>
      </c>
      <c r="B4821" s="1" t="s">
        <v>51</v>
      </c>
      <c r="C4821" s="1" t="str">
        <f t="shared" si="115"/>
        <v>020017</v>
      </c>
      <c r="D4821" s="1" t="str">
        <f>"512626102"</f>
        <v>512626102</v>
      </c>
      <c r="E4821" s="1">
        <v>82.5</v>
      </c>
      <c r="F4821" s="1">
        <v>74</v>
      </c>
      <c r="H4821" s="1">
        <v>79.1</v>
      </c>
    </row>
    <row r="4822" s="1" customFormat="1" spans="1:8">
      <c r="A4822" s="1" t="s">
        <v>32</v>
      </c>
      <c r="B4822" s="1" t="s">
        <v>51</v>
      </c>
      <c r="C4822" s="1" t="str">
        <f t="shared" si="115"/>
        <v>020017</v>
      </c>
      <c r="D4822" s="1" t="str">
        <f>"512626103"</f>
        <v>512626103</v>
      </c>
      <c r="E4822" s="1">
        <v>93.5</v>
      </c>
      <c r="F4822" s="1">
        <v>84</v>
      </c>
      <c r="H4822" s="1">
        <v>89.7</v>
      </c>
    </row>
    <row r="4823" s="1" customFormat="1" spans="1:8">
      <c r="A4823" s="1" t="s">
        <v>32</v>
      </c>
      <c r="B4823" s="1" t="s">
        <v>51</v>
      </c>
      <c r="C4823" s="1" t="str">
        <f t="shared" si="115"/>
        <v>020017</v>
      </c>
      <c r="D4823" s="1" t="str">
        <f>"512626104"</f>
        <v>512626104</v>
      </c>
      <c r="E4823" s="1">
        <v>81.5</v>
      </c>
      <c r="F4823" s="1">
        <v>71.5</v>
      </c>
      <c r="H4823" s="1">
        <v>77.5</v>
      </c>
    </row>
    <row r="4824" s="1" customFormat="1" spans="1:8">
      <c r="A4824" s="1" t="s">
        <v>32</v>
      </c>
      <c r="B4824" s="1" t="s">
        <v>51</v>
      </c>
      <c r="C4824" s="1" t="str">
        <f t="shared" si="115"/>
        <v>020017</v>
      </c>
      <c r="D4824" s="1" t="str">
        <f>"512626105"</f>
        <v>512626105</v>
      </c>
      <c r="E4824" s="1">
        <v>94.5</v>
      </c>
      <c r="F4824" s="1">
        <v>66.5</v>
      </c>
      <c r="H4824" s="1">
        <v>83.3</v>
      </c>
    </row>
    <row r="4825" s="1" customFormat="1" spans="1:8">
      <c r="A4825" s="1" t="s">
        <v>32</v>
      </c>
      <c r="B4825" s="1" t="s">
        <v>51</v>
      </c>
      <c r="C4825" s="1" t="str">
        <f t="shared" si="115"/>
        <v>020017</v>
      </c>
      <c r="D4825" s="1" t="str">
        <f>"512626106"</f>
        <v>512626106</v>
      </c>
      <c r="E4825" s="1">
        <v>83.5</v>
      </c>
      <c r="F4825" s="1">
        <v>82.5</v>
      </c>
      <c r="H4825" s="1">
        <v>83.1</v>
      </c>
    </row>
    <row r="4826" s="1" customFormat="1" spans="1:8">
      <c r="A4826" s="1" t="s">
        <v>32</v>
      </c>
      <c r="B4826" s="1" t="s">
        <v>51</v>
      </c>
      <c r="C4826" s="1" t="str">
        <f t="shared" si="115"/>
        <v>020017</v>
      </c>
      <c r="D4826" s="1" t="str">
        <f>"512626107"</f>
        <v>512626107</v>
      </c>
      <c r="E4826" s="1">
        <v>93</v>
      </c>
      <c r="F4826" s="1">
        <v>73</v>
      </c>
      <c r="H4826" s="1">
        <v>85</v>
      </c>
    </row>
    <row r="4827" s="1" customFormat="1" spans="1:8">
      <c r="A4827" s="1" t="s">
        <v>32</v>
      </c>
      <c r="B4827" s="1" t="s">
        <v>51</v>
      </c>
      <c r="C4827" s="1" t="str">
        <f t="shared" si="115"/>
        <v>020017</v>
      </c>
      <c r="D4827" s="1" t="str">
        <f>"512626108"</f>
        <v>512626108</v>
      </c>
      <c r="E4827" s="1">
        <v>65.5</v>
      </c>
      <c r="F4827" s="1">
        <v>79</v>
      </c>
      <c r="H4827" s="1">
        <v>70.9</v>
      </c>
    </row>
    <row r="4828" s="1" customFormat="1" spans="1:8">
      <c r="A4828" s="1" t="s">
        <v>32</v>
      </c>
      <c r="B4828" s="1" t="s">
        <v>51</v>
      </c>
      <c r="C4828" s="1" t="str">
        <f t="shared" si="115"/>
        <v>020017</v>
      </c>
      <c r="D4828" s="1" t="str">
        <f>"512626109"</f>
        <v>512626109</v>
      </c>
      <c r="E4828" s="1">
        <v>93.5</v>
      </c>
      <c r="F4828" s="1">
        <v>73</v>
      </c>
      <c r="H4828" s="1">
        <v>85.3</v>
      </c>
    </row>
    <row r="4829" s="1" customFormat="1" spans="1:8">
      <c r="A4829" s="1" t="s">
        <v>32</v>
      </c>
      <c r="B4829" s="1" t="s">
        <v>51</v>
      </c>
      <c r="C4829" s="1" t="str">
        <f t="shared" si="115"/>
        <v>020017</v>
      </c>
      <c r="D4829" s="1" t="str">
        <f>"512626110"</f>
        <v>512626110</v>
      </c>
      <c r="E4829" s="1">
        <v>87.5</v>
      </c>
      <c r="F4829" s="1">
        <v>80</v>
      </c>
      <c r="H4829" s="1">
        <v>84.5</v>
      </c>
    </row>
    <row r="4830" s="1" customFormat="1" spans="1:8">
      <c r="A4830" s="1" t="s">
        <v>32</v>
      </c>
      <c r="B4830" s="1" t="s">
        <v>51</v>
      </c>
      <c r="C4830" s="1" t="str">
        <f t="shared" si="115"/>
        <v>020017</v>
      </c>
      <c r="D4830" s="1" t="str">
        <f>"512626111"</f>
        <v>512626111</v>
      </c>
      <c r="E4830" s="1">
        <v>82</v>
      </c>
      <c r="F4830" s="1">
        <v>62</v>
      </c>
      <c r="H4830" s="1">
        <v>74</v>
      </c>
    </row>
    <row r="4831" s="1" customFormat="1" spans="1:8">
      <c r="A4831" s="1" t="s">
        <v>32</v>
      </c>
      <c r="B4831" s="1" t="s">
        <v>51</v>
      </c>
      <c r="C4831" s="1" t="str">
        <f t="shared" si="115"/>
        <v>020017</v>
      </c>
      <c r="D4831" s="1" t="str">
        <f>"512626112"</f>
        <v>512626112</v>
      </c>
      <c r="E4831" s="1">
        <v>82</v>
      </c>
      <c r="F4831" s="1">
        <v>64.5</v>
      </c>
      <c r="H4831" s="1">
        <v>75</v>
      </c>
    </row>
    <row r="4832" s="1" customFormat="1" spans="1:8">
      <c r="A4832" s="1" t="s">
        <v>32</v>
      </c>
      <c r="B4832" s="1" t="s">
        <v>51</v>
      </c>
      <c r="C4832" s="1" t="str">
        <f t="shared" si="115"/>
        <v>020017</v>
      </c>
      <c r="D4832" s="1" t="str">
        <f>"512626113"</f>
        <v>512626113</v>
      </c>
      <c r="E4832" s="1">
        <v>81</v>
      </c>
      <c r="F4832" s="1">
        <v>82.5</v>
      </c>
      <c r="H4832" s="1">
        <v>81.6</v>
      </c>
    </row>
    <row r="4833" s="1" customFormat="1" spans="1:8">
      <c r="A4833" s="1" t="s">
        <v>32</v>
      </c>
      <c r="B4833" s="1" t="s">
        <v>51</v>
      </c>
      <c r="C4833" s="1" t="str">
        <f t="shared" si="115"/>
        <v>020017</v>
      </c>
      <c r="D4833" s="1" t="str">
        <f>"512626114"</f>
        <v>512626114</v>
      </c>
      <c r="E4833" s="1">
        <v>88.5</v>
      </c>
      <c r="F4833" s="1">
        <v>71.5</v>
      </c>
      <c r="H4833" s="1">
        <v>81.7</v>
      </c>
    </row>
    <row r="4834" s="1" customFormat="1" spans="1:8">
      <c r="A4834" s="1" t="s">
        <v>32</v>
      </c>
      <c r="B4834" s="1" t="s">
        <v>51</v>
      </c>
      <c r="C4834" s="1" t="str">
        <f t="shared" si="115"/>
        <v>020017</v>
      </c>
      <c r="D4834" s="1" t="str">
        <f>"512626115"</f>
        <v>512626115</v>
      </c>
      <c r="E4834" s="1">
        <v>0</v>
      </c>
      <c r="F4834" s="1">
        <v>0</v>
      </c>
      <c r="H4834" s="1">
        <v>0</v>
      </c>
    </row>
    <row r="4835" s="1" customFormat="1" spans="1:8">
      <c r="A4835" s="1" t="s">
        <v>32</v>
      </c>
      <c r="B4835" s="1" t="s">
        <v>51</v>
      </c>
      <c r="C4835" s="1" t="str">
        <f t="shared" si="115"/>
        <v>020017</v>
      </c>
      <c r="D4835" s="1" t="str">
        <f>"512626116"</f>
        <v>512626116</v>
      </c>
      <c r="E4835" s="1">
        <v>91</v>
      </c>
      <c r="F4835" s="1">
        <v>70</v>
      </c>
      <c r="H4835" s="1">
        <v>82.6</v>
      </c>
    </row>
    <row r="4836" s="1" customFormat="1" spans="1:8">
      <c r="A4836" s="1" t="s">
        <v>32</v>
      </c>
      <c r="B4836" s="1" t="s">
        <v>51</v>
      </c>
      <c r="C4836" s="1" t="str">
        <f t="shared" si="115"/>
        <v>020017</v>
      </c>
      <c r="D4836" s="1" t="str">
        <f>"512626117"</f>
        <v>512626117</v>
      </c>
      <c r="E4836" s="1">
        <v>94.5</v>
      </c>
      <c r="F4836" s="1">
        <v>77.5</v>
      </c>
      <c r="H4836" s="1">
        <v>87.7</v>
      </c>
    </row>
    <row r="4837" s="1" customFormat="1" spans="1:8">
      <c r="A4837" s="1" t="s">
        <v>32</v>
      </c>
      <c r="B4837" s="1" t="s">
        <v>51</v>
      </c>
      <c r="C4837" s="1" t="str">
        <f t="shared" si="115"/>
        <v>020017</v>
      </c>
      <c r="D4837" s="1" t="str">
        <f>"512626118"</f>
        <v>512626118</v>
      </c>
      <c r="E4837" s="1">
        <v>80</v>
      </c>
      <c r="F4837" s="1">
        <v>72</v>
      </c>
      <c r="H4837" s="1">
        <v>76.8</v>
      </c>
    </row>
    <row r="4838" s="1" customFormat="1" spans="1:8">
      <c r="A4838" s="1" t="s">
        <v>32</v>
      </c>
      <c r="B4838" s="1" t="s">
        <v>51</v>
      </c>
      <c r="C4838" s="1" t="str">
        <f t="shared" si="115"/>
        <v>020017</v>
      </c>
      <c r="D4838" s="1" t="str">
        <f>"512626119"</f>
        <v>512626119</v>
      </c>
      <c r="E4838" s="1">
        <v>96.5</v>
      </c>
      <c r="F4838" s="1">
        <v>80.5</v>
      </c>
      <c r="H4838" s="1">
        <v>90.1</v>
      </c>
    </row>
    <row r="4839" s="1" customFormat="1" spans="1:8">
      <c r="A4839" s="1" t="s">
        <v>32</v>
      </c>
      <c r="B4839" s="1" t="s">
        <v>51</v>
      </c>
      <c r="C4839" s="1" t="str">
        <f t="shared" si="115"/>
        <v>020017</v>
      </c>
      <c r="D4839" s="1" t="str">
        <f>"512626120"</f>
        <v>512626120</v>
      </c>
      <c r="E4839" s="1">
        <v>59</v>
      </c>
      <c r="F4839" s="1">
        <v>62</v>
      </c>
      <c r="H4839" s="1">
        <v>60.2</v>
      </c>
    </row>
    <row r="4840" s="1" customFormat="1" spans="1:8">
      <c r="A4840" s="1" t="s">
        <v>32</v>
      </c>
      <c r="B4840" s="1" t="s">
        <v>51</v>
      </c>
      <c r="C4840" s="1" t="str">
        <f t="shared" si="115"/>
        <v>020017</v>
      </c>
      <c r="D4840" s="1" t="str">
        <f>"512626121"</f>
        <v>512626121</v>
      </c>
      <c r="E4840" s="1">
        <v>99.5</v>
      </c>
      <c r="F4840" s="1">
        <v>88</v>
      </c>
      <c r="H4840" s="1">
        <v>94.9</v>
      </c>
    </row>
    <row r="4841" s="1" customFormat="1" spans="1:8">
      <c r="A4841" s="1" t="s">
        <v>32</v>
      </c>
      <c r="B4841" s="1" t="s">
        <v>51</v>
      </c>
      <c r="C4841" s="1" t="str">
        <f t="shared" si="115"/>
        <v>020017</v>
      </c>
      <c r="D4841" s="1" t="str">
        <f>"512626122"</f>
        <v>512626122</v>
      </c>
      <c r="E4841" s="1">
        <v>94.5</v>
      </c>
      <c r="F4841" s="1">
        <v>70</v>
      </c>
      <c r="H4841" s="1">
        <v>84.7</v>
      </c>
    </row>
    <row r="4842" s="1" customFormat="1" spans="1:8">
      <c r="A4842" s="1" t="s">
        <v>32</v>
      </c>
      <c r="B4842" s="1" t="s">
        <v>51</v>
      </c>
      <c r="C4842" s="1" t="str">
        <f t="shared" si="115"/>
        <v>020017</v>
      </c>
      <c r="D4842" s="1" t="str">
        <f>"512626123"</f>
        <v>512626123</v>
      </c>
      <c r="E4842" s="1">
        <v>93</v>
      </c>
      <c r="F4842" s="1">
        <v>71</v>
      </c>
      <c r="H4842" s="1">
        <v>84.2</v>
      </c>
    </row>
    <row r="4843" s="1" customFormat="1" spans="1:8">
      <c r="A4843" s="1" t="s">
        <v>32</v>
      </c>
      <c r="B4843" s="1" t="s">
        <v>51</v>
      </c>
      <c r="C4843" s="1" t="str">
        <f t="shared" si="115"/>
        <v>020017</v>
      </c>
      <c r="D4843" s="1" t="str">
        <f>"512626124"</f>
        <v>512626124</v>
      </c>
      <c r="E4843" s="1">
        <v>94</v>
      </c>
      <c r="F4843" s="1">
        <v>77</v>
      </c>
      <c r="H4843" s="1">
        <v>87.2</v>
      </c>
    </row>
    <row r="4844" s="1" customFormat="1" spans="1:8">
      <c r="A4844" s="1" t="s">
        <v>32</v>
      </c>
      <c r="B4844" s="1" t="s">
        <v>51</v>
      </c>
      <c r="C4844" s="1" t="str">
        <f t="shared" si="115"/>
        <v>020017</v>
      </c>
      <c r="D4844" s="1" t="str">
        <f>"512626125"</f>
        <v>512626125</v>
      </c>
      <c r="E4844" s="1">
        <v>98</v>
      </c>
      <c r="F4844" s="1">
        <v>63</v>
      </c>
      <c r="H4844" s="1">
        <v>84</v>
      </c>
    </row>
    <row r="4845" s="1" customFormat="1" spans="1:8">
      <c r="A4845" s="1" t="s">
        <v>32</v>
      </c>
      <c r="B4845" s="1" t="s">
        <v>51</v>
      </c>
      <c r="C4845" s="1" t="str">
        <f t="shared" si="115"/>
        <v>020017</v>
      </c>
      <c r="D4845" s="1" t="str">
        <f>"512626126"</f>
        <v>512626126</v>
      </c>
      <c r="E4845" s="1">
        <v>91</v>
      </c>
      <c r="F4845" s="1">
        <v>79.5</v>
      </c>
      <c r="H4845" s="1">
        <v>86.4</v>
      </c>
    </row>
    <row r="4846" s="1" customFormat="1" spans="1:8">
      <c r="A4846" s="1" t="s">
        <v>32</v>
      </c>
      <c r="B4846" s="1" t="s">
        <v>51</v>
      </c>
      <c r="C4846" s="1" t="str">
        <f t="shared" si="115"/>
        <v>020017</v>
      </c>
      <c r="D4846" s="1" t="str">
        <f>"512626127"</f>
        <v>512626127</v>
      </c>
      <c r="E4846" s="1">
        <v>90.5</v>
      </c>
      <c r="F4846" s="1">
        <v>75.5</v>
      </c>
      <c r="H4846" s="1">
        <v>84.5</v>
      </c>
    </row>
    <row r="4847" s="1" customFormat="1" spans="1:8">
      <c r="A4847" s="1" t="s">
        <v>32</v>
      </c>
      <c r="B4847" s="1" t="s">
        <v>51</v>
      </c>
      <c r="C4847" s="1" t="str">
        <f t="shared" si="115"/>
        <v>020017</v>
      </c>
      <c r="D4847" s="1" t="str">
        <f>"512626128"</f>
        <v>512626128</v>
      </c>
      <c r="E4847" s="1">
        <v>0</v>
      </c>
      <c r="F4847" s="1">
        <v>0</v>
      </c>
      <c r="H4847" s="1">
        <v>0</v>
      </c>
    </row>
    <row r="4848" s="1" customFormat="1" spans="1:8">
      <c r="A4848" s="1" t="s">
        <v>32</v>
      </c>
      <c r="B4848" s="1" t="s">
        <v>51</v>
      </c>
      <c r="C4848" s="1" t="str">
        <f t="shared" si="115"/>
        <v>020017</v>
      </c>
      <c r="D4848" s="1" t="str">
        <f>"512626129"</f>
        <v>512626129</v>
      </c>
      <c r="E4848" s="1">
        <v>94</v>
      </c>
      <c r="F4848" s="1">
        <v>73</v>
      </c>
      <c r="H4848" s="1">
        <v>85.6</v>
      </c>
    </row>
    <row r="4849" s="1" customFormat="1" spans="1:8">
      <c r="A4849" s="1" t="s">
        <v>34</v>
      </c>
      <c r="B4849" s="1" t="s">
        <v>51</v>
      </c>
      <c r="C4849" s="1" t="str">
        <f t="shared" ref="C4849:C4903" si="116">"020032"</f>
        <v>020032</v>
      </c>
      <c r="D4849" s="1" t="str">
        <f>"512626130"</f>
        <v>512626130</v>
      </c>
      <c r="E4849" s="1">
        <v>88</v>
      </c>
      <c r="F4849" s="1">
        <v>75</v>
      </c>
      <c r="G4849" s="1">
        <v>2</v>
      </c>
      <c r="H4849" s="1">
        <v>84.8</v>
      </c>
    </row>
    <row r="4850" s="1" customFormat="1" spans="1:8">
      <c r="A4850" s="1" t="s">
        <v>34</v>
      </c>
      <c r="B4850" s="1" t="s">
        <v>51</v>
      </c>
      <c r="C4850" s="1" t="str">
        <f t="shared" si="116"/>
        <v>020032</v>
      </c>
      <c r="D4850" s="1" t="str">
        <f>"512626201"</f>
        <v>512626201</v>
      </c>
      <c r="E4850" s="1">
        <v>100</v>
      </c>
      <c r="F4850" s="1">
        <v>75.5</v>
      </c>
      <c r="H4850" s="1">
        <v>90.2</v>
      </c>
    </row>
    <row r="4851" s="1" customFormat="1" spans="1:8">
      <c r="A4851" s="1" t="s">
        <v>34</v>
      </c>
      <c r="B4851" s="1" t="s">
        <v>51</v>
      </c>
      <c r="C4851" s="1" t="str">
        <f t="shared" si="116"/>
        <v>020032</v>
      </c>
      <c r="D4851" s="1" t="str">
        <f>"512626202"</f>
        <v>512626202</v>
      </c>
      <c r="E4851" s="1">
        <v>91</v>
      </c>
      <c r="F4851" s="1">
        <v>70.5</v>
      </c>
      <c r="H4851" s="1">
        <v>82.8</v>
      </c>
    </row>
    <row r="4852" s="1" customFormat="1" spans="1:8">
      <c r="A4852" s="1" t="s">
        <v>34</v>
      </c>
      <c r="B4852" s="1" t="s">
        <v>51</v>
      </c>
      <c r="C4852" s="1" t="str">
        <f t="shared" si="116"/>
        <v>020032</v>
      </c>
      <c r="D4852" s="1" t="str">
        <f>"512626203"</f>
        <v>512626203</v>
      </c>
      <c r="E4852" s="1">
        <v>78.5</v>
      </c>
      <c r="F4852" s="1">
        <v>76.5</v>
      </c>
      <c r="H4852" s="1">
        <v>77.7</v>
      </c>
    </row>
    <row r="4853" s="1" customFormat="1" spans="1:8">
      <c r="A4853" s="1" t="s">
        <v>34</v>
      </c>
      <c r="B4853" s="1" t="s">
        <v>51</v>
      </c>
      <c r="C4853" s="1" t="str">
        <f t="shared" si="116"/>
        <v>020032</v>
      </c>
      <c r="D4853" s="1" t="str">
        <f>"512626204"</f>
        <v>512626204</v>
      </c>
      <c r="E4853" s="1">
        <v>83.5</v>
      </c>
      <c r="F4853" s="1">
        <v>65</v>
      </c>
      <c r="H4853" s="1">
        <v>76.1</v>
      </c>
    </row>
    <row r="4854" s="1" customFormat="1" spans="1:8">
      <c r="A4854" s="1" t="s">
        <v>34</v>
      </c>
      <c r="B4854" s="1" t="s">
        <v>51</v>
      </c>
      <c r="C4854" s="1" t="str">
        <f t="shared" si="116"/>
        <v>020032</v>
      </c>
      <c r="D4854" s="1" t="str">
        <f>"512626205"</f>
        <v>512626205</v>
      </c>
      <c r="E4854" s="1">
        <v>88</v>
      </c>
      <c r="F4854" s="1">
        <v>67</v>
      </c>
      <c r="H4854" s="1">
        <v>79.6</v>
      </c>
    </row>
    <row r="4855" s="1" customFormat="1" spans="1:8">
      <c r="A4855" s="1" t="s">
        <v>34</v>
      </c>
      <c r="B4855" s="1" t="s">
        <v>51</v>
      </c>
      <c r="C4855" s="1" t="str">
        <f t="shared" si="116"/>
        <v>020032</v>
      </c>
      <c r="D4855" s="1" t="str">
        <f>"512626206"</f>
        <v>512626206</v>
      </c>
      <c r="E4855" s="1">
        <v>97</v>
      </c>
      <c r="F4855" s="1">
        <v>80.5</v>
      </c>
      <c r="H4855" s="1">
        <v>90.4</v>
      </c>
    </row>
    <row r="4856" s="1" customFormat="1" spans="1:8">
      <c r="A4856" s="1" t="s">
        <v>34</v>
      </c>
      <c r="B4856" s="1" t="s">
        <v>51</v>
      </c>
      <c r="C4856" s="1" t="str">
        <f t="shared" si="116"/>
        <v>020032</v>
      </c>
      <c r="D4856" s="1" t="str">
        <f>"512626207"</f>
        <v>512626207</v>
      </c>
      <c r="E4856" s="1">
        <v>85.5</v>
      </c>
      <c r="F4856" s="1">
        <v>73</v>
      </c>
      <c r="H4856" s="1">
        <v>80.5</v>
      </c>
    </row>
    <row r="4857" s="1" customFormat="1" spans="1:8">
      <c r="A4857" s="1" t="s">
        <v>34</v>
      </c>
      <c r="B4857" s="1" t="s">
        <v>51</v>
      </c>
      <c r="C4857" s="1" t="str">
        <f t="shared" si="116"/>
        <v>020032</v>
      </c>
      <c r="D4857" s="1" t="str">
        <f>"512626208"</f>
        <v>512626208</v>
      </c>
      <c r="E4857" s="1">
        <v>85.5</v>
      </c>
      <c r="F4857" s="1">
        <v>84</v>
      </c>
      <c r="H4857" s="1">
        <v>84.9</v>
      </c>
    </row>
    <row r="4858" s="1" customFormat="1" spans="1:8">
      <c r="A4858" s="1" t="s">
        <v>34</v>
      </c>
      <c r="B4858" s="1" t="s">
        <v>51</v>
      </c>
      <c r="C4858" s="1" t="str">
        <f t="shared" si="116"/>
        <v>020032</v>
      </c>
      <c r="D4858" s="1" t="str">
        <f>"512626209"</f>
        <v>512626209</v>
      </c>
      <c r="E4858" s="1">
        <v>73</v>
      </c>
      <c r="F4858" s="1">
        <v>66</v>
      </c>
      <c r="H4858" s="1">
        <v>70.2</v>
      </c>
    </row>
    <row r="4859" s="1" customFormat="1" spans="1:8">
      <c r="A4859" s="1" t="s">
        <v>34</v>
      </c>
      <c r="B4859" s="1" t="s">
        <v>51</v>
      </c>
      <c r="C4859" s="1" t="str">
        <f t="shared" si="116"/>
        <v>020032</v>
      </c>
      <c r="D4859" s="1" t="str">
        <f>"512626210"</f>
        <v>512626210</v>
      </c>
      <c r="E4859" s="1">
        <v>93.5</v>
      </c>
      <c r="F4859" s="1">
        <v>77</v>
      </c>
      <c r="H4859" s="1">
        <v>86.9</v>
      </c>
    </row>
    <row r="4860" s="1" customFormat="1" spans="1:8">
      <c r="A4860" s="1" t="s">
        <v>34</v>
      </c>
      <c r="B4860" s="1" t="s">
        <v>51</v>
      </c>
      <c r="C4860" s="1" t="str">
        <f t="shared" si="116"/>
        <v>020032</v>
      </c>
      <c r="D4860" s="1" t="str">
        <f>"512626211"</f>
        <v>512626211</v>
      </c>
      <c r="E4860" s="1">
        <v>76</v>
      </c>
      <c r="F4860" s="1">
        <v>69.5</v>
      </c>
      <c r="H4860" s="1">
        <v>73.4</v>
      </c>
    </row>
    <row r="4861" s="1" customFormat="1" spans="1:8">
      <c r="A4861" s="1" t="s">
        <v>34</v>
      </c>
      <c r="B4861" s="1" t="s">
        <v>51</v>
      </c>
      <c r="C4861" s="1" t="str">
        <f t="shared" si="116"/>
        <v>020032</v>
      </c>
      <c r="D4861" s="1" t="str">
        <f>"512626212"</f>
        <v>512626212</v>
      </c>
      <c r="E4861" s="1">
        <v>85.5</v>
      </c>
      <c r="F4861" s="1">
        <v>65.5</v>
      </c>
      <c r="H4861" s="1">
        <v>77.5</v>
      </c>
    </row>
    <row r="4862" s="1" customFormat="1" spans="1:8">
      <c r="A4862" s="1" t="s">
        <v>34</v>
      </c>
      <c r="B4862" s="1" t="s">
        <v>51</v>
      </c>
      <c r="C4862" s="1" t="str">
        <f t="shared" si="116"/>
        <v>020032</v>
      </c>
      <c r="D4862" s="1" t="str">
        <f>"512626213"</f>
        <v>512626213</v>
      </c>
      <c r="E4862" s="1">
        <v>93</v>
      </c>
      <c r="F4862" s="1">
        <v>63</v>
      </c>
      <c r="H4862" s="1">
        <v>81</v>
      </c>
    </row>
    <row r="4863" s="1" customFormat="1" spans="1:8">
      <c r="A4863" s="1" t="s">
        <v>34</v>
      </c>
      <c r="B4863" s="1" t="s">
        <v>51</v>
      </c>
      <c r="C4863" s="1" t="str">
        <f t="shared" si="116"/>
        <v>020032</v>
      </c>
      <c r="D4863" s="1" t="str">
        <f>"512626214"</f>
        <v>512626214</v>
      </c>
      <c r="E4863" s="1">
        <v>98.5</v>
      </c>
      <c r="F4863" s="1">
        <v>78.5</v>
      </c>
      <c r="H4863" s="1">
        <v>90.5</v>
      </c>
    </row>
    <row r="4864" s="1" customFormat="1" spans="1:8">
      <c r="A4864" s="1" t="s">
        <v>34</v>
      </c>
      <c r="B4864" s="1" t="s">
        <v>51</v>
      </c>
      <c r="C4864" s="1" t="str">
        <f t="shared" si="116"/>
        <v>020032</v>
      </c>
      <c r="D4864" s="1" t="str">
        <f>"512626215"</f>
        <v>512626215</v>
      </c>
      <c r="E4864" s="1">
        <v>95.5</v>
      </c>
      <c r="F4864" s="1">
        <v>78</v>
      </c>
      <c r="H4864" s="1">
        <v>88.5</v>
      </c>
    </row>
    <row r="4865" s="1" customFormat="1" spans="1:8">
      <c r="A4865" s="1" t="s">
        <v>34</v>
      </c>
      <c r="B4865" s="1" t="s">
        <v>51</v>
      </c>
      <c r="C4865" s="1" t="str">
        <f t="shared" si="116"/>
        <v>020032</v>
      </c>
      <c r="D4865" s="1" t="str">
        <f>"512626216"</f>
        <v>512626216</v>
      </c>
      <c r="E4865" s="1">
        <v>87</v>
      </c>
      <c r="F4865" s="1">
        <v>78</v>
      </c>
      <c r="H4865" s="1">
        <v>83.4</v>
      </c>
    </row>
    <row r="4866" s="1" customFormat="1" spans="1:8">
      <c r="A4866" s="1" t="s">
        <v>34</v>
      </c>
      <c r="B4866" s="1" t="s">
        <v>51</v>
      </c>
      <c r="C4866" s="1" t="str">
        <f t="shared" si="116"/>
        <v>020032</v>
      </c>
      <c r="D4866" s="1" t="str">
        <f>"512626217"</f>
        <v>512626217</v>
      </c>
      <c r="E4866" s="1">
        <v>73</v>
      </c>
      <c r="F4866" s="1">
        <v>76.5</v>
      </c>
      <c r="H4866" s="1">
        <v>74.4</v>
      </c>
    </row>
    <row r="4867" s="1" customFormat="1" spans="1:8">
      <c r="A4867" s="1" t="s">
        <v>34</v>
      </c>
      <c r="B4867" s="1" t="s">
        <v>51</v>
      </c>
      <c r="C4867" s="1" t="str">
        <f t="shared" si="116"/>
        <v>020032</v>
      </c>
      <c r="D4867" s="1" t="str">
        <f>"512626218"</f>
        <v>512626218</v>
      </c>
      <c r="E4867" s="1">
        <v>0</v>
      </c>
      <c r="F4867" s="1">
        <v>0</v>
      </c>
      <c r="H4867" s="1">
        <v>0</v>
      </c>
    </row>
    <row r="4868" s="1" customFormat="1" spans="1:8">
      <c r="A4868" s="1" t="s">
        <v>34</v>
      </c>
      <c r="B4868" s="1" t="s">
        <v>51</v>
      </c>
      <c r="C4868" s="1" t="str">
        <f t="shared" si="116"/>
        <v>020032</v>
      </c>
      <c r="D4868" s="1" t="str">
        <f>"512626219"</f>
        <v>512626219</v>
      </c>
      <c r="E4868" s="1">
        <v>92</v>
      </c>
      <c r="F4868" s="1">
        <v>78</v>
      </c>
      <c r="H4868" s="1">
        <v>86.4</v>
      </c>
    </row>
    <row r="4869" s="1" customFormat="1" spans="1:8">
      <c r="A4869" s="1" t="s">
        <v>34</v>
      </c>
      <c r="B4869" s="1" t="s">
        <v>51</v>
      </c>
      <c r="C4869" s="1" t="str">
        <f t="shared" si="116"/>
        <v>020032</v>
      </c>
      <c r="D4869" s="1" t="str">
        <f>"512626220"</f>
        <v>512626220</v>
      </c>
      <c r="E4869" s="1">
        <v>73.5</v>
      </c>
      <c r="F4869" s="1">
        <v>57</v>
      </c>
      <c r="H4869" s="1">
        <v>66.9</v>
      </c>
    </row>
    <row r="4870" s="1" customFormat="1" spans="1:8">
      <c r="A4870" s="1" t="s">
        <v>34</v>
      </c>
      <c r="B4870" s="1" t="s">
        <v>51</v>
      </c>
      <c r="C4870" s="1" t="str">
        <f t="shared" si="116"/>
        <v>020032</v>
      </c>
      <c r="D4870" s="1" t="str">
        <f>"512626221"</f>
        <v>512626221</v>
      </c>
      <c r="E4870" s="1">
        <v>0</v>
      </c>
      <c r="F4870" s="1">
        <v>0</v>
      </c>
      <c r="H4870" s="1">
        <v>0</v>
      </c>
    </row>
    <row r="4871" s="1" customFormat="1" spans="1:8">
      <c r="A4871" s="1" t="s">
        <v>34</v>
      </c>
      <c r="B4871" s="1" t="s">
        <v>51</v>
      </c>
      <c r="C4871" s="1" t="str">
        <f t="shared" si="116"/>
        <v>020032</v>
      </c>
      <c r="D4871" s="1" t="str">
        <f>"512626222"</f>
        <v>512626222</v>
      </c>
      <c r="E4871" s="1">
        <v>99</v>
      </c>
      <c r="F4871" s="1">
        <v>78.5</v>
      </c>
      <c r="H4871" s="1">
        <v>90.8</v>
      </c>
    </row>
    <row r="4872" s="1" customFormat="1" spans="1:8">
      <c r="A4872" s="1" t="s">
        <v>34</v>
      </c>
      <c r="B4872" s="1" t="s">
        <v>51</v>
      </c>
      <c r="C4872" s="1" t="str">
        <f t="shared" si="116"/>
        <v>020032</v>
      </c>
      <c r="D4872" s="1" t="str">
        <f>"512626223"</f>
        <v>512626223</v>
      </c>
      <c r="E4872" s="1">
        <v>86</v>
      </c>
      <c r="F4872" s="1">
        <v>72</v>
      </c>
      <c r="H4872" s="1">
        <v>80.4</v>
      </c>
    </row>
    <row r="4873" s="1" customFormat="1" spans="1:8">
      <c r="A4873" s="1" t="s">
        <v>34</v>
      </c>
      <c r="B4873" s="1" t="s">
        <v>51</v>
      </c>
      <c r="C4873" s="1" t="str">
        <f t="shared" si="116"/>
        <v>020032</v>
      </c>
      <c r="D4873" s="1" t="str">
        <f>"512626224"</f>
        <v>512626224</v>
      </c>
      <c r="E4873" s="1">
        <v>97.5</v>
      </c>
      <c r="F4873" s="1">
        <v>77.5</v>
      </c>
      <c r="H4873" s="1">
        <v>89.5</v>
      </c>
    </row>
    <row r="4874" s="1" customFormat="1" spans="1:8">
      <c r="A4874" s="1" t="s">
        <v>34</v>
      </c>
      <c r="B4874" s="1" t="s">
        <v>51</v>
      </c>
      <c r="C4874" s="1" t="str">
        <f t="shared" si="116"/>
        <v>020032</v>
      </c>
      <c r="D4874" s="1" t="str">
        <f>"512626225"</f>
        <v>512626225</v>
      </c>
      <c r="E4874" s="1">
        <v>0</v>
      </c>
      <c r="F4874" s="1">
        <v>0</v>
      </c>
      <c r="H4874" s="1">
        <v>0</v>
      </c>
    </row>
    <row r="4875" s="1" customFormat="1" spans="1:8">
      <c r="A4875" s="1" t="s">
        <v>34</v>
      </c>
      <c r="B4875" s="1" t="s">
        <v>51</v>
      </c>
      <c r="C4875" s="1" t="str">
        <f t="shared" si="116"/>
        <v>020032</v>
      </c>
      <c r="D4875" s="1" t="str">
        <f>"512626226"</f>
        <v>512626226</v>
      </c>
      <c r="E4875" s="1">
        <v>94</v>
      </c>
      <c r="F4875" s="1">
        <v>62</v>
      </c>
      <c r="H4875" s="1">
        <v>81.2</v>
      </c>
    </row>
    <row r="4876" s="1" customFormat="1" spans="1:8">
      <c r="A4876" s="1" t="s">
        <v>34</v>
      </c>
      <c r="B4876" s="1" t="s">
        <v>51</v>
      </c>
      <c r="C4876" s="1" t="str">
        <f t="shared" si="116"/>
        <v>020032</v>
      </c>
      <c r="D4876" s="1" t="str">
        <f>"512626227"</f>
        <v>512626227</v>
      </c>
      <c r="E4876" s="1">
        <v>84.5</v>
      </c>
      <c r="F4876" s="1">
        <v>66.5</v>
      </c>
      <c r="H4876" s="1">
        <v>77.3</v>
      </c>
    </row>
    <row r="4877" s="1" customFormat="1" spans="1:8">
      <c r="A4877" s="1" t="s">
        <v>34</v>
      </c>
      <c r="B4877" s="1" t="s">
        <v>51</v>
      </c>
      <c r="C4877" s="1" t="str">
        <f t="shared" si="116"/>
        <v>020032</v>
      </c>
      <c r="D4877" s="1" t="str">
        <f>"512626228"</f>
        <v>512626228</v>
      </c>
      <c r="E4877" s="1">
        <v>0</v>
      </c>
      <c r="F4877" s="1">
        <v>0</v>
      </c>
      <c r="H4877" s="1">
        <v>0</v>
      </c>
    </row>
    <row r="4878" s="1" customFormat="1" spans="1:8">
      <c r="A4878" s="1" t="s">
        <v>34</v>
      </c>
      <c r="B4878" s="1" t="s">
        <v>51</v>
      </c>
      <c r="C4878" s="1" t="str">
        <f t="shared" si="116"/>
        <v>020032</v>
      </c>
      <c r="D4878" s="1" t="str">
        <f>"512626229"</f>
        <v>512626229</v>
      </c>
      <c r="E4878" s="1">
        <v>0</v>
      </c>
      <c r="F4878" s="1">
        <v>0</v>
      </c>
      <c r="H4878" s="1">
        <v>0</v>
      </c>
    </row>
    <row r="4879" s="1" customFormat="1" spans="1:8">
      <c r="A4879" s="1" t="s">
        <v>34</v>
      </c>
      <c r="B4879" s="1" t="s">
        <v>51</v>
      </c>
      <c r="C4879" s="1" t="str">
        <f t="shared" si="116"/>
        <v>020032</v>
      </c>
      <c r="D4879" s="1" t="str">
        <f>"512626230"</f>
        <v>512626230</v>
      </c>
      <c r="E4879" s="1">
        <v>98</v>
      </c>
      <c r="F4879" s="1">
        <v>75</v>
      </c>
      <c r="H4879" s="1">
        <v>88.8</v>
      </c>
    </row>
    <row r="4880" s="1" customFormat="1" spans="1:8">
      <c r="A4880" s="1" t="s">
        <v>34</v>
      </c>
      <c r="B4880" s="1" t="s">
        <v>51</v>
      </c>
      <c r="C4880" s="1" t="str">
        <f t="shared" si="116"/>
        <v>020032</v>
      </c>
      <c r="D4880" s="1" t="str">
        <f>"512626301"</f>
        <v>512626301</v>
      </c>
      <c r="E4880" s="1">
        <v>96</v>
      </c>
      <c r="F4880" s="1">
        <v>85</v>
      </c>
      <c r="H4880" s="1">
        <v>91.6</v>
      </c>
    </row>
    <row r="4881" s="1" customFormat="1" spans="1:8">
      <c r="A4881" s="1" t="s">
        <v>34</v>
      </c>
      <c r="B4881" s="1" t="s">
        <v>51</v>
      </c>
      <c r="C4881" s="1" t="str">
        <f t="shared" si="116"/>
        <v>020032</v>
      </c>
      <c r="D4881" s="1" t="str">
        <f>"512626302"</f>
        <v>512626302</v>
      </c>
      <c r="E4881" s="1">
        <v>85.5</v>
      </c>
      <c r="F4881" s="1">
        <v>71.5</v>
      </c>
      <c r="H4881" s="1">
        <v>79.9</v>
      </c>
    </row>
    <row r="4882" s="1" customFormat="1" spans="1:8">
      <c r="A4882" s="1" t="s">
        <v>34</v>
      </c>
      <c r="B4882" s="1" t="s">
        <v>51</v>
      </c>
      <c r="C4882" s="1" t="str">
        <f t="shared" si="116"/>
        <v>020032</v>
      </c>
      <c r="D4882" s="1" t="str">
        <f>"512626303"</f>
        <v>512626303</v>
      </c>
      <c r="E4882" s="1">
        <v>98.5</v>
      </c>
      <c r="F4882" s="1">
        <v>93.5</v>
      </c>
      <c r="H4882" s="1">
        <v>96.5</v>
      </c>
    </row>
    <row r="4883" s="1" customFormat="1" spans="1:8">
      <c r="A4883" s="1" t="s">
        <v>34</v>
      </c>
      <c r="B4883" s="1" t="s">
        <v>51</v>
      </c>
      <c r="C4883" s="1" t="str">
        <f t="shared" si="116"/>
        <v>020032</v>
      </c>
      <c r="D4883" s="1" t="str">
        <f>"512626304"</f>
        <v>512626304</v>
      </c>
      <c r="E4883" s="1">
        <v>96.5</v>
      </c>
      <c r="F4883" s="1">
        <v>86</v>
      </c>
      <c r="H4883" s="1">
        <v>92.3</v>
      </c>
    </row>
    <row r="4884" s="1" customFormat="1" spans="1:8">
      <c r="A4884" s="1" t="s">
        <v>34</v>
      </c>
      <c r="B4884" s="1" t="s">
        <v>51</v>
      </c>
      <c r="C4884" s="1" t="str">
        <f t="shared" si="116"/>
        <v>020032</v>
      </c>
      <c r="D4884" s="1" t="str">
        <f>"512626305"</f>
        <v>512626305</v>
      </c>
      <c r="E4884" s="1">
        <v>0</v>
      </c>
      <c r="F4884" s="1">
        <v>0</v>
      </c>
      <c r="H4884" s="1">
        <v>0</v>
      </c>
    </row>
    <row r="4885" s="1" customFormat="1" spans="1:8">
      <c r="A4885" s="1" t="s">
        <v>34</v>
      </c>
      <c r="B4885" s="1" t="s">
        <v>51</v>
      </c>
      <c r="C4885" s="1" t="str">
        <f t="shared" si="116"/>
        <v>020032</v>
      </c>
      <c r="D4885" s="1" t="str">
        <f>"512626306"</f>
        <v>512626306</v>
      </c>
      <c r="E4885" s="1">
        <v>103.5</v>
      </c>
      <c r="F4885" s="1">
        <v>85</v>
      </c>
      <c r="H4885" s="1">
        <v>96.1</v>
      </c>
    </row>
    <row r="4886" s="1" customFormat="1" spans="1:8">
      <c r="A4886" s="1" t="s">
        <v>34</v>
      </c>
      <c r="B4886" s="1" t="s">
        <v>51</v>
      </c>
      <c r="C4886" s="1" t="str">
        <f t="shared" si="116"/>
        <v>020032</v>
      </c>
      <c r="D4886" s="1" t="str">
        <f>"512626307"</f>
        <v>512626307</v>
      </c>
      <c r="E4886" s="1">
        <v>88.5</v>
      </c>
      <c r="F4886" s="1">
        <v>62.5</v>
      </c>
      <c r="H4886" s="1">
        <v>78.1</v>
      </c>
    </row>
    <row r="4887" s="1" customFormat="1" spans="1:8">
      <c r="A4887" s="1" t="s">
        <v>34</v>
      </c>
      <c r="B4887" s="1" t="s">
        <v>51</v>
      </c>
      <c r="C4887" s="1" t="str">
        <f t="shared" si="116"/>
        <v>020032</v>
      </c>
      <c r="D4887" s="1" t="str">
        <f>"512626308"</f>
        <v>512626308</v>
      </c>
      <c r="E4887" s="1">
        <v>0</v>
      </c>
      <c r="F4887" s="1">
        <v>0</v>
      </c>
      <c r="H4887" s="1">
        <v>0</v>
      </c>
    </row>
    <row r="4888" s="1" customFormat="1" spans="1:8">
      <c r="A4888" s="1" t="s">
        <v>34</v>
      </c>
      <c r="B4888" s="1" t="s">
        <v>51</v>
      </c>
      <c r="C4888" s="1" t="str">
        <f t="shared" si="116"/>
        <v>020032</v>
      </c>
      <c r="D4888" s="1" t="str">
        <f>"512626309"</f>
        <v>512626309</v>
      </c>
      <c r="E4888" s="1">
        <v>88.5</v>
      </c>
      <c r="F4888" s="1">
        <v>69.5</v>
      </c>
      <c r="H4888" s="1">
        <v>80.9</v>
      </c>
    </row>
    <row r="4889" s="1" customFormat="1" spans="1:8">
      <c r="A4889" s="1" t="s">
        <v>34</v>
      </c>
      <c r="B4889" s="1" t="s">
        <v>51</v>
      </c>
      <c r="C4889" s="1" t="str">
        <f t="shared" si="116"/>
        <v>020032</v>
      </c>
      <c r="D4889" s="1" t="str">
        <f>"512626310"</f>
        <v>512626310</v>
      </c>
      <c r="E4889" s="1">
        <v>97</v>
      </c>
      <c r="F4889" s="1">
        <v>81.5</v>
      </c>
      <c r="H4889" s="1">
        <v>90.8</v>
      </c>
    </row>
    <row r="4890" s="1" customFormat="1" spans="1:8">
      <c r="A4890" s="1" t="s">
        <v>34</v>
      </c>
      <c r="B4890" s="1" t="s">
        <v>51</v>
      </c>
      <c r="C4890" s="1" t="str">
        <f t="shared" si="116"/>
        <v>020032</v>
      </c>
      <c r="D4890" s="1" t="str">
        <f>"512626311"</f>
        <v>512626311</v>
      </c>
      <c r="E4890" s="1">
        <v>91.5</v>
      </c>
      <c r="F4890" s="1">
        <v>77.5</v>
      </c>
      <c r="H4890" s="1">
        <v>85.9</v>
      </c>
    </row>
    <row r="4891" s="1" customFormat="1" spans="1:8">
      <c r="A4891" s="1" t="s">
        <v>34</v>
      </c>
      <c r="B4891" s="1" t="s">
        <v>51</v>
      </c>
      <c r="C4891" s="1" t="str">
        <f t="shared" si="116"/>
        <v>020032</v>
      </c>
      <c r="D4891" s="1" t="str">
        <f>"512626312"</f>
        <v>512626312</v>
      </c>
      <c r="E4891" s="1">
        <v>103</v>
      </c>
      <c r="F4891" s="1">
        <v>84.5</v>
      </c>
      <c r="H4891" s="1">
        <v>95.6</v>
      </c>
    </row>
    <row r="4892" s="1" customFormat="1" spans="1:8">
      <c r="A4892" s="1" t="s">
        <v>34</v>
      </c>
      <c r="B4892" s="1" t="s">
        <v>51</v>
      </c>
      <c r="C4892" s="1" t="str">
        <f t="shared" si="116"/>
        <v>020032</v>
      </c>
      <c r="D4892" s="1" t="str">
        <f>"512626313"</f>
        <v>512626313</v>
      </c>
      <c r="E4892" s="1">
        <v>94</v>
      </c>
      <c r="F4892" s="1">
        <v>55</v>
      </c>
      <c r="H4892" s="1">
        <v>78.4</v>
      </c>
    </row>
    <row r="4893" s="1" customFormat="1" spans="1:8">
      <c r="A4893" s="1" t="s">
        <v>34</v>
      </c>
      <c r="B4893" s="1" t="s">
        <v>51</v>
      </c>
      <c r="C4893" s="1" t="str">
        <f t="shared" si="116"/>
        <v>020032</v>
      </c>
      <c r="D4893" s="1" t="str">
        <f>"512626314"</f>
        <v>512626314</v>
      </c>
      <c r="E4893" s="1">
        <v>100</v>
      </c>
      <c r="F4893" s="1">
        <v>56.5</v>
      </c>
      <c r="H4893" s="1">
        <v>82.6</v>
      </c>
    </row>
    <row r="4894" s="1" customFormat="1" spans="1:8">
      <c r="A4894" s="1" t="s">
        <v>34</v>
      </c>
      <c r="B4894" s="1" t="s">
        <v>51</v>
      </c>
      <c r="C4894" s="1" t="str">
        <f t="shared" si="116"/>
        <v>020032</v>
      </c>
      <c r="D4894" s="1" t="str">
        <f>"512626315"</f>
        <v>512626315</v>
      </c>
      <c r="E4894" s="1">
        <v>95.5</v>
      </c>
      <c r="F4894" s="1">
        <v>88.5</v>
      </c>
      <c r="H4894" s="1">
        <v>92.7</v>
      </c>
    </row>
    <row r="4895" s="1" customFormat="1" spans="1:8">
      <c r="A4895" s="1" t="s">
        <v>34</v>
      </c>
      <c r="B4895" s="1" t="s">
        <v>51</v>
      </c>
      <c r="C4895" s="1" t="str">
        <f t="shared" si="116"/>
        <v>020032</v>
      </c>
      <c r="D4895" s="1" t="str">
        <f>"512626316"</f>
        <v>512626316</v>
      </c>
      <c r="E4895" s="1">
        <v>91</v>
      </c>
      <c r="F4895" s="1">
        <v>73.5</v>
      </c>
      <c r="H4895" s="1">
        <v>84</v>
      </c>
    </row>
    <row r="4896" s="1" customFormat="1" spans="1:8">
      <c r="A4896" s="1" t="s">
        <v>34</v>
      </c>
      <c r="B4896" s="1" t="s">
        <v>51</v>
      </c>
      <c r="C4896" s="1" t="str">
        <f t="shared" si="116"/>
        <v>020032</v>
      </c>
      <c r="D4896" s="1" t="str">
        <f>"512626317"</f>
        <v>512626317</v>
      </c>
      <c r="E4896" s="1">
        <v>95</v>
      </c>
      <c r="F4896" s="1">
        <v>54</v>
      </c>
      <c r="H4896" s="1">
        <v>78.6</v>
      </c>
    </row>
    <row r="4897" s="1" customFormat="1" spans="1:8">
      <c r="A4897" s="1" t="s">
        <v>34</v>
      </c>
      <c r="B4897" s="1" t="s">
        <v>51</v>
      </c>
      <c r="C4897" s="1" t="str">
        <f t="shared" si="116"/>
        <v>020032</v>
      </c>
      <c r="D4897" s="1" t="str">
        <f>"512626318"</f>
        <v>512626318</v>
      </c>
      <c r="E4897" s="1">
        <v>100.5</v>
      </c>
      <c r="F4897" s="1">
        <v>70</v>
      </c>
      <c r="H4897" s="1">
        <v>88.3</v>
      </c>
    </row>
    <row r="4898" s="1" customFormat="1" spans="1:8">
      <c r="A4898" s="1" t="s">
        <v>34</v>
      </c>
      <c r="B4898" s="1" t="s">
        <v>51</v>
      </c>
      <c r="C4898" s="1" t="str">
        <f t="shared" si="116"/>
        <v>020032</v>
      </c>
      <c r="D4898" s="1" t="str">
        <f>"512626319"</f>
        <v>512626319</v>
      </c>
      <c r="E4898" s="1">
        <v>95</v>
      </c>
      <c r="F4898" s="1">
        <v>65.5</v>
      </c>
      <c r="H4898" s="1">
        <v>83.2</v>
      </c>
    </row>
    <row r="4899" s="1" customFormat="1" spans="1:8">
      <c r="A4899" s="1" t="s">
        <v>34</v>
      </c>
      <c r="B4899" s="1" t="s">
        <v>51</v>
      </c>
      <c r="C4899" s="1" t="str">
        <f t="shared" si="116"/>
        <v>020032</v>
      </c>
      <c r="D4899" s="1" t="str">
        <f>"512626320"</f>
        <v>512626320</v>
      </c>
      <c r="E4899" s="1">
        <v>94</v>
      </c>
      <c r="F4899" s="1">
        <v>74</v>
      </c>
      <c r="H4899" s="1">
        <v>86</v>
      </c>
    </row>
    <row r="4900" s="1" customFormat="1" spans="1:8">
      <c r="A4900" s="1" t="s">
        <v>34</v>
      </c>
      <c r="B4900" s="1" t="s">
        <v>51</v>
      </c>
      <c r="C4900" s="1" t="str">
        <f t="shared" si="116"/>
        <v>020032</v>
      </c>
      <c r="D4900" s="1" t="str">
        <f>"512626321"</f>
        <v>512626321</v>
      </c>
      <c r="E4900" s="1">
        <v>94.5</v>
      </c>
      <c r="F4900" s="1">
        <v>71</v>
      </c>
      <c r="H4900" s="1">
        <v>85.1</v>
      </c>
    </row>
    <row r="4901" s="1" customFormat="1" spans="1:8">
      <c r="A4901" s="1" t="s">
        <v>34</v>
      </c>
      <c r="B4901" s="1" t="s">
        <v>51</v>
      </c>
      <c r="C4901" s="1" t="str">
        <f t="shared" si="116"/>
        <v>020032</v>
      </c>
      <c r="D4901" s="1" t="str">
        <f>"512626322"</f>
        <v>512626322</v>
      </c>
      <c r="E4901" s="1">
        <v>92.5</v>
      </c>
      <c r="F4901" s="1">
        <v>71.5</v>
      </c>
      <c r="H4901" s="1">
        <v>84.1</v>
      </c>
    </row>
    <row r="4902" s="1" customFormat="1" spans="1:8">
      <c r="A4902" s="1" t="s">
        <v>34</v>
      </c>
      <c r="B4902" s="1" t="s">
        <v>51</v>
      </c>
      <c r="C4902" s="1" t="str">
        <f t="shared" si="116"/>
        <v>020032</v>
      </c>
      <c r="D4902" s="1" t="str">
        <f>"512626323"</f>
        <v>512626323</v>
      </c>
      <c r="E4902" s="1">
        <v>0</v>
      </c>
      <c r="F4902" s="1">
        <v>0</v>
      </c>
      <c r="H4902" s="1">
        <v>0</v>
      </c>
    </row>
    <row r="4903" s="1" customFormat="1" spans="1:8">
      <c r="A4903" s="1" t="s">
        <v>34</v>
      </c>
      <c r="B4903" s="1" t="s">
        <v>51</v>
      </c>
      <c r="C4903" s="1" t="str">
        <f t="shared" si="116"/>
        <v>020032</v>
      </c>
      <c r="D4903" s="1" t="str">
        <f>"512626324"</f>
        <v>512626324</v>
      </c>
      <c r="E4903" s="1">
        <v>102</v>
      </c>
      <c r="F4903" s="1">
        <v>68</v>
      </c>
      <c r="H4903" s="1">
        <v>88.4</v>
      </c>
    </row>
    <row r="4904" s="1" customFormat="1" spans="1:8">
      <c r="A4904" s="1" t="s">
        <v>34</v>
      </c>
      <c r="B4904" s="1" t="s">
        <v>52</v>
      </c>
      <c r="C4904" s="1" t="str">
        <f t="shared" ref="C4904:C4960" si="117">"020033"</f>
        <v>020033</v>
      </c>
      <c r="D4904" s="1" t="str">
        <f>"512626325"</f>
        <v>512626325</v>
      </c>
      <c r="E4904" s="1">
        <v>89</v>
      </c>
      <c r="F4904" s="1">
        <v>64.5</v>
      </c>
      <c r="H4904" s="1">
        <v>79.2</v>
      </c>
    </row>
    <row r="4905" s="1" customFormat="1" spans="1:8">
      <c r="A4905" s="1" t="s">
        <v>34</v>
      </c>
      <c r="B4905" s="1" t="s">
        <v>52</v>
      </c>
      <c r="C4905" s="1" t="str">
        <f t="shared" si="117"/>
        <v>020033</v>
      </c>
      <c r="D4905" s="1" t="str">
        <f>"512626326"</f>
        <v>512626326</v>
      </c>
      <c r="E4905" s="1">
        <v>99.5</v>
      </c>
      <c r="F4905" s="1">
        <v>89.5</v>
      </c>
      <c r="H4905" s="1">
        <v>95.5</v>
      </c>
    </row>
    <row r="4906" s="1" customFormat="1" spans="1:8">
      <c r="A4906" s="1" t="s">
        <v>34</v>
      </c>
      <c r="B4906" s="1" t="s">
        <v>52</v>
      </c>
      <c r="C4906" s="1" t="str">
        <f t="shared" si="117"/>
        <v>020033</v>
      </c>
      <c r="D4906" s="1" t="str">
        <f>"512626327"</f>
        <v>512626327</v>
      </c>
      <c r="E4906" s="1">
        <v>96</v>
      </c>
      <c r="F4906" s="1">
        <v>85.5</v>
      </c>
      <c r="H4906" s="1">
        <v>91.8</v>
      </c>
    </row>
    <row r="4907" s="1" customFormat="1" spans="1:8">
      <c r="A4907" s="1" t="s">
        <v>34</v>
      </c>
      <c r="B4907" s="1" t="s">
        <v>52</v>
      </c>
      <c r="C4907" s="1" t="str">
        <f t="shared" si="117"/>
        <v>020033</v>
      </c>
      <c r="D4907" s="1" t="str">
        <f>"512626328"</f>
        <v>512626328</v>
      </c>
      <c r="E4907" s="1">
        <v>83.5</v>
      </c>
      <c r="F4907" s="1">
        <v>0</v>
      </c>
      <c r="H4907" s="1">
        <v>50.1</v>
      </c>
    </row>
    <row r="4908" s="1" customFormat="1" spans="1:8">
      <c r="A4908" s="1" t="s">
        <v>34</v>
      </c>
      <c r="B4908" s="1" t="s">
        <v>52</v>
      </c>
      <c r="C4908" s="1" t="str">
        <f t="shared" si="117"/>
        <v>020033</v>
      </c>
      <c r="D4908" s="1" t="str">
        <f>"512626329"</f>
        <v>512626329</v>
      </c>
      <c r="E4908" s="1">
        <v>95.5</v>
      </c>
      <c r="F4908" s="1">
        <v>89.5</v>
      </c>
      <c r="H4908" s="1">
        <v>93.1</v>
      </c>
    </row>
    <row r="4909" s="1" customFormat="1" spans="1:8">
      <c r="A4909" s="1" t="s">
        <v>34</v>
      </c>
      <c r="B4909" s="1" t="s">
        <v>52</v>
      </c>
      <c r="C4909" s="1" t="str">
        <f t="shared" si="117"/>
        <v>020033</v>
      </c>
      <c r="D4909" s="1" t="str">
        <f>"512626330"</f>
        <v>512626330</v>
      </c>
      <c r="E4909" s="1">
        <v>0</v>
      </c>
      <c r="F4909" s="1">
        <v>0</v>
      </c>
      <c r="H4909" s="1">
        <v>0</v>
      </c>
    </row>
    <row r="4910" s="1" customFormat="1" spans="1:8">
      <c r="A4910" s="1" t="s">
        <v>34</v>
      </c>
      <c r="B4910" s="1" t="s">
        <v>52</v>
      </c>
      <c r="C4910" s="1" t="str">
        <f t="shared" si="117"/>
        <v>020033</v>
      </c>
      <c r="D4910" s="1" t="str">
        <f>"512626401"</f>
        <v>512626401</v>
      </c>
      <c r="E4910" s="1">
        <v>89.5</v>
      </c>
      <c r="F4910" s="1">
        <v>81</v>
      </c>
      <c r="G4910" s="1">
        <v>2</v>
      </c>
      <c r="H4910" s="1">
        <v>88.1</v>
      </c>
    </row>
    <row r="4911" s="1" customFormat="1" spans="1:8">
      <c r="A4911" s="1" t="s">
        <v>34</v>
      </c>
      <c r="B4911" s="1" t="s">
        <v>52</v>
      </c>
      <c r="C4911" s="1" t="str">
        <f t="shared" si="117"/>
        <v>020033</v>
      </c>
      <c r="D4911" s="1" t="str">
        <f>"512626402"</f>
        <v>512626402</v>
      </c>
      <c r="E4911" s="1">
        <v>93</v>
      </c>
      <c r="F4911" s="1">
        <v>70</v>
      </c>
      <c r="H4911" s="1">
        <v>83.8</v>
      </c>
    </row>
    <row r="4912" s="1" customFormat="1" spans="1:8">
      <c r="A4912" s="1" t="s">
        <v>34</v>
      </c>
      <c r="B4912" s="1" t="s">
        <v>52</v>
      </c>
      <c r="C4912" s="1" t="str">
        <f t="shared" si="117"/>
        <v>020033</v>
      </c>
      <c r="D4912" s="1" t="str">
        <f>"512626403"</f>
        <v>512626403</v>
      </c>
      <c r="E4912" s="1">
        <v>94</v>
      </c>
      <c r="F4912" s="1">
        <v>71.5</v>
      </c>
      <c r="H4912" s="1">
        <v>85</v>
      </c>
    </row>
    <row r="4913" s="1" customFormat="1" spans="1:8">
      <c r="A4913" s="1" t="s">
        <v>34</v>
      </c>
      <c r="B4913" s="1" t="s">
        <v>52</v>
      </c>
      <c r="C4913" s="1" t="str">
        <f t="shared" si="117"/>
        <v>020033</v>
      </c>
      <c r="D4913" s="1" t="str">
        <f>"512626404"</f>
        <v>512626404</v>
      </c>
      <c r="E4913" s="1">
        <v>97</v>
      </c>
      <c r="F4913" s="1">
        <v>80</v>
      </c>
      <c r="H4913" s="1">
        <v>90.2</v>
      </c>
    </row>
    <row r="4914" s="1" customFormat="1" spans="1:8">
      <c r="A4914" s="1" t="s">
        <v>34</v>
      </c>
      <c r="B4914" s="1" t="s">
        <v>52</v>
      </c>
      <c r="C4914" s="1" t="str">
        <f t="shared" si="117"/>
        <v>020033</v>
      </c>
      <c r="D4914" s="1" t="str">
        <f>"512626405"</f>
        <v>512626405</v>
      </c>
      <c r="E4914" s="1">
        <v>76</v>
      </c>
      <c r="F4914" s="1">
        <v>53.5</v>
      </c>
      <c r="H4914" s="1">
        <v>67</v>
      </c>
    </row>
    <row r="4915" s="1" customFormat="1" spans="1:8">
      <c r="A4915" s="1" t="s">
        <v>34</v>
      </c>
      <c r="B4915" s="1" t="s">
        <v>52</v>
      </c>
      <c r="C4915" s="1" t="str">
        <f t="shared" si="117"/>
        <v>020033</v>
      </c>
      <c r="D4915" s="1" t="str">
        <f>"512626406"</f>
        <v>512626406</v>
      </c>
      <c r="E4915" s="1">
        <v>98</v>
      </c>
      <c r="F4915" s="1">
        <v>74.5</v>
      </c>
      <c r="H4915" s="1">
        <v>88.6</v>
      </c>
    </row>
    <row r="4916" s="1" customFormat="1" spans="1:8">
      <c r="A4916" s="1" t="s">
        <v>34</v>
      </c>
      <c r="B4916" s="1" t="s">
        <v>52</v>
      </c>
      <c r="C4916" s="1" t="str">
        <f t="shared" si="117"/>
        <v>020033</v>
      </c>
      <c r="D4916" s="1" t="str">
        <f>"512626407"</f>
        <v>512626407</v>
      </c>
      <c r="E4916" s="1">
        <v>66.5</v>
      </c>
      <c r="F4916" s="1">
        <v>76</v>
      </c>
      <c r="H4916" s="1">
        <v>70.3</v>
      </c>
    </row>
    <row r="4917" s="1" customFormat="1" spans="1:8">
      <c r="A4917" s="1" t="s">
        <v>34</v>
      </c>
      <c r="B4917" s="1" t="s">
        <v>52</v>
      </c>
      <c r="C4917" s="1" t="str">
        <f t="shared" si="117"/>
        <v>020033</v>
      </c>
      <c r="D4917" s="1" t="str">
        <f>"512626408"</f>
        <v>512626408</v>
      </c>
      <c r="E4917" s="1">
        <v>0</v>
      </c>
      <c r="F4917" s="1">
        <v>0</v>
      </c>
      <c r="H4917" s="1">
        <v>0</v>
      </c>
    </row>
    <row r="4918" s="1" customFormat="1" spans="1:8">
      <c r="A4918" s="1" t="s">
        <v>34</v>
      </c>
      <c r="B4918" s="1" t="s">
        <v>52</v>
      </c>
      <c r="C4918" s="1" t="str">
        <f t="shared" si="117"/>
        <v>020033</v>
      </c>
      <c r="D4918" s="1" t="str">
        <f>"512626409"</f>
        <v>512626409</v>
      </c>
      <c r="E4918" s="1">
        <v>0</v>
      </c>
      <c r="F4918" s="1">
        <v>0</v>
      </c>
      <c r="H4918" s="1">
        <v>0</v>
      </c>
    </row>
    <row r="4919" s="1" customFormat="1" spans="1:8">
      <c r="A4919" s="1" t="s">
        <v>34</v>
      </c>
      <c r="B4919" s="1" t="s">
        <v>52</v>
      </c>
      <c r="C4919" s="1" t="str">
        <f t="shared" si="117"/>
        <v>020033</v>
      </c>
      <c r="D4919" s="1" t="str">
        <f>"512626410"</f>
        <v>512626410</v>
      </c>
      <c r="E4919" s="1">
        <v>98.5</v>
      </c>
      <c r="F4919" s="1">
        <v>86</v>
      </c>
      <c r="H4919" s="1">
        <v>93.5</v>
      </c>
    </row>
    <row r="4920" s="1" customFormat="1" spans="1:8">
      <c r="A4920" s="1" t="s">
        <v>34</v>
      </c>
      <c r="B4920" s="1" t="s">
        <v>52</v>
      </c>
      <c r="C4920" s="1" t="str">
        <f t="shared" si="117"/>
        <v>020033</v>
      </c>
      <c r="D4920" s="1" t="str">
        <f>"512626411"</f>
        <v>512626411</v>
      </c>
      <c r="E4920" s="1">
        <v>0</v>
      </c>
      <c r="F4920" s="1">
        <v>0</v>
      </c>
      <c r="H4920" s="1">
        <v>0</v>
      </c>
    </row>
    <row r="4921" s="1" customFormat="1" spans="1:8">
      <c r="A4921" s="1" t="s">
        <v>34</v>
      </c>
      <c r="B4921" s="1" t="s">
        <v>52</v>
      </c>
      <c r="C4921" s="1" t="str">
        <f t="shared" si="117"/>
        <v>020033</v>
      </c>
      <c r="D4921" s="1" t="str">
        <f>"512626412"</f>
        <v>512626412</v>
      </c>
      <c r="E4921" s="1">
        <v>88</v>
      </c>
      <c r="F4921" s="1">
        <v>77.5</v>
      </c>
      <c r="H4921" s="1">
        <v>83.8</v>
      </c>
    </row>
    <row r="4922" s="1" customFormat="1" spans="1:8">
      <c r="A4922" s="1" t="s">
        <v>34</v>
      </c>
      <c r="B4922" s="1" t="s">
        <v>52</v>
      </c>
      <c r="C4922" s="1" t="str">
        <f t="shared" si="117"/>
        <v>020033</v>
      </c>
      <c r="D4922" s="1" t="str">
        <f>"512626413"</f>
        <v>512626413</v>
      </c>
      <c r="E4922" s="1">
        <v>0</v>
      </c>
      <c r="F4922" s="1">
        <v>0</v>
      </c>
      <c r="H4922" s="1">
        <v>0</v>
      </c>
    </row>
    <row r="4923" s="1" customFormat="1" spans="1:8">
      <c r="A4923" s="1" t="s">
        <v>34</v>
      </c>
      <c r="B4923" s="1" t="s">
        <v>52</v>
      </c>
      <c r="C4923" s="1" t="str">
        <f t="shared" si="117"/>
        <v>020033</v>
      </c>
      <c r="D4923" s="1" t="str">
        <f>"512626414"</f>
        <v>512626414</v>
      </c>
      <c r="E4923" s="1">
        <v>84</v>
      </c>
      <c r="F4923" s="1">
        <v>67.5</v>
      </c>
      <c r="H4923" s="1">
        <v>77.4</v>
      </c>
    </row>
    <row r="4924" s="1" customFormat="1" spans="1:8">
      <c r="A4924" s="1" t="s">
        <v>34</v>
      </c>
      <c r="B4924" s="1" t="s">
        <v>52</v>
      </c>
      <c r="C4924" s="1" t="str">
        <f t="shared" si="117"/>
        <v>020033</v>
      </c>
      <c r="D4924" s="1" t="str">
        <f>"512626415"</f>
        <v>512626415</v>
      </c>
      <c r="E4924" s="1">
        <v>80.5</v>
      </c>
      <c r="F4924" s="1">
        <v>71</v>
      </c>
      <c r="H4924" s="1">
        <v>76.7</v>
      </c>
    </row>
    <row r="4925" s="1" customFormat="1" spans="1:8">
      <c r="A4925" s="1" t="s">
        <v>34</v>
      </c>
      <c r="B4925" s="1" t="s">
        <v>52</v>
      </c>
      <c r="C4925" s="1" t="str">
        <f t="shared" si="117"/>
        <v>020033</v>
      </c>
      <c r="D4925" s="1" t="str">
        <f>"512626416"</f>
        <v>512626416</v>
      </c>
      <c r="E4925" s="1">
        <v>80</v>
      </c>
      <c r="F4925" s="1">
        <v>60</v>
      </c>
      <c r="G4925" s="1">
        <v>2</v>
      </c>
      <c r="H4925" s="1">
        <v>74</v>
      </c>
    </row>
    <row r="4926" s="1" customFormat="1" spans="1:8">
      <c r="A4926" s="1" t="s">
        <v>34</v>
      </c>
      <c r="B4926" s="1" t="s">
        <v>52</v>
      </c>
      <c r="C4926" s="1" t="str">
        <f t="shared" si="117"/>
        <v>020033</v>
      </c>
      <c r="D4926" s="1" t="str">
        <f>"512626417"</f>
        <v>512626417</v>
      </c>
      <c r="E4926" s="1">
        <v>96</v>
      </c>
      <c r="F4926" s="1">
        <v>63.5</v>
      </c>
      <c r="H4926" s="1">
        <v>83</v>
      </c>
    </row>
    <row r="4927" s="1" customFormat="1" spans="1:8">
      <c r="A4927" s="1" t="s">
        <v>34</v>
      </c>
      <c r="B4927" s="1" t="s">
        <v>52</v>
      </c>
      <c r="C4927" s="1" t="str">
        <f t="shared" si="117"/>
        <v>020033</v>
      </c>
      <c r="D4927" s="1" t="str">
        <f>"512626418"</f>
        <v>512626418</v>
      </c>
      <c r="E4927" s="1">
        <v>86.5</v>
      </c>
      <c r="F4927" s="1">
        <v>94.5</v>
      </c>
      <c r="H4927" s="1">
        <v>89.7</v>
      </c>
    </row>
    <row r="4928" s="1" customFormat="1" spans="1:8">
      <c r="A4928" s="1" t="s">
        <v>34</v>
      </c>
      <c r="B4928" s="1" t="s">
        <v>52</v>
      </c>
      <c r="C4928" s="1" t="str">
        <f t="shared" si="117"/>
        <v>020033</v>
      </c>
      <c r="D4928" s="1" t="str">
        <f>"512626419"</f>
        <v>512626419</v>
      </c>
      <c r="E4928" s="1">
        <v>103</v>
      </c>
      <c r="F4928" s="1">
        <v>87.5</v>
      </c>
      <c r="H4928" s="1">
        <v>96.8</v>
      </c>
    </row>
    <row r="4929" s="1" customFormat="1" spans="1:8">
      <c r="A4929" s="1" t="s">
        <v>34</v>
      </c>
      <c r="B4929" s="1" t="s">
        <v>52</v>
      </c>
      <c r="C4929" s="1" t="str">
        <f t="shared" si="117"/>
        <v>020033</v>
      </c>
      <c r="D4929" s="1" t="str">
        <f>"512626420"</f>
        <v>512626420</v>
      </c>
      <c r="E4929" s="1">
        <v>80.5</v>
      </c>
      <c r="F4929" s="1">
        <v>66</v>
      </c>
      <c r="H4929" s="1">
        <v>74.7</v>
      </c>
    </row>
    <row r="4930" s="1" customFormat="1" spans="1:8">
      <c r="A4930" s="1" t="s">
        <v>34</v>
      </c>
      <c r="B4930" s="1" t="s">
        <v>52</v>
      </c>
      <c r="C4930" s="1" t="str">
        <f t="shared" si="117"/>
        <v>020033</v>
      </c>
      <c r="D4930" s="1" t="str">
        <f>"512626421"</f>
        <v>512626421</v>
      </c>
      <c r="E4930" s="1">
        <v>101.5</v>
      </c>
      <c r="F4930" s="1">
        <v>82</v>
      </c>
      <c r="H4930" s="1">
        <v>93.7</v>
      </c>
    </row>
    <row r="4931" s="1" customFormat="1" spans="1:8">
      <c r="A4931" s="1" t="s">
        <v>34</v>
      </c>
      <c r="B4931" s="1" t="s">
        <v>52</v>
      </c>
      <c r="C4931" s="1" t="str">
        <f t="shared" si="117"/>
        <v>020033</v>
      </c>
      <c r="D4931" s="1" t="str">
        <f>"512626422"</f>
        <v>512626422</v>
      </c>
      <c r="E4931" s="1">
        <v>73.5</v>
      </c>
      <c r="F4931" s="1">
        <v>62</v>
      </c>
      <c r="H4931" s="1">
        <v>68.9</v>
      </c>
    </row>
    <row r="4932" s="1" customFormat="1" spans="1:8">
      <c r="A4932" s="1" t="s">
        <v>34</v>
      </c>
      <c r="B4932" s="1" t="s">
        <v>52</v>
      </c>
      <c r="C4932" s="1" t="str">
        <f t="shared" si="117"/>
        <v>020033</v>
      </c>
      <c r="D4932" s="1" t="str">
        <f>"512626423"</f>
        <v>512626423</v>
      </c>
      <c r="E4932" s="1">
        <v>87</v>
      </c>
      <c r="F4932" s="1">
        <v>78</v>
      </c>
      <c r="H4932" s="1">
        <v>83.4</v>
      </c>
    </row>
    <row r="4933" s="1" customFormat="1" spans="1:8">
      <c r="A4933" s="1" t="s">
        <v>34</v>
      </c>
      <c r="B4933" s="1" t="s">
        <v>52</v>
      </c>
      <c r="C4933" s="1" t="str">
        <f t="shared" si="117"/>
        <v>020033</v>
      </c>
      <c r="D4933" s="1" t="str">
        <f>"512626424"</f>
        <v>512626424</v>
      </c>
      <c r="E4933" s="1">
        <v>0</v>
      </c>
      <c r="F4933" s="1">
        <v>0</v>
      </c>
      <c r="H4933" s="1">
        <v>0</v>
      </c>
    </row>
    <row r="4934" s="1" customFormat="1" spans="1:8">
      <c r="A4934" s="1" t="s">
        <v>34</v>
      </c>
      <c r="B4934" s="1" t="s">
        <v>52</v>
      </c>
      <c r="C4934" s="1" t="str">
        <f t="shared" si="117"/>
        <v>020033</v>
      </c>
      <c r="D4934" s="1" t="str">
        <f>"512626425"</f>
        <v>512626425</v>
      </c>
      <c r="E4934" s="1">
        <v>0</v>
      </c>
      <c r="F4934" s="1">
        <v>0</v>
      </c>
      <c r="H4934" s="1">
        <v>0</v>
      </c>
    </row>
    <row r="4935" s="1" customFormat="1" spans="1:8">
      <c r="A4935" s="1" t="s">
        <v>34</v>
      </c>
      <c r="B4935" s="1" t="s">
        <v>52</v>
      </c>
      <c r="C4935" s="1" t="str">
        <f t="shared" si="117"/>
        <v>020033</v>
      </c>
      <c r="D4935" s="1" t="str">
        <f>"512626426"</f>
        <v>512626426</v>
      </c>
      <c r="E4935" s="1">
        <v>86</v>
      </c>
      <c r="F4935" s="1">
        <v>72</v>
      </c>
      <c r="H4935" s="1">
        <v>80.4</v>
      </c>
    </row>
    <row r="4936" s="1" customFormat="1" spans="1:8">
      <c r="A4936" s="1" t="s">
        <v>34</v>
      </c>
      <c r="B4936" s="1" t="s">
        <v>52</v>
      </c>
      <c r="C4936" s="1" t="str">
        <f t="shared" si="117"/>
        <v>020033</v>
      </c>
      <c r="D4936" s="1" t="str">
        <f>"512626427"</f>
        <v>512626427</v>
      </c>
      <c r="E4936" s="1">
        <v>0</v>
      </c>
      <c r="F4936" s="1">
        <v>0</v>
      </c>
      <c r="H4936" s="1">
        <v>0</v>
      </c>
    </row>
    <row r="4937" s="1" customFormat="1" spans="1:8">
      <c r="A4937" s="1" t="s">
        <v>34</v>
      </c>
      <c r="B4937" s="1" t="s">
        <v>52</v>
      </c>
      <c r="C4937" s="1" t="str">
        <f t="shared" si="117"/>
        <v>020033</v>
      </c>
      <c r="D4937" s="1" t="str">
        <f>"512626428"</f>
        <v>512626428</v>
      </c>
      <c r="E4937" s="1">
        <v>88.5</v>
      </c>
      <c r="F4937" s="1">
        <v>73.5</v>
      </c>
      <c r="H4937" s="1">
        <v>82.5</v>
      </c>
    </row>
    <row r="4938" s="1" customFormat="1" spans="1:8">
      <c r="A4938" s="1" t="s">
        <v>34</v>
      </c>
      <c r="B4938" s="1" t="s">
        <v>52</v>
      </c>
      <c r="C4938" s="1" t="str">
        <f t="shared" si="117"/>
        <v>020033</v>
      </c>
      <c r="D4938" s="1" t="str">
        <f>"512626429"</f>
        <v>512626429</v>
      </c>
      <c r="E4938" s="1">
        <v>85</v>
      </c>
      <c r="F4938" s="1">
        <v>86</v>
      </c>
      <c r="H4938" s="1">
        <v>85.4</v>
      </c>
    </row>
    <row r="4939" s="1" customFormat="1" spans="1:8">
      <c r="A4939" s="1" t="s">
        <v>34</v>
      </c>
      <c r="B4939" s="1" t="s">
        <v>52</v>
      </c>
      <c r="C4939" s="1" t="str">
        <f t="shared" si="117"/>
        <v>020033</v>
      </c>
      <c r="D4939" s="1" t="str">
        <f>"512626430"</f>
        <v>512626430</v>
      </c>
      <c r="E4939" s="1">
        <v>90.5</v>
      </c>
      <c r="F4939" s="1">
        <v>72</v>
      </c>
      <c r="H4939" s="1">
        <v>83.1</v>
      </c>
    </row>
    <row r="4940" s="1" customFormat="1" spans="1:8">
      <c r="A4940" s="1" t="s">
        <v>34</v>
      </c>
      <c r="B4940" s="1" t="s">
        <v>52</v>
      </c>
      <c r="C4940" s="1" t="str">
        <f t="shared" si="117"/>
        <v>020033</v>
      </c>
      <c r="D4940" s="1" t="str">
        <f>"512626501"</f>
        <v>512626501</v>
      </c>
      <c r="E4940" s="1">
        <v>89</v>
      </c>
      <c r="F4940" s="1">
        <v>86</v>
      </c>
      <c r="H4940" s="1">
        <v>87.8</v>
      </c>
    </row>
    <row r="4941" s="1" customFormat="1" spans="1:8">
      <c r="A4941" s="1" t="s">
        <v>34</v>
      </c>
      <c r="B4941" s="1" t="s">
        <v>52</v>
      </c>
      <c r="C4941" s="1" t="str">
        <f t="shared" si="117"/>
        <v>020033</v>
      </c>
      <c r="D4941" s="1" t="str">
        <f>"512626502"</f>
        <v>512626502</v>
      </c>
      <c r="E4941" s="1">
        <v>95.5</v>
      </c>
      <c r="F4941" s="1">
        <v>80</v>
      </c>
      <c r="H4941" s="1">
        <v>89.3</v>
      </c>
    </row>
    <row r="4942" s="1" customFormat="1" spans="1:8">
      <c r="A4942" s="1" t="s">
        <v>34</v>
      </c>
      <c r="B4942" s="1" t="s">
        <v>52</v>
      </c>
      <c r="C4942" s="1" t="str">
        <f t="shared" si="117"/>
        <v>020033</v>
      </c>
      <c r="D4942" s="1" t="str">
        <f>"512626503"</f>
        <v>512626503</v>
      </c>
      <c r="E4942" s="1">
        <v>77.5</v>
      </c>
      <c r="F4942" s="1">
        <v>58</v>
      </c>
      <c r="H4942" s="1">
        <v>69.7</v>
      </c>
    </row>
    <row r="4943" s="1" customFormat="1" spans="1:8">
      <c r="A4943" s="1" t="s">
        <v>34</v>
      </c>
      <c r="B4943" s="1" t="s">
        <v>52</v>
      </c>
      <c r="C4943" s="1" t="str">
        <f t="shared" si="117"/>
        <v>020033</v>
      </c>
      <c r="D4943" s="1" t="str">
        <f>"512626504"</f>
        <v>512626504</v>
      </c>
      <c r="E4943" s="1">
        <v>82</v>
      </c>
      <c r="F4943" s="1">
        <v>72.5</v>
      </c>
      <c r="H4943" s="1">
        <v>78.2</v>
      </c>
    </row>
    <row r="4944" s="1" customFormat="1" spans="1:8">
      <c r="A4944" s="1" t="s">
        <v>34</v>
      </c>
      <c r="B4944" s="1" t="s">
        <v>52</v>
      </c>
      <c r="C4944" s="1" t="str">
        <f t="shared" si="117"/>
        <v>020033</v>
      </c>
      <c r="D4944" s="1" t="str">
        <f>"512626505"</f>
        <v>512626505</v>
      </c>
      <c r="E4944" s="1">
        <v>82.5</v>
      </c>
      <c r="F4944" s="1">
        <v>62.5</v>
      </c>
      <c r="H4944" s="1">
        <v>74.5</v>
      </c>
    </row>
    <row r="4945" s="1" customFormat="1" spans="1:8">
      <c r="A4945" s="1" t="s">
        <v>34</v>
      </c>
      <c r="B4945" s="1" t="s">
        <v>52</v>
      </c>
      <c r="C4945" s="1" t="str">
        <f t="shared" si="117"/>
        <v>020033</v>
      </c>
      <c r="D4945" s="1" t="str">
        <f>"512626506"</f>
        <v>512626506</v>
      </c>
      <c r="E4945" s="1">
        <v>89.5</v>
      </c>
      <c r="F4945" s="1">
        <v>58</v>
      </c>
      <c r="H4945" s="1">
        <v>76.9</v>
      </c>
    </row>
    <row r="4946" s="1" customFormat="1" spans="1:8">
      <c r="A4946" s="1" t="s">
        <v>34</v>
      </c>
      <c r="B4946" s="1" t="s">
        <v>52</v>
      </c>
      <c r="C4946" s="1" t="str">
        <f t="shared" si="117"/>
        <v>020033</v>
      </c>
      <c r="D4946" s="1" t="str">
        <f>"512626507"</f>
        <v>512626507</v>
      </c>
      <c r="E4946" s="1">
        <v>0</v>
      </c>
      <c r="F4946" s="1">
        <v>0</v>
      </c>
      <c r="H4946" s="1">
        <v>0</v>
      </c>
    </row>
    <row r="4947" s="1" customFormat="1" spans="1:8">
      <c r="A4947" s="1" t="s">
        <v>34</v>
      </c>
      <c r="B4947" s="1" t="s">
        <v>52</v>
      </c>
      <c r="C4947" s="1" t="str">
        <f t="shared" si="117"/>
        <v>020033</v>
      </c>
      <c r="D4947" s="1" t="str">
        <f>"512626508"</f>
        <v>512626508</v>
      </c>
      <c r="E4947" s="1">
        <v>87</v>
      </c>
      <c r="F4947" s="1">
        <v>67.5</v>
      </c>
      <c r="H4947" s="1">
        <v>79.2</v>
      </c>
    </row>
    <row r="4948" s="1" customFormat="1" spans="1:8">
      <c r="A4948" s="1" t="s">
        <v>34</v>
      </c>
      <c r="B4948" s="1" t="s">
        <v>52</v>
      </c>
      <c r="C4948" s="1" t="str">
        <f t="shared" si="117"/>
        <v>020033</v>
      </c>
      <c r="D4948" s="1" t="str">
        <f>"512626509"</f>
        <v>512626509</v>
      </c>
      <c r="E4948" s="1">
        <v>95.5</v>
      </c>
      <c r="F4948" s="1">
        <v>74</v>
      </c>
      <c r="H4948" s="1">
        <v>86.9</v>
      </c>
    </row>
    <row r="4949" s="1" customFormat="1" spans="1:8">
      <c r="A4949" s="1" t="s">
        <v>34</v>
      </c>
      <c r="B4949" s="1" t="s">
        <v>52</v>
      </c>
      <c r="C4949" s="1" t="str">
        <f t="shared" si="117"/>
        <v>020033</v>
      </c>
      <c r="D4949" s="1" t="str">
        <f>"512626510"</f>
        <v>512626510</v>
      </c>
      <c r="E4949" s="1">
        <v>94.5</v>
      </c>
      <c r="F4949" s="1">
        <v>81</v>
      </c>
      <c r="H4949" s="1">
        <v>89.1</v>
      </c>
    </row>
    <row r="4950" s="1" customFormat="1" spans="1:8">
      <c r="A4950" s="1" t="s">
        <v>34</v>
      </c>
      <c r="B4950" s="1" t="s">
        <v>52</v>
      </c>
      <c r="C4950" s="1" t="str">
        <f t="shared" si="117"/>
        <v>020033</v>
      </c>
      <c r="D4950" s="1" t="str">
        <f>"512626511"</f>
        <v>512626511</v>
      </c>
      <c r="E4950" s="1">
        <v>86</v>
      </c>
      <c r="F4950" s="1">
        <v>57</v>
      </c>
      <c r="H4950" s="1">
        <v>74.4</v>
      </c>
    </row>
    <row r="4951" s="1" customFormat="1" spans="1:8">
      <c r="A4951" s="1" t="s">
        <v>34</v>
      </c>
      <c r="B4951" s="1" t="s">
        <v>52</v>
      </c>
      <c r="C4951" s="1" t="str">
        <f t="shared" si="117"/>
        <v>020033</v>
      </c>
      <c r="D4951" s="1" t="str">
        <f>"512626512"</f>
        <v>512626512</v>
      </c>
      <c r="E4951" s="1">
        <v>89.5</v>
      </c>
      <c r="F4951" s="1">
        <v>0</v>
      </c>
      <c r="H4951" s="1">
        <v>53.7</v>
      </c>
    </row>
    <row r="4952" s="1" customFormat="1" spans="1:8">
      <c r="A4952" s="1" t="s">
        <v>34</v>
      </c>
      <c r="B4952" s="1" t="s">
        <v>52</v>
      </c>
      <c r="C4952" s="1" t="str">
        <f t="shared" si="117"/>
        <v>020033</v>
      </c>
      <c r="D4952" s="1" t="str">
        <f>"512626513"</f>
        <v>512626513</v>
      </c>
      <c r="E4952" s="1">
        <v>0</v>
      </c>
      <c r="F4952" s="1">
        <v>0</v>
      </c>
      <c r="H4952" s="1">
        <v>0</v>
      </c>
    </row>
    <row r="4953" s="1" customFormat="1" spans="1:8">
      <c r="A4953" s="1" t="s">
        <v>34</v>
      </c>
      <c r="B4953" s="1" t="s">
        <v>52</v>
      </c>
      <c r="C4953" s="1" t="str">
        <f t="shared" si="117"/>
        <v>020033</v>
      </c>
      <c r="D4953" s="1" t="str">
        <f>"512626514"</f>
        <v>512626514</v>
      </c>
      <c r="E4953" s="1">
        <v>0</v>
      </c>
      <c r="F4953" s="1">
        <v>0</v>
      </c>
      <c r="H4953" s="1">
        <v>0</v>
      </c>
    </row>
    <row r="4954" s="1" customFormat="1" spans="1:8">
      <c r="A4954" s="1" t="s">
        <v>34</v>
      </c>
      <c r="B4954" s="1" t="s">
        <v>52</v>
      </c>
      <c r="C4954" s="1" t="str">
        <f t="shared" si="117"/>
        <v>020033</v>
      </c>
      <c r="D4954" s="1" t="str">
        <f>"512626515"</f>
        <v>512626515</v>
      </c>
      <c r="E4954" s="1">
        <v>96</v>
      </c>
      <c r="F4954" s="1">
        <v>68.5</v>
      </c>
      <c r="H4954" s="1">
        <v>85</v>
      </c>
    </row>
    <row r="4955" s="1" customFormat="1" spans="1:8">
      <c r="A4955" s="1" t="s">
        <v>34</v>
      </c>
      <c r="B4955" s="1" t="s">
        <v>52</v>
      </c>
      <c r="C4955" s="1" t="str">
        <f t="shared" si="117"/>
        <v>020033</v>
      </c>
      <c r="D4955" s="1" t="str">
        <f>"512626516"</f>
        <v>512626516</v>
      </c>
      <c r="E4955" s="1">
        <v>100.5</v>
      </c>
      <c r="F4955" s="1">
        <v>77.5</v>
      </c>
      <c r="H4955" s="1">
        <v>91.3</v>
      </c>
    </row>
    <row r="4956" s="1" customFormat="1" spans="1:8">
      <c r="A4956" s="1" t="s">
        <v>34</v>
      </c>
      <c r="B4956" s="1" t="s">
        <v>52</v>
      </c>
      <c r="C4956" s="1" t="str">
        <f t="shared" si="117"/>
        <v>020033</v>
      </c>
      <c r="D4956" s="1" t="str">
        <f>"512626517"</f>
        <v>512626517</v>
      </c>
      <c r="E4956" s="1">
        <v>85.5</v>
      </c>
      <c r="F4956" s="1">
        <v>65</v>
      </c>
      <c r="H4956" s="1">
        <v>77.3</v>
      </c>
    </row>
    <row r="4957" s="1" customFormat="1" spans="1:8">
      <c r="A4957" s="1" t="s">
        <v>34</v>
      </c>
      <c r="B4957" s="1" t="s">
        <v>52</v>
      </c>
      <c r="C4957" s="1" t="str">
        <f t="shared" si="117"/>
        <v>020033</v>
      </c>
      <c r="D4957" s="1" t="str">
        <f>"512626518"</f>
        <v>512626518</v>
      </c>
      <c r="E4957" s="1">
        <v>92.5</v>
      </c>
      <c r="F4957" s="1">
        <v>69</v>
      </c>
      <c r="G4957" s="1">
        <v>2</v>
      </c>
      <c r="H4957" s="1">
        <v>85.1</v>
      </c>
    </row>
    <row r="4958" s="1" customFormat="1" spans="1:8">
      <c r="A4958" s="1" t="s">
        <v>34</v>
      </c>
      <c r="B4958" s="1" t="s">
        <v>52</v>
      </c>
      <c r="C4958" s="1" t="str">
        <f t="shared" si="117"/>
        <v>020033</v>
      </c>
      <c r="D4958" s="1" t="str">
        <f>"512626519"</f>
        <v>512626519</v>
      </c>
      <c r="E4958" s="1">
        <v>96</v>
      </c>
      <c r="F4958" s="1">
        <v>78.5</v>
      </c>
      <c r="H4958" s="1">
        <v>89</v>
      </c>
    </row>
    <row r="4959" s="1" customFormat="1" spans="1:8">
      <c r="A4959" s="1" t="s">
        <v>34</v>
      </c>
      <c r="B4959" s="1" t="s">
        <v>52</v>
      </c>
      <c r="C4959" s="1" t="str">
        <f t="shared" si="117"/>
        <v>020033</v>
      </c>
      <c r="D4959" s="1" t="str">
        <f>"512626520"</f>
        <v>512626520</v>
      </c>
      <c r="E4959" s="1">
        <v>94</v>
      </c>
      <c r="F4959" s="1">
        <v>65.5</v>
      </c>
      <c r="H4959" s="1">
        <v>82.6</v>
      </c>
    </row>
    <row r="4960" s="1" customFormat="1" spans="1:8">
      <c r="A4960" s="1" t="s">
        <v>34</v>
      </c>
      <c r="B4960" s="1" t="s">
        <v>52</v>
      </c>
      <c r="C4960" s="1" t="str">
        <f t="shared" si="117"/>
        <v>020033</v>
      </c>
      <c r="D4960" s="1" t="str">
        <f>"512626521"</f>
        <v>512626521</v>
      </c>
      <c r="E4960" s="1">
        <v>62.5</v>
      </c>
      <c r="F4960" s="1">
        <v>64.5</v>
      </c>
      <c r="H4960" s="1">
        <v>63.3</v>
      </c>
    </row>
    <row r="4961" s="1" customFormat="1" spans="1:8">
      <c r="A4961" s="1" t="s">
        <v>37</v>
      </c>
      <c r="B4961" s="1" t="s">
        <v>52</v>
      </c>
      <c r="C4961" s="1" t="str">
        <f t="shared" ref="C4961:C5024" si="118">"020048"</f>
        <v>020048</v>
      </c>
      <c r="D4961" s="1" t="str">
        <f>"512626522"</f>
        <v>512626522</v>
      </c>
      <c r="E4961" s="1">
        <v>98</v>
      </c>
      <c r="F4961" s="1">
        <v>74</v>
      </c>
      <c r="H4961" s="1">
        <v>88.4</v>
      </c>
    </row>
    <row r="4962" s="1" customFormat="1" spans="1:8">
      <c r="A4962" s="1" t="s">
        <v>37</v>
      </c>
      <c r="B4962" s="1" t="s">
        <v>52</v>
      </c>
      <c r="C4962" s="1" t="str">
        <f t="shared" si="118"/>
        <v>020048</v>
      </c>
      <c r="D4962" s="1" t="str">
        <f>"512626523"</f>
        <v>512626523</v>
      </c>
      <c r="E4962" s="1">
        <v>79.5</v>
      </c>
      <c r="F4962" s="1">
        <v>67</v>
      </c>
      <c r="H4962" s="1">
        <v>74.5</v>
      </c>
    </row>
    <row r="4963" s="1" customFormat="1" spans="1:8">
      <c r="A4963" s="1" t="s">
        <v>37</v>
      </c>
      <c r="B4963" s="1" t="s">
        <v>52</v>
      </c>
      <c r="C4963" s="1" t="str">
        <f t="shared" si="118"/>
        <v>020048</v>
      </c>
      <c r="D4963" s="1" t="str">
        <f>"512626524"</f>
        <v>512626524</v>
      </c>
      <c r="E4963" s="1">
        <v>48</v>
      </c>
      <c r="F4963" s="1">
        <v>42</v>
      </c>
      <c r="H4963" s="1">
        <v>45.6</v>
      </c>
    </row>
    <row r="4964" s="1" customFormat="1" spans="1:8">
      <c r="A4964" s="1" t="s">
        <v>37</v>
      </c>
      <c r="B4964" s="1" t="s">
        <v>52</v>
      </c>
      <c r="C4964" s="1" t="str">
        <f t="shared" si="118"/>
        <v>020048</v>
      </c>
      <c r="D4964" s="1" t="str">
        <f>"512626525"</f>
        <v>512626525</v>
      </c>
      <c r="E4964" s="1">
        <v>97</v>
      </c>
      <c r="F4964" s="1">
        <v>80</v>
      </c>
      <c r="H4964" s="1">
        <v>90.2</v>
      </c>
    </row>
    <row r="4965" s="1" customFormat="1" spans="1:8">
      <c r="A4965" s="1" t="s">
        <v>37</v>
      </c>
      <c r="B4965" s="1" t="s">
        <v>52</v>
      </c>
      <c r="C4965" s="1" t="str">
        <f t="shared" si="118"/>
        <v>020048</v>
      </c>
      <c r="D4965" s="1" t="str">
        <f>"512626526"</f>
        <v>512626526</v>
      </c>
      <c r="E4965" s="1">
        <v>97</v>
      </c>
      <c r="F4965" s="1">
        <v>81</v>
      </c>
      <c r="H4965" s="1">
        <v>90.6</v>
      </c>
    </row>
    <row r="4966" s="1" customFormat="1" spans="1:8">
      <c r="A4966" s="1" t="s">
        <v>37</v>
      </c>
      <c r="B4966" s="1" t="s">
        <v>52</v>
      </c>
      <c r="C4966" s="1" t="str">
        <f t="shared" si="118"/>
        <v>020048</v>
      </c>
      <c r="D4966" s="1" t="str">
        <f>"512626527"</f>
        <v>512626527</v>
      </c>
      <c r="E4966" s="1">
        <v>100</v>
      </c>
      <c r="F4966" s="1">
        <v>78</v>
      </c>
      <c r="H4966" s="1">
        <v>91.2</v>
      </c>
    </row>
    <row r="4967" s="1" customFormat="1" spans="1:8">
      <c r="A4967" s="1" t="s">
        <v>37</v>
      </c>
      <c r="B4967" s="1" t="s">
        <v>52</v>
      </c>
      <c r="C4967" s="1" t="str">
        <f t="shared" si="118"/>
        <v>020048</v>
      </c>
      <c r="D4967" s="1" t="str">
        <f>"512626528"</f>
        <v>512626528</v>
      </c>
      <c r="E4967" s="1">
        <v>88.5</v>
      </c>
      <c r="F4967" s="1">
        <v>68.5</v>
      </c>
      <c r="H4967" s="1">
        <v>80.5</v>
      </c>
    </row>
    <row r="4968" s="1" customFormat="1" spans="1:8">
      <c r="A4968" s="1" t="s">
        <v>37</v>
      </c>
      <c r="B4968" s="1" t="s">
        <v>52</v>
      </c>
      <c r="C4968" s="1" t="str">
        <f t="shared" si="118"/>
        <v>020048</v>
      </c>
      <c r="D4968" s="1" t="str">
        <f>"512626529"</f>
        <v>512626529</v>
      </c>
      <c r="E4968" s="1">
        <v>80.5</v>
      </c>
      <c r="F4968" s="1">
        <v>59</v>
      </c>
      <c r="H4968" s="1">
        <v>71.9</v>
      </c>
    </row>
    <row r="4969" s="1" customFormat="1" spans="1:8">
      <c r="A4969" s="1" t="s">
        <v>37</v>
      </c>
      <c r="B4969" s="1" t="s">
        <v>52</v>
      </c>
      <c r="C4969" s="1" t="str">
        <f t="shared" si="118"/>
        <v>020048</v>
      </c>
      <c r="D4969" s="1" t="str">
        <f>"512626530"</f>
        <v>512626530</v>
      </c>
      <c r="E4969" s="1">
        <v>60.5</v>
      </c>
      <c r="F4969" s="1">
        <v>61</v>
      </c>
      <c r="H4969" s="1">
        <v>60.7</v>
      </c>
    </row>
    <row r="4970" s="1" customFormat="1" spans="1:8">
      <c r="A4970" s="1" t="s">
        <v>37</v>
      </c>
      <c r="B4970" s="1" t="s">
        <v>52</v>
      </c>
      <c r="C4970" s="1" t="str">
        <f t="shared" si="118"/>
        <v>020048</v>
      </c>
      <c r="D4970" s="1" t="str">
        <f>"512626601"</f>
        <v>512626601</v>
      </c>
      <c r="E4970" s="1">
        <v>93</v>
      </c>
      <c r="F4970" s="1">
        <v>72.5</v>
      </c>
      <c r="H4970" s="1">
        <v>84.8</v>
      </c>
    </row>
    <row r="4971" s="1" customFormat="1" spans="1:8">
      <c r="A4971" s="1" t="s">
        <v>37</v>
      </c>
      <c r="B4971" s="1" t="s">
        <v>52</v>
      </c>
      <c r="C4971" s="1" t="str">
        <f t="shared" si="118"/>
        <v>020048</v>
      </c>
      <c r="D4971" s="1" t="str">
        <f>"512626602"</f>
        <v>512626602</v>
      </c>
      <c r="E4971" s="1">
        <v>0</v>
      </c>
      <c r="F4971" s="1">
        <v>0</v>
      </c>
      <c r="H4971" s="1">
        <v>0</v>
      </c>
    </row>
    <row r="4972" s="1" customFormat="1" spans="1:8">
      <c r="A4972" s="1" t="s">
        <v>37</v>
      </c>
      <c r="B4972" s="1" t="s">
        <v>52</v>
      </c>
      <c r="C4972" s="1" t="str">
        <f t="shared" si="118"/>
        <v>020048</v>
      </c>
      <c r="D4972" s="1" t="str">
        <f>"512626603"</f>
        <v>512626603</v>
      </c>
      <c r="E4972" s="1">
        <v>101</v>
      </c>
      <c r="F4972" s="1">
        <v>87.5</v>
      </c>
      <c r="H4972" s="1">
        <v>95.6</v>
      </c>
    </row>
    <row r="4973" s="1" customFormat="1" spans="1:8">
      <c r="A4973" s="1" t="s">
        <v>37</v>
      </c>
      <c r="B4973" s="1" t="s">
        <v>52</v>
      </c>
      <c r="C4973" s="1" t="str">
        <f t="shared" si="118"/>
        <v>020048</v>
      </c>
      <c r="D4973" s="1" t="str">
        <f>"512626604"</f>
        <v>512626604</v>
      </c>
      <c r="E4973" s="1">
        <v>0</v>
      </c>
      <c r="F4973" s="1">
        <v>0</v>
      </c>
      <c r="H4973" s="1">
        <v>0</v>
      </c>
    </row>
    <row r="4974" s="1" customFormat="1" spans="1:8">
      <c r="A4974" s="1" t="s">
        <v>37</v>
      </c>
      <c r="B4974" s="1" t="s">
        <v>52</v>
      </c>
      <c r="C4974" s="1" t="str">
        <f t="shared" si="118"/>
        <v>020048</v>
      </c>
      <c r="D4974" s="1" t="str">
        <f>"512626605"</f>
        <v>512626605</v>
      </c>
      <c r="E4974" s="1">
        <v>89.5</v>
      </c>
      <c r="F4974" s="1">
        <v>78.5</v>
      </c>
      <c r="H4974" s="1">
        <v>85.1</v>
      </c>
    </row>
    <row r="4975" s="1" customFormat="1" spans="1:8">
      <c r="A4975" s="1" t="s">
        <v>37</v>
      </c>
      <c r="B4975" s="1" t="s">
        <v>52</v>
      </c>
      <c r="C4975" s="1" t="str">
        <f t="shared" si="118"/>
        <v>020048</v>
      </c>
      <c r="D4975" s="1" t="str">
        <f>"512626606"</f>
        <v>512626606</v>
      </c>
      <c r="E4975" s="1">
        <v>99</v>
      </c>
      <c r="F4975" s="1">
        <v>65.5</v>
      </c>
      <c r="H4975" s="1">
        <v>85.6</v>
      </c>
    </row>
    <row r="4976" s="1" customFormat="1" spans="1:8">
      <c r="A4976" s="1" t="s">
        <v>37</v>
      </c>
      <c r="B4976" s="1" t="s">
        <v>52</v>
      </c>
      <c r="C4976" s="1" t="str">
        <f t="shared" si="118"/>
        <v>020048</v>
      </c>
      <c r="D4976" s="1" t="str">
        <f>"512626607"</f>
        <v>512626607</v>
      </c>
      <c r="E4976" s="1">
        <v>81.5</v>
      </c>
      <c r="F4976" s="1">
        <v>68.5</v>
      </c>
      <c r="H4976" s="1">
        <v>76.3</v>
      </c>
    </row>
    <row r="4977" s="1" customFormat="1" spans="1:8">
      <c r="A4977" s="1" t="s">
        <v>37</v>
      </c>
      <c r="B4977" s="1" t="s">
        <v>52</v>
      </c>
      <c r="C4977" s="1" t="str">
        <f t="shared" si="118"/>
        <v>020048</v>
      </c>
      <c r="D4977" s="1" t="str">
        <f>"512626608"</f>
        <v>512626608</v>
      </c>
      <c r="E4977" s="1">
        <v>92</v>
      </c>
      <c r="F4977" s="1">
        <v>89.5</v>
      </c>
      <c r="H4977" s="1">
        <v>91</v>
      </c>
    </row>
    <row r="4978" s="1" customFormat="1" spans="1:8">
      <c r="A4978" s="1" t="s">
        <v>37</v>
      </c>
      <c r="B4978" s="1" t="s">
        <v>52</v>
      </c>
      <c r="C4978" s="1" t="str">
        <f t="shared" si="118"/>
        <v>020048</v>
      </c>
      <c r="D4978" s="1" t="str">
        <f>"512626609"</f>
        <v>512626609</v>
      </c>
      <c r="E4978" s="1">
        <v>82.5</v>
      </c>
      <c r="F4978" s="1">
        <v>68</v>
      </c>
      <c r="H4978" s="1">
        <v>76.7</v>
      </c>
    </row>
    <row r="4979" s="1" customFormat="1" spans="1:8">
      <c r="A4979" s="1" t="s">
        <v>37</v>
      </c>
      <c r="B4979" s="1" t="s">
        <v>52</v>
      </c>
      <c r="C4979" s="1" t="str">
        <f t="shared" si="118"/>
        <v>020048</v>
      </c>
      <c r="D4979" s="1" t="str">
        <f>"512626610"</f>
        <v>512626610</v>
      </c>
      <c r="E4979" s="1">
        <v>101.5</v>
      </c>
      <c r="F4979" s="1">
        <v>70</v>
      </c>
      <c r="H4979" s="1">
        <v>88.9</v>
      </c>
    </row>
    <row r="4980" s="1" customFormat="1" spans="1:8">
      <c r="A4980" s="1" t="s">
        <v>37</v>
      </c>
      <c r="B4980" s="1" t="s">
        <v>52</v>
      </c>
      <c r="C4980" s="1" t="str">
        <f t="shared" si="118"/>
        <v>020048</v>
      </c>
      <c r="D4980" s="1" t="str">
        <f>"512626611"</f>
        <v>512626611</v>
      </c>
      <c r="E4980" s="1">
        <v>0</v>
      </c>
      <c r="F4980" s="1">
        <v>0</v>
      </c>
      <c r="H4980" s="1">
        <v>0</v>
      </c>
    </row>
    <row r="4981" s="1" customFormat="1" spans="1:8">
      <c r="A4981" s="1" t="s">
        <v>37</v>
      </c>
      <c r="B4981" s="1" t="s">
        <v>52</v>
      </c>
      <c r="C4981" s="1" t="str">
        <f t="shared" si="118"/>
        <v>020048</v>
      </c>
      <c r="D4981" s="1" t="str">
        <f>"512626612"</f>
        <v>512626612</v>
      </c>
      <c r="E4981" s="1">
        <v>0</v>
      </c>
      <c r="F4981" s="1">
        <v>0</v>
      </c>
      <c r="H4981" s="1">
        <v>0</v>
      </c>
    </row>
    <row r="4982" s="1" customFormat="1" spans="1:8">
      <c r="A4982" s="1" t="s">
        <v>37</v>
      </c>
      <c r="B4982" s="1" t="s">
        <v>52</v>
      </c>
      <c r="C4982" s="1" t="str">
        <f t="shared" si="118"/>
        <v>020048</v>
      </c>
      <c r="D4982" s="1" t="str">
        <f>"512626613"</f>
        <v>512626613</v>
      </c>
      <c r="E4982" s="1">
        <v>101</v>
      </c>
      <c r="F4982" s="1">
        <v>89.5</v>
      </c>
      <c r="H4982" s="1">
        <v>96.4</v>
      </c>
    </row>
    <row r="4983" s="1" customFormat="1" spans="1:8">
      <c r="A4983" s="1" t="s">
        <v>37</v>
      </c>
      <c r="B4983" s="1" t="s">
        <v>52</v>
      </c>
      <c r="C4983" s="1" t="str">
        <f t="shared" si="118"/>
        <v>020048</v>
      </c>
      <c r="D4983" s="1" t="str">
        <f>"512626614"</f>
        <v>512626614</v>
      </c>
      <c r="E4983" s="1">
        <v>91.5</v>
      </c>
      <c r="F4983" s="1">
        <v>55.5</v>
      </c>
      <c r="H4983" s="1">
        <v>77.1</v>
      </c>
    </row>
    <row r="4984" s="1" customFormat="1" spans="1:8">
      <c r="A4984" s="1" t="s">
        <v>37</v>
      </c>
      <c r="B4984" s="1" t="s">
        <v>52</v>
      </c>
      <c r="C4984" s="1" t="str">
        <f t="shared" si="118"/>
        <v>020048</v>
      </c>
      <c r="D4984" s="1" t="str">
        <f>"512626615"</f>
        <v>512626615</v>
      </c>
      <c r="E4984" s="1">
        <v>69</v>
      </c>
      <c r="F4984" s="1">
        <v>67.5</v>
      </c>
      <c r="H4984" s="1">
        <v>68.4</v>
      </c>
    </row>
    <row r="4985" s="1" customFormat="1" spans="1:8">
      <c r="A4985" s="1" t="s">
        <v>37</v>
      </c>
      <c r="B4985" s="1" t="s">
        <v>52</v>
      </c>
      <c r="C4985" s="1" t="str">
        <f t="shared" si="118"/>
        <v>020048</v>
      </c>
      <c r="D4985" s="1" t="str">
        <f>"512626616"</f>
        <v>512626616</v>
      </c>
      <c r="E4985" s="1">
        <v>86</v>
      </c>
      <c r="F4985" s="1">
        <v>77</v>
      </c>
      <c r="H4985" s="1">
        <v>82.4</v>
      </c>
    </row>
    <row r="4986" s="1" customFormat="1" spans="1:8">
      <c r="A4986" s="1" t="s">
        <v>37</v>
      </c>
      <c r="B4986" s="1" t="s">
        <v>52</v>
      </c>
      <c r="C4986" s="1" t="str">
        <f t="shared" si="118"/>
        <v>020048</v>
      </c>
      <c r="D4986" s="1" t="str">
        <f>"512626617"</f>
        <v>512626617</v>
      </c>
      <c r="E4986" s="1">
        <v>95</v>
      </c>
      <c r="F4986" s="1">
        <v>93.5</v>
      </c>
      <c r="H4986" s="1">
        <v>94.4</v>
      </c>
    </row>
    <row r="4987" s="1" customFormat="1" spans="1:8">
      <c r="A4987" s="1" t="s">
        <v>37</v>
      </c>
      <c r="B4987" s="1" t="s">
        <v>52</v>
      </c>
      <c r="C4987" s="1" t="str">
        <f t="shared" si="118"/>
        <v>020048</v>
      </c>
      <c r="D4987" s="1" t="str">
        <f>"512626618"</f>
        <v>512626618</v>
      </c>
      <c r="E4987" s="1">
        <v>91.5</v>
      </c>
      <c r="F4987" s="1">
        <v>67</v>
      </c>
      <c r="H4987" s="1">
        <v>81.7</v>
      </c>
    </row>
    <row r="4988" s="1" customFormat="1" spans="1:8">
      <c r="A4988" s="1" t="s">
        <v>37</v>
      </c>
      <c r="B4988" s="1" t="s">
        <v>52</v>
      </c>
      <c r="C4988" s="1" t="str">
        <f t="shared" si="118"/>
        <v>020048</v>
      </c>
      <c r="D4988" s="1" t="str">
        <f>"512626619"</f>
        <v>512626619</v>
      </c>
      <c r="E4988" s="1">
        <v>86.5</v>
      </c>
      <c r="F4988" s="1">
        <v>74</v>
      </c>
      <c r="H4988" s="1">
        <v>81.5</v>
      </c>
    </row>
    <row r="4989" s="1" customFormat="1" spans="1:8">
      <c r="A4989" s="1" t="s">
        <v>37</v>
      </c>
      <c r="B4989" s="1" t="s">
        <v>52</v>
      </c>
      <c r="C4989" s="1" t="str">
        <f t="shared" si="118"/>
        <v>020048</v>
      </c>
      <c r="D4989" s="1" t="str">
        <f>"512626620"</f>
        <v>512626620</v>
      </c>
      <c r="E4989" s="1">
        <v>0</v>
      </c>
      <c r="F4989" s="1">
        <v>0</v>
      </c>
      <c r="H4989" s="1">
        <v>0</v>
      </c>
    </row>
    <row r="4990" s="1" customFormat="1" spans="1:8">
      <c r="A4990" s="1" t="s">
        <v>37</v>
      </c>
      <c r="B4990" s="1" t="s">
        <v>52</v>
      </c>
      <c r="C4990" s="1" t="str">
        <f t="shared" si="118"/>
        <v>020048</v>
      </c>
      <c r="D4990" s="1" t="str">
        <f>"512626621"</f>
        <v>512626621</v>
      </c>
      <c r="E4990" s="1">
        <v>89.5</v>
      </c>
      <c r="F4990" s="1">
        <v>55.5</v>
      </c>
      <c r="H4990" s="1">
        <v>75.9</v>
      </c>
    </row>
    <row r="4991" s="1" customFormat="1" spans="1:8">
      <c r="A4991" s="1" t="s">
        <v>37</v>
      </c>
      <c r="B4991" s="1" t="s">
        <v>52</v>
      </c>
      <c r="C4991" s="1" t="str">
        <f t="shared" si="118"/>
        <v>020048</v>
      </c>
      <c r="D4991" s="1" t="str">
        <f>"512626622"</f>
        <v>512626622</v>
      </c>
      <c r="E4991" s="1">
        <v>96</v>
      </c>
      <c r="F4991" s="1">
        <v>91.5</v>
      </c>
      <c r="H4991" s="1">
        <v>94.2</v>
      </c>
    </row>
    <row r="4992" s="1" customFormat="1" spans="1:8">
      <c r="A4992" s="1" t="s">
        <v>37</v>
      </c>
      <c r="B4992" s="1" t="s">
        <v>52</v>
      </c>
      <c r="C4992" s="1" t="str">
        <f t="shared" si="118"/>
        <v>020048</v>
      </c>
      <c r="D4992" s="1" t="str">
        <f>"512626623"</f>
        <v>512626623</v>
      </c>
      <c r="E4992" s="1">
        <v>101</v>
      </c>
      <c r="F4992" s="1">
        <v>74.5</v>
      </c>
      <c r="H4992" s="1">
        <v>90.4</v>
      </c>
    </row>
    <row r="4993" s="1" customFormat="1" spans="1:8">
      <c r="A4993" s="1" t="s">
        <v>37</v>
      </c>
      <c r="B4993" s="1" t="s">
        <v>52</v>
      </c>
      <c r="C4993" s="1" t="str">
        <f t="shared" si="118"/>
        <v>020048</v>
      </c>
      <c r="D4993" s="1" t="str">
        <f>"512626624"</f>
        <v>512626624</v>
      </c>
      <c r="E4993" s="1">
        <v>95.5</v>
      </c>
      <c r="F4993" s="1">
        <v>87</v>
      </c>
      <c r="H4993" s="1">
        <v>92.1</v>
      </c>
    </row>
    <row r="4994" s="1" customFormat="1" spans="1:8">
      <c r="A4994" s="1" t="s">
        <v>37</v>
      </c>
      <c r="B4994" s="1" t="s">
        <v>52</v>
      </c>
      <c r="C4994" s="1" t="str">
        <f t="shared" si="118"/>
        <v>020048</v>
      </c>
      <c r="D4994" s="1" t="str">
        <f>"512626625"</f>
        <v>512626625</v>
      </c>
      <c r="E4994" s="1">
        <v>74.5</v>
      </c>
      <c r="F4994" s="1">
        <v>63.5</v>
      </c>
      <c r="H4994" s="1">
        <v>70.1</v>
      </c>
    </row>
    <row r="4995" s="1" customFormat="1" spans="1:8">
      <c r="A4995" s="1" t="s">
        <v>37</v>
      </c>
      <c r="B4995" s="1" t="s">
        <v>52</v>
      </c>
      <c r="C4995" s="1" t="str">
        <f t="shared" si="118"/>
        <v>020048</v>
      </c>
      <c r="D4995" s="1" t="str">
        <f>"512626626"</f>
        <v>512626626</v>
      </c>
      <c r="E4995" s="1">
        <v>96</v>
      </c>
      <c r="F4995" s="1">
        <v>72.5</v>
      </c>
      <c r="H4995" s="1">
        <v>86.6</v>
      </c>
    </row>
    <row r="4996" s="1" customFormat="1" spans="1:8">
      <c r="A4996" s="1" t="s">
        <v>37</v>
      </c>
      <c r="B4996" s="1" t="s">
        <v>52</v>
      </c>
      <c r="C4996" s="1" t="str">
        <f t="shared" si="118"/>
        <v>020048</v>
      </c>
      <c r="D4996" s="1" t="str">
        <f>"512626627"</f>
        <v>512626627</v>
      </c>
      <c r="E4996" s="1">
        <v>96</v>
      </c>
      <c r="F4996" s="1">
        <v>69</v>
      </c>
      <c r="H4996" s="1">
        <v>85.2</v>
      </c>
    </row>
    <row r="4997" s="1" customFormat="1" spans="1:8">
      <c r="A4997" s="1" t="s">
        <v>37</v>
      </c>
      <c r="B4997" s="1" t="s">
        <v>52</v>
      </c>
      <c r="C4997" s="1" t="str">
        <f t="shared" si="118"/>
        <v>020048</v>
      </c>
      <c r="D4997" s="1" t="str">
        <f>"512626628"</f>
        <v>512626628</v>
      </c>
      <c r="E4997" s="1">
        <v>0</v>
      </c>
      <c r="F4997" s="1">
        <v>0</v>
      </c>
      <c r="H4997" s="1">
        <v>0</v>
      </c>
    </row>
    <row r="4998" s="1" customFormat="1" spans="1:8">
      <c r="A4998" s="1" t="s">
        <v>37</v>
      </c>
      <c r="B4998" s="1" t="s">
        <v>52</v>
      </c>
      <c r="C4998" s="1" t="str">
        <f t="shared" si="118"/>
        <v>020048</v>
      </c>
      <c r="D4998" s="1" t="str">
        <f>"512626629"</f>
        <v>512626629</v>
      </c>
      <c r="E4998" s="1">
        <v>94</v>
      </c>
      <c r="F4998" s="1">
        <v>77.5</v>
      </c>
      <c r="H4998" s="1">
        <v>87.4</v>
      </c>
    </row>
    <row r="4999" s="1" customFormat="1" spans="1:8">
      <c r="A4999" s="1" t="s">
        <v>37</v>
      </c>
      <c r="B4999" s="1" t="s">
        <v>52</v>
      </c>
      <c r="C4999" s="1" t="str">
        <f t="shared" si="118"/>
        <v>020048</v>
      </c>
      <c r="D4999" s="1" t="str">
        <f>"512626630"</f>
        <v>512626630</v>
      </c>
      <c r="E4999" s="1">
        <v>82.5</v>
      </c>
      <c r="F4999" s="1">
        <v>64</v>
      </c>
      <c r="H4999" s="1">
        <v>75.1</v>
      </c>
    </row>
    <row r="5000" s="1" customFormat="1" spans="1:8">
      <c r="A5000" s="1" t="s">
        <v>37</v>
      </c>
      <c r="B5000" s="1" t="s">
        <v>52</v>
      </c>
      <c r="C5000" s="1" t="str">
        <f t="shared" si="118"/>
        <v>020048</v>
      </c>
      <c r="D5000" s="1" t="str">
        <f>"512626701"</f>
        <v>512626701</v>
      </c>
      <c r="E5000" s="1">
        <v>94.5</v>
      </c>
      <c r="F5000" s="1">
        <v>87</v>
      </c>
      <c r="G5000" s="1">
        <v>2</v>
      </c>
      <c r="H5000" s="1">
        <v>93.5</v>
      </c>
    </row>
    <row r="5001" s="1" customFormat="1" spans="1:8">
      <c r="A5001" s="1" t="s">
        <v>37</v>
      </c>
      <c r="B5001" s="1" t="s">
        <v>52</v>
      </c>
      <c r="C5001" s="1" t="str">
        <f t="shared" si="118"/>
        <v>020048</v>
      </c>
      <c r="D5001" s="1" t="str">
        <f>"512626702"</f>
        <v>512626702</v>
      </c>
      <c r="E5001" s="1">
        <v>88</v>
      </c>
      <c r="F5001" s="1">
        <v>71.5</v>
      </c>
      <c r="H5001" s="1">
        <v>81.4</v>
      </c>
    </row>
    <row r="5002" s="1" customFormat="1" spans="1:8">
      <c r="A5002" s="1" t="s">
        <v>37</v>
      </c>
      <c r="B5002" s="1" t="s">
        <v>52</v>
      </c>
      <c r="C5002" s="1" t="str">
        <f t="shared" si="118"/>
        <v>020048</v>
      </c>
      <c r="D5002" s="1" t="str">
        <f>"512626703"</f>
        <v>512626703</v>
      </c>
      <c r="E5002" s="1">
        <v>85.5</v>
      </c>
      <c r="F5002" s="1">
        <v>64</v>
      </c>
      <c r="H5002" s="1">
        <v>76.9</v>
      </c>
    </row>
    <row r="5003" s="1" customFormat="1" spans="1:8">
      <c r="A5003" s="1" t="s">
        <v>37</v>
      </c>
      <c r="B5003" s="1" t="s">
        <v>52</v>
      </c>
      <c r="C5003" s="1" t="str">
        <f t="shared" si="118"/>
        <v>020048</v>
      </c>
      <c r="D5003" s="1" t="str">
        <f>"512626704"</f>
        <v>512626704</v>
      </c>
      <c r="E5003" s="1">
        <v>93</v>
      </c>
      <c r="F5003" s="1">
        <v>84.5</v>
      </c>
      <c r="H5003" s="1">
        <v>89.6</v>
      </c>
    </row>
    <row r="5004" s="1" customFormat="1" spans="1:8">
      <c r="A5004" s="1" t="s">
        <v>37</v>
      </c>
      <c r="B5004" s="1" t="s">
        <v>52</v>
      </c>
      <c r="C5004" s="1" t="str">
        <f t="shared" si="118"/>
        <v>020048</v>
      </c>
      <c r="D5004" s="1" t="str">
        <f>"512626705"</f>
        <v>512626705</v>
      </c>
      <c r="E5004" s="1">
        <v>99.5</v>
      </c>
      <c r="F5004" s="1">
        <v>68</v>
      </c>
      <c r="H5004" s="1">
        <v>86.9</v>
      </c>
    </row>
    <row r="5005" s="1" customFormat="1" spans="1:8">
      <c r="A5005" s="1" t="s">
        <v>37</v>
      </c>
      <c r="B5005" s="1" t="s">
        <v>52</v>
      </c>
      <c r="C5005" s="1" t="str">
        <f t="shared" si="118"/>
        <v>020048</v>
      </c>
      <c r="D5005" s="1" t="str">
        <f>"512626706"</f>
        <v>512626706</v>
      </c>
      <c r="E5005" s="1">
        <v>101.5</v>
      </c>
      <c r="F5005" s="1">
        <v>78.5</v>
      </c>
      <c r="H5005" s="1">
        <v>92.3</v>
      </c>
    </row>
    <row r="5006" s="1" customFormat="1" spans="1:8">
      <c r="A5006" s="1" t="s">
        <v>37</v>
      </c>
      <c r="B5006" s="1" t="s">
        <v>52</v>
      </c>
      <c r="C5006" s="1" t="str">
        <f t="shared" si="118"/>
        <v>020048</v>
      </c>
      <c r="D5006" s="1" t="str">
        <f>"512626707"</f>
        <v>512626707</v>
      </c>
      <c r="E5006" s="1">
        <v>83.5</v>
      </c>
      <c r="F5006" s="1">
        <v>62</v>
      </c>
      <c r="H5006" s="1">
        <v>74.9</v>
      </c>
    </row>
    <row r="5007" s="1" customFormat="1" spans="1:8">
      <c r="A5007" s="1" t="s">
        <v>37</v>
      </c>
      <c r="B5007" s="1" t="s">
        <v>52</v>
      </c>
      <c r="C5007" s="1" t="str">
        <f t="shared" si="118"/>
        <v>020048</v>
      </c>
      <c r="D5007" s="1" t="str">
        <f>"512626708"</f>
        <v>512626708</v>
      </c>
      <c r="E5007" s="1">
        <v>96.5</v>
      </c>
      <c r="F5007" s="1">
        <v>74</v>
      </c>
      <c r="H5007" s="1">
        <v>87.5</v>
      </c>
    </row>
    <row r="5008" s="1" customFormat="1" spans="1:8">
      <c r="A5008" s="1" t="s">
        <v>37</v>
      </c>
      <c r="B5008" s="1" t="s">
        <v>52</v>
      </c>
      <c r="C5008" s="1" t="str">
        <f t="shared" si="118"/>
        <v>020048</v>
      </c>
      <c r="D5008" s="1" t="str">
        <f>"512626709"</f>
        <v>512626709</v>
      </c>
      <c r="E5008" s="1">
        <v>0</v>
      </c>
      <c r="F5008" s="1">
        <v>0</v>
      </c>
      <c r="H5008" s="1">
        <v>0</v>
      </c>
    </row>
    <row r="5009" s="1" customFormat="1" spans="1:8">
      <c r="A5009" s="1" t="s">
        <v>37</v>
      </c>
      <c r="B5009" s="1" t="s">
        <v>52</v>
      </c>
      <c r="C5009" s="1" t="str">
        <f t="shared" si="118"/>
        <v>020048</v>
      </c>
      <c r="D5009" s="1" t="str">
        <f>"512626710"</f>
        <v>512626710</v>
      </c>
      <c r="E5009" s="1">
        <v>101.5</v>
      </c>
      <c r="F5009" s="1">
        <v>71</v>
      </c>
      <c r="H5009" s="1">
        <v>89.3</v>
      </c>
    </row>
    <row r="5010" s="1" customFormat="1" spans="1:8">
      <c r="A5010" s="1" t="s">
        <v>37</v>
      </c>
      <c r="B5010" s="1" t="s">
        <v>52</v>
      </c>
      <c r="C5010" s="1" t="str">
        <f t="shared" si="118"/>
        <v>020048</v>
      </c>
      <c r="D5010" s="1" t="str">
        <f>"512626711"</f>
        <v>512626711</v>
      </c>
      <c r="E5010" s="1">
        <v>88</v>
      </c>
      <c r="F5010" s="1">
        <v>65</v>
      </c>
      <c r="H5010" s="1">
        <v>78.8</v>
      </c>
    </row>
    <row r="5011" s="1" customFormat="1" spans="1:8">
      <c r="A5011" s="1" t="s">
        <v>37</v>
      </c>
      <c r="B5011" s="1" t="s">
        <v>52</v>
      </c>
      <c r="C5011" s="1" t="str">
        <f t="shared" si="118"/>
        <v>020048</v>
      </c>
      <c r="D5011" s="1" t="str">
        <f>"512626712"</f>
        <v>512626712</v>
      </c>
      <c r="E5011" s="1">
        <v>93.5</v>
      </c>
      <c r="F5011" s="1">
        <v>74</v>
      </c>
      <c r="H5011" s="1">
        <v>85.7</v>
      </c>
    </row>
    <row r="5012" s="1" customFormat="1" spans="1:8">
      <c r="A5012" s="1" t="s">
        <v>37</v>
      </c>
      <c r="B5012" s="1" t="s">
        <v>52</v>
      </c>
      <c r="C5012" s="1" t="str">
        <f t="shared" si="118"/>
        <v>020048</v>
      </c>
      <c r="D5012" s="1" t="str">
        <f>"512626713"</f>
        <v>512626713</v>
      </c>
      <c r="E5012" s="1">
        <v>0</v>
      </c>
      <c r="F5012" s="1">
        <v>0</v>
      </c>
      <c r="H5012" s="1">
        <v>0</v>
      </c>
    </row>
    <row r="5013" s="1" customFormat="1" spans="1:8">
      <c r="A5013" s="1" t="s">
        <v>37</v>
      </c>
      <c r="B5013" s="1" t="s">
        <v>52</v>
      </c>
      <c r="C5013" s="1" t="str">
        <f t="shared" si="118"/>
        <v>020048</v>
      </c>
      <c r="D5013" s="1" t="str">
        <f>"512626714"</f>
        <v>512626714</v>
      </c>
      <c r="E5013" s="1">
        <v>89</v>
      </c>
      <c r="F5013" s="1">
        <v>74.5</v>
      </c>
      <c r="H5013" s="1">
        <v>83.2</v>
      </c>
    </row>
    <row r="5014" s="1" customFormat="1" spans="1:8">
      <c r="A5014" s="1" t="s">
        <v>37</v>
      </c>
      <c r="B5014" s="1" t="s">
        <v>52</v>
      </c>
      <c r="C5014" s="1" t="str">
        <f t="shared" si="118"/>
        <v>020048</v>
      </c>
      <c r="D5014" s="1" t="str">
        <f>"512626715"</f>
        <v>512626715</v>
      </c>
      <c r="E5014" s="1">
        <v>93.5</v>
      </c>
      <c r="F5014" s="1">
        <v>68.5</v>
      </c>
      <c r="H5014" s="1">
        <v>83.5</v>
      </c>
    </row>
    <row r="5015" s="1" customFormat="1" spans="1:8">
      <c r="A5015" s="1" t="s">
        <v>37</v>
      </c>
      <c r="B5015" s="1" t="s">
        <v>52</v>
      </c>
      <c r="C5015" s="1" t="str">
        <f t="shared" si="118"/>
        <v>020048</v>
      </c>
      <c r="D5015" s="1" t="str">
        <f>"512626716"</f>
        <v>512626716</v>
      </c>
      <c r="E5015" s="1">
        <v>89.5</v>
      </c>
      <c r="F5015" s="1">
        <v>72</v>
      </c>
      <c r="H5015" s="1">
        <v>82.5</v>
      </c>
    </row>
    <row r="5016" s="1" customFormat="1" spans="1:8">
      <c r="A5016" s="1" t="s">
        <v>37</v>
      </c>
      <c r="B5016" s="1" t="s">
        <v>52</v>
      </c>
      <c r="C5016" s="1" t="str">
        <f t="shared" si="118"/>
        <v>020048</v>
      </c>
      <c r="D5016" s="1" t="str">
        <f>"512626717"</f>
        <v>512626717</v>
      </c>
      <c r="E5016" s="1">
        <v>93.5</v>
      </c>
      <c r="F5016" s="1">
        <v>69.5</v>
      </c>
      <c r="H5016" s="1">
        <v>83.9</v>
      </c>
    </row>
    <row r="5017" s="1" customFormat="1" spans="1:8">
      <c r="A5017" s="1" t="s">
        <v>37</v>
      </c>
      <c r="B5017" s="1" t="s">
        <v>52</v>
      </c>
      <c r="C5017" s="1" t="str">
        <f t="shared" si="118"/>
        <v>020048</v>
      </c>
      <c r="D5017" s="1" t="str">
        <f>"512626718"</f>
        <v>512626718</v>
      </c>
      <c r="E5017" s="1">
        <v>97</v>
      </c>
      <c r="F5017" s="1">
        <v>87.5</v>
      </c>
      <c r="H5017" s="1">
        <v>93.2</v>
      </c>
    </row>
    <row r="5018" s="1" customFormat="1" spans="1:8">
      <c r="A5018" s="1" t="s">
        <v>37</v>
      </c>
      <c r="B5018" s="1" t="s">
        <v>52</v>
      </c>
      <c r="C5018" s="1" t="str">
        <f t="shared" si="118"/>
        <v>020048</v>
      </c>
      <c r="D5018" s="1" t="str">
        <f>"512626719"</f>
        <v>512626719</v>
      </c>
      <c r="E5018" s="1">
        <v>92.5</v>
      </c>
      <c r="F5018" s="1">
        <v>65</v>
      </c>
      <c r="H5018" s="1">
        <v>81.5</v>
      </c>
    </row>
    <row r="5019" s="1" customFormat="1" spans="1:8">
      <c r="A5019" s="1" t="s">
        <v>37</v>
      </c>
      <c r="B5019" s="1" t="s">
        <v>52</v>
      </c>
      <c r="C5019" s="1" t="str">
        <f t="shared" si="118"/>
        <v>020048</v>
      </c>
      <c r="D5019" s="1" t="str">
        <f>"512626720"</f>
        <v>512626720</v>
      </c>
      <c r="E5019" s="1">
        <v>83.5</v>
      </c>
      <c r="F5019" s="1">
        <v>70.5</v>
      </c>
      <c r="H5019" s="1">
        <v>78.3</v>
      </c>
    </row>
    <row r="5020" s="1" customFormat="1" spans="1:8">
      <c r="A5020" s="1" t="s">
        <v>37</v>
      </c>
      <c r="B5020" s="1" t="s">
        <v>52</v>
      </c>
      <c r="C5020" s="1" t="str">
        <f t="shared" si="118"/>
        <v>020048</v>
      </c>
      <c r="D5020" s="1" t="str">
        <f>"512626721"</f>
        <v>512626721</v>
      </c>
      <c r="E5020" s="1">
        <v>103.5</v>
      </c>
      <c r="F5020" s="1">
        <v>76.5</v>
      </c>
      <c r="H5020" s="1">
        <v>92.7</v>
      </c>
    </row>
    <row r="5021" s="1" customFormat="1" spans="1:8">
      <c r="A5021" s="1" t="s">
        <v>37</v>
      </c>
      <c r="B5021" s="1" t="s">
        <v>52</v>
      </c>
      <c r="C5021" s="1" t="str">
        <f t="shared" si="118"/>
        <v>020048</v>
      </c>
      <c r="D5021" s="1" t="str">
        <f>"512626722"</f>
        <v>512626722</v>
      </c>
      <c r="E5021" s="1">
        <v>74.5</v>
      </c>
      <c r="F5021" s="1">
        <v>69.5</v>
      </c>
      <c r="H5021" s="1">
        <v>72.5</v>
      </c>
    </row>
    <row r="5022" s="1" customFormat="1" spans="1:8">
      <c r="A5022" s="1" t="s">
        <v>37</v>
      </c>
      <c r="B5022" s="1" t="s">
        <v>52</v>
      </c>
      <c r="C5022" s="1" t="str">
        <f t="shared" si="118"/>
        <v>020048</v>
      </c>
      <c r="D5022" s="1" t="str">
        <f>"512626723"</f>
        <v>512626723</v>
      </c>
      <c r="E5022" s="1">
        <v>0</v>
      </c>
      <c r="F5022" s="1">
        <v>0</v>
      </c>
      <c r="H5022" s="1">
        <v>0</v>
      </c>
    </row>
    <row r="5023" s="1" customFormat="1" spans="1:8">
      <c r="A5023" s="1" t="s">
        <v>37</v>
      </c>
      <c r="B5023" s="1" t="s">
        <v>52</v>
      </c>
      <c r="C5023" s="1" t="str">
        <f t="shared" si="118"/>
        <v>020048</v>
      </c>
      <c r="D5023" s="1" t="str">
        <f>"512626724"</f>
        <v>512626724</v>
      </c>
      <c r="E5023" s="1">
        <v>0</v>
      </c>
      <c r="F5023" s="1">
        <v>0</v>
      </c>
      <c r="H5023" s="1">
        <v>0</v>
      </c>
    </row>
    <row r="5024" s="1" customFormat="1" spans="1:8">
      <c r="A5024" s="1" t="s">
        <v>37</v>
      </c>
      <c r="B5024" s="1" t="s">
        <v>52</v>
      </c>
      <c r="C5024" s="1" t="str">
        <f t="shared" si="118"/>
        <v>020048</v>
      </c>
      <c r="D5024" s="1" t="str">
        <f>"512626725"</f>
        <v>512626725</v>
      </c>
      <c r="E5024" s="1">
        <v>0</v>
      </c>
      <c r="F5024" s="1">
        <v>0</v>
      </c>
      <c r="H5024" s="1">
        <v>0</v>
      </c>
    </row>
    <row r="5025" s="1" customFormat="1" spans="1:8">
      <c r="A5025" s="1" t="s">
        <v>37</v>
      </c>
      <c r="B5025" s="1" t="s">
        <v>52</v>
      </c>
      <c r="C5025" s="1" t="str">
        <f t="shared" ref="C5025:C5088" si="119">"020048"</f>
        <v>020048</v>
      </c>
      <c r="D5025" s="1" t="str">
        <f>"512626726"</f>
        <v>512626726</v>
      </c>
      <c r="E5025" s="1">
        <v>83.5</v>
      </c>
      <c r="F5025" s="1">
        <v>79</v>
      </c>
      <c r="H5025" s="1">
        <v>81.7</v>
      </c>
    </row>
    <row r="5026" s="1" customFormat="1" spans="1:8">
      <c r="A5026" s="1" t="s">
        <v>37</v>
      </c>
      <c r="B5026" s="1" t="s">
        <v>52</v>
      </c>
      <c r="C5026" s="1" t="str">
        <f t="shared" si="119"/>
        <v>020048</v>
      </c>
      <c r="D5026" s="1" t="str">
        <f>"512626727"</f>
        <v>512626727</v>
      </c>
      <c r="E5026" s="1">
        <v>89</v>
      </c>
      <c r="F5026" s="1">
        <v>64.5</v>
      </c>
      <c r="H5026" s="1">
        <v>79.2</v>
      </c>
    </row>
    <row r="5027" s="1" customFormat="1" spans="1:8">
      <c r="A5027" s="1" t="s">
        <v>37</v>
      </c>
      <c r="B5027" s="1" t="s">
        <v>52</v>
      </c>
      <c r="C5027" s="1" t="str">
        <f t="shared" si="119"/>
        <v>020048</v>
      </c>
      <c r="D5027" s="1" t="str">
        <f>"512626728"</f>
        <v>512626728</v>
      </c>
      <c r="E5027" s="1">
        <v>89.5</v>
      </c>
      <c r="F5027" s="1">
        <v>62</v>
      </c>
      <c r="H5027" s="1">
        <v>78.5</v>
      </c>
    </row>
    <row r="5028" s="1" customFormat="1" spans="1:8">
      <c r="A5028" s="1" t="s">
        <v>37</v>
      </c>
      <c r="B5028" s="1" t="s">
        <v>52</v>
      </c>
      <c r="C5028" s="1" t="str">
        <f t="shared" si="119"/>
        <v>020048</v>
      </c>
      <c r="D5028" s="1" t="str">
        <f>"512626729"</f>
        <v>512626729</v>
      </c>
      <c r="E5028" s="1">
        <v>86.5</v>
      </c>
      <c r="F5028" s="1">
        <v>57</v>
      </c>
      <c r="H5028" s="1">
        <v>74.7</v>
      </c>
    </row>
    <row r="5029" s="1" customFormat="1" spans="1:8">
      <c r="A5029" s="1" t="s">
        <v>37</v>
      </c>
      <c r="B5029" s="1" t="s">
        <v>52</v>
      </c>
      <c r="C5029" s="1" t="str">
        <f t="shared" si="119"/>
        <v>020048</v>
      </c>
      <c r="D5029" s="1" t="str">
        <f>"512626730"</f>
        <v>512626730</v>
      </c>
      <c r="E5029" s="1">
        <v>0</v>
      </c>
      <c r="F5029" s="1">
        <v>0</v>
      </c>
      <c r="H5029" s="1">
        <v>0</v>
      </c>
    </row>
    <row r="5030" s="1" customFormat="1" spans="1:8">
      <c r="A5030" s="1" t="s">
        <v>37</v>
      </c>
      <c r="B5030" s="1" t="s">
        <v>52</v>
      </c>
      <c r="C5030" s="1" t="str">
        <f t="shared" si="119"/>
        <v>020048</v>
      </c>
      <c r="D5030" s="1" t="str">
        <f>"512626801"</f>
        <v>512626801</v>
      </c>
      <c r="E5030" s="1">
        <v>96</v>
      </c>
      <c r="F5030" s="1">
        <v>54.5</v>
      </c>
      <c r="H5030" s="1">
        <v>79.4</v>
      </c>
    </row>
    <row r="5031" s="1" customFormat="1" spans="1:8">
      <c r="A5031" s="1" t="s">
        <v>37</v>
      </c>
      <c r="B5031" s="1" t="s">
        <v>52</v>
      </c>
      <c r="C5031" s="1" t="str">
        <f t="shared" si="119"/>
        <v>020048</v>
      </c>
      <c r="D5031" s="1" t="str">
        <f>"512626802"</f>
        <v>512626802</v>
      </c>
      <c r="E5031" s="1">
        <v>88.5</v>
      </c>
      <c r="F5031" s="1">
        <v>72.5</v>
      </c>
      <c r="H5031" s="1">
        <v>82.1</v>
      </c>
    </row>
    <row r="5032" s="1" customFormat="1" spans="1:8">
      <c r="A5032" s="1" t="s">
        <v>37</v>
      </c>
      <c r="B5032" s="1" t="s">
        <v>52</v>
      </c>
      <c r="C5032" s="1" t="str">
        <f t="shared" si="119"/>
        <v>020048</v>
      </c>
      <c r="D5032" s="1" t="str">
        <f>"512626803"</f>
        <v>512626803</v>
      </c>
      <c r="E5032" s="1">
        <v>102.5</v>
      </c>
      <c r="F5032" s="1">
        <v>74.5</v>
      </c>
      <c r="H5032" s="1">
        <v>91.3</v>
      </c>
    </row>
    <row r="5033" s="1" customFormat="1" spans="1:8">
      <c r="A5033" s="1" t="s">
        <v>37</v>
      </c>
      <c r="B5033" s="1" t="s">
        <v>52</v>
      </c>
      <c r="C5033" s="1" t="str">
        <f t="shared" si="119"/>
        <v>020048</v>
      </c>
      <c r="D5033" s="1" t="str">
        <f>"512626804"</f>
        <v>512626804</v>
      </c>
      <c r="E5033" s="1">
        <v>90</v>
      </c>
      <c r="F5033" s="1">
        <v>77</v>
      </c>
      <c r="H5033" s="1">
        <v>84.8</v>
      </c>
    </row>
    <row r="5034" s="1" customFormat="1" spans="1:8">
      <c r="A5034" s="1" t="s">
        <v>37</v>
      </c>
      <c r="B5034" s="1" t="s">
        <v>52</v>
      </c>
      <c r="C5034" s="1" t="str">
        <f t="shared" si="119"/>
        <v>020048</v>
      </c>
      <c r="D5034" s="1" t="str">
        <f>"512626805"</f>
        <v>512626805</v>
      </c>
      <c r="E5034" s="1">
        <v>95</v>
      </c>
      <c r="F5034" s="1">
        <v>73.5</v>
      </c>
      <c r="H5034" s="1">
        <v>86.4</v>
      </c>
    </row>
    <row r="5035" s="1" customFormat="1" spans="1:8">
      <c r="A5035" s="1" t="s">
        <v>37</v>
      </c>
      <c r="B5035" s="1" t="s">
        <v>52</v>
      </c>
      <c r="C5035" s="1" t="str">
        <f t="shared" si="119"/>
        <v>020048</v>
      </c>
      <c r="D5035" s="1" t="str">
        <f>"512626806"</f>
        <v>512626806</v>
      </c>
      <c r="E5035" s="1">
        <v>103.5</v>
      </c>
      <c r="F5035" s="1">
        <v>97.5</v>
      </c>
      <c r="H5035" s="1">
        <v>101.1</v>
      </c>
    </row>
    <row r="5036" s="1" customFormat="1" spans="1:8">
      <c r="A5036" s="1" t="s">
        <v>37</v>
      </c>
      <c r="B5036" s="1" t="s">
        <v>52</v>
      </c>
      <c r="C5036" s="1" t="str">
        <f t="shared" si="119"/>
        <v>020048</v>
      </c>
      <c r="D5036" s="1" t="str">
        <f>"512626807"</f>
        <v>512626807</v>
      </c>
      <c r="E5036" s="1">
        <v>95</v>
      </c>
      <c r="F5036" s="1">
        <v>72.5</v>
      </c>
      <c r="H5036" s="1">
        <v>86</v>
      </c>
    </row>
    <row r="5037" s="1" customFormat="1" spans="1:8">
      <c r="A5037" s="1" t="s">
        <v>37</v>
      </c>
      <c r="B5037" s="1" t="s">
        <v>52</v>
      </c>
      <c r="C5037" s="1" t="str">
        <f t="shared" si="119"/>
        <v>020048</v>
      </c>
      <c r="D5037" s="1" t="str">
        <f>"512626808"</f>
        <v>512626808</v>
      </c>
      <c r="E5037" s="1">
        <v>86.5</v>
      </c>
      <c r="F5037" s="1">
        <v>73</v>
      </c>
      <c r="H5037" s="1">
        <v>81.1</v>
      </c>
    </row>
    <row r="5038" s="1" customFormat="1" spans="1:8">
      <c r="A5038" s="1" t="s">
        <v>37</v>
      </c>
      <c r="B5038" s="1" t="s">
        <v>52</v>
      </c>
      <c r="C5038" s="1" t="str">
        <f t="shared" si="119"/>
        <v>020048</v>
      </c>
      <c r="D5038" s="1" t="str">
        <f>"512626809"</f>
        <v>512626809</v>
      </c>
      <c r="E5038" s="1">
        <v>81.5</v>
      </c>
      <c r="F5038" s="1">
        <v>71.5</v>
      </c>
      <c r="H5038" s="1">
        <v>77.5</v>
      </c>
    </row>
    <row r="5039" s="1" customFormat="1" spans="1:8">
      <c r="A5039" s="1" t="s">
        <v>37</v>
      </c>
      <c r="B5039" s="1" t="s">
        <v>52</v>
      </c>
      <c r="C5039" s="1" t="str">
        <f t="shared" si="119"/>
        <v>020048</v>
      </c>
      <c r="D5039" s="1" t="str">
        <f>"512626810"</f>
        <v>512626810</v>
      </c>
      <c r="E5039" s="1">
        <v>90</v>
      </c>
      <c r="F5039" s="1">
        <v>70.5</v>
      </c>
      <c r="H5039" s="1">
        <v>82.2</v>
      </c>
    </row>
    <row r="5040" s="1" customFormat="1" spans="1:8">
      <c r="A5040" s="1" t="s">
        <v>37</v>
      </c>
      <c r="B5040" s="1" t="s">
        <v>52</v>
      </c>
      <c r="C5040" s="1" t="str">
        <f t="shared" si="119"/>
        <v>020048</v>
      </c>
      <c r="D5040" s="1" t="str">
        <f>"512626811"</f>
        <v>512626811</v>
      </c>
      <c r="E5040" s="1">
        <v>108.5</v>
      </c>
      <c r="F5040" s="1">
        <v>76</v>
      </c>
      <c r="H5040" s="1">
        <v>95.5</v>
      </c>
    </row>
    <row r="5041" s="1" customFormat="1" spans="1:8">
      <c r="A5041" s="1" t="s">
        <v>37</v>
      </c>
      <c r="B5041" s="1" t="s">
        <v>52</v>
      </c>
      <c r="C5041" s="1" t="str">
        <f t="shared" si="119"/>
        <v>020048</v>
      </c>
      <c r="D5041" s="1" t="str">
        <f>"512626812"</f>
        <v>512626812</v>
      </c>
      <c r="E5041" s="1">
        <v>96.5</v>
      </c>
      <c r="F5041" s="1">
        <v>77.5</v>
      </c>
      <c r="H5041" s="1">
        <v>88.9</v>
      </c>
    </row>
    <row r="5042" s="1" customFormat="1" spans="1:8">
      <c r="A5042" s="1" t="s">
        <v>37</v>
      </c>
      <c r="B5042" s="1" t="s">
        <v>52</v>
      </c>
      <c r="C5042" s="1" t="str">
        <f t="shared" si="119"/>
        <v>020048</v>
      </c>
      <c r="D5042" s="1" t="str">
        <f>"512626813"</f>
        <v>512626813</v>
      </c>
      <c r="E5042" s="1">
        <v>99</v>
      </c>
      <c r="F5042" s="1">
        <v>68</v>
      </c>
      <c r="H5042" s="1">
        <v>86.6</v>
      </c>
    </row>
    <row r="5043" s="1" customFormat="1" spans="1:8">
      <c r="A5043" s="1" t="s">
        <v>37</v>
      </c>
      <c r="B5043" s="1" t="s">
        <v>52</v>
      </c>
      <c r="C5043" s="1" t="str">
        <f t="shared" si="119"/>
        <v>020048</v>
      </c>
      <c r="D5043" s="1" t="str">
        <f>"512626814"</f>
        <v>512626814</v>
      </c>
      <c r="E5043" s="1">
        <v>92.5</v>
      </c>
      <c r="F5043" s="1">
        <v>71</v>
      </c>
      <c r="H5043" s="1">
        <v>83.9</v>
      </c>
    </row>
    <row r="5044" s="1" customFormat="1" spans="1:8">
      <c r="A5044" s="1" t="s">
        <v>37</v>
      </c>
      <c r="B5044" s="1" t="s">
        <v>52</v>
      </c>
      <c r="C5044" s="1" t="str">
        <f t="shared" si="119"/>
        <v>020048</v>
      </c>
      <c r="D5044" s="1" t="str">
        <f>"512626815"</f>
        <v>512626815</v>
      </c>
      <c r="E5044" s="1">
        <v>93</v>
      </c>
      <c r="F5044" s="1">
        <v>76.5</v>
      </c>
      <c r="H5044" s="1">
        <v>86.4</v>
      </c>
    </row>
    <row r="5045" s="1" customFormat="1" spans="1:8">
      <c r="A5045" s="1" t="s">
        <v>37</v>
      </c>
      <c r="B5045" s="1" t="s">
        <v>52</v>
      </c>
      <c r="C5045" s="1" t="str">
        <f t="shared" si="119"/>
        <v>020048</v>
      </c>
      <c r="D5045" s="1" t="str">
        <f>"512626816"</f>
        <v>512626816</v>
      </c>
      <c r="E5045" s="1">
        <v>99</v>
      </c>
      <c r="F5045" s="1">
        <v>80.5</v>
      </c>
      <c r="H5045" s="1">
        <v>91.6</v>
      </c>
    </row>
    <row r="5046" s="1" customFormat="1" spans="1:8">
      <c r="A5046" s="1" t="s">
        <v>37</v>
      </c>
      <c r="B5046" s="1" t="s">
        <v>52</v>
      </c>
      <c r="C5046" s="1" t="str">
        <f t="shared" si="119"/>
        <v>020048</v>
      </c>
      <c r="D5046" s="1" t="str">
        <f>"512626817"</f>
        <v>512626817</v>
      </c>
      <c r="E5046" s="1">
        <v>99.5</v>
      </c>
      <c r="F5046" s="1">
        <v>64</v>
      </c>
      <c r="H5046" s="1">
        <v>85.3</v>
      </c>
    </row>
    <row r="5047" s="1" customFormat="1" spans="1:8">
      <c r="A5047" s="1" t="s">
        <v>37</v>
      </c>
      <c r="B5047" s="1" t="s">
        <v>52</v>
      </c>
      <c r="C5047" s="1" t="str">
        <f t="shared" si="119"/>
        <v>020048</v>
      </c>
      <c r="D5047" s="1" t="str">
        <f>"512626818"</f>
        <v>512626818</v>
      </c>
      <c r="E5047" s="1">
        <v>85</v>
      </c>
      <c r="F5047" s="1">
        <v>76.5</v>
      </c>
      <c r="H5047" s="1">
        <v>81.6</v>
      </c>
    </row>
    <row r="5048" s="1" customFormat="1" spans="1:8">
      <c r="A5048" s="1" t="s">
        <v>37</v>
      </c>
      <c r="B5048" s="1" t="s">
        <v>52</v>
      </c>
      <c r="C5048" s="1" t="str">
        <f t="shared" si="119"/>
        <v>020048</v>
      </c>
      <c r="D5048" s="1" t="str">
        <f>"512626819"</f>
        <v>512626819</v>
      </c>
      <c r="E5048" s="1">
        <v>95.5</v>
      </c>
      <c r="F5048" s="1">
        <v>68.5</v>
      </c>
      <c r="H5048" s="1">
        <v>84.7</v>
      </c>
    </row>
    <row r="5049" s="1" customFormat="1" spans="1:8">
      <c r="A5049" s="1" t="s">
        <v>37</v>
      </c>
      <c r="B5049" s="1" t="s">
        <v>52</v>
      </c>
      <c r="C5049" s="1" t="str">
        <f t="shared" si="119"/>
        <v>020048</v>
      </c>
      <c r="D5049" s="1" t="str">
        <f>"512626820"</f>
        <v>512626820</v>
      </c>
      <c r="E5049" s="1">
        <v>100.5</v>
      </c>
      <c r="F5049" s="1">
        <v>81.5</v>
      </c>
      <c r="H5049" s="1">
        <v>92.9</v>
      </c>
    </row>
    <row r="5050" s="1" customFormat="1" spans="1:8">
      <c r="A5050" s="1" t="s">
        <v>37</v>
      </c>
      <c r="B5050" s="1" t="s">
        <v>52</v>
      </c>
      <c r="C5050" s="1" t="str">
        <f t="shared" si="119"/>
        <v>020048</v>
      </c>
      <c r="D5050" s="1" t="str">
        <f>"512626821"</f>
        <v>512626821</v>
      </c>
      <c r="E5050" s="1">
        <v>0</v>
      </c>
      <c r="F5050" s="1">
        <v>0</v>
      </c>
      <c r="H5050" s="1">
        <v>0</v>
      </c>
    </row>
    <row r="5051" s="1" customFormat="1" spans="1:8">
      <c r="A5051" s="1" t="s">
        <v>37</v>
      </c>
      <c r="B5051" s="1" t="s">
        <v>52</v>
      </c>
      <c r="C5051" s="1" t="str">
        <f t="shared" si="119"/>
        <v>020048</v>
      </c>
      <c r="D5051" s="1" t="str">
        <f>"512626822"</f>
        <v>512626822</v>
      </c>
      <c r="E5051" s="1">
        <v>86.5</v>
      </c>
      <c r="F5051" s="1">
        <v>69</v>
      </c>
      <c r="H5051" s="1">
        <v>79.5</v>
      </c>
    </row>
    <row r="5052" s="1" customFormat="1" spans="1:8">
      <c r="A5052" s="1" t="s">
        <v>37</v>
      </c>
      <c r="B5052" s="1" t="s">
        <v>52</v>
      </c>
      <c r="C5052" s="1" t="str">
        <f t="shared" si="119"/>
        <v>020048</v>
      </c>
      <c r="D5052" s="1" t="str">
        <f>"512626823"</f>
        <v>512626823</v>
      </c>
      <c r="E5052" s="1">
        <v>0</v>
      </c>
      <c r="F5052" s="1">
        <v>0</v>
      </c>
      <c r="H5052" s="1">
        <v>0</v>
      </c>
    </row>
    <row r="5053" s="1" customFormat="1" spans="1:8">
      <c r="A5053" s="1" t="s">
        <v>37</v>
      </c>
      <c r="B5053" s="1" t="s">
        <v>52</v>
      </c>
      <c r="C5053" s="1" t="str">
        <f t="shared" si="119"/>
        <v>020048</v>
      </c>
      <c r="D5053" s="1" t="str">
        <f>"512626824"</f>
        <v>512626824</v>
      </c>
      <c r="E5053" s="1">
        <v>0</v>
      </c>
      <c r="F5053" s="1">
        <v>0</v>
      </c>
      <c r="H5053" s="1">
        <v>0</v>
      </c>
    </row>
    <row r="5054" s="1" customFormat="1" spans="1:8">
      <c r="A5054" s="1" t="s">
        <v>37</v>
      </c>
      <c r="B5054" s="1" t="s">
        <v>52</v>
      </c>
      <c r="C5054" s="1" t="str">
        <f t="shared" si="119"/>
        <v>020048</v>
      </c>
      <c r="D5054" s="1" t="str">
        <f>"512626825"</f>
        <v>512626825</v>
      </c>
      <c r="E5054" s="1">
        <v>84.5</v>
      </c>
      <c r="F5054" s="1">
        <v>69.5</v>
      </c>
      <c r="H5054" s="1">
        <v>78.5</v>
      </c>
    </row>
    <row r="5055" s="1" customFormat="1" spans="1:8">
      <c r="A5055" s="1" t="s">
        <v>37</v>
      </c>
      <c r="B5055" s="1" t="s">
        <v>52</v>
      </c>
      <c r="C5055" s="1" t="str">
        <f t="shared" si="119"/>
        <v>020048</v>
      </c>
      <c r="D5055" s="1" t="str">
        <f>"512626826"</f>
        <v>512626826</v>
      </c>
      <c r="E5055" s="1">
        <v>84.5</v>
      </c>
      <c r="F5055" s="1">
        <v>65</v>
      </c>
      <c r="H5055" s="1">
        <v>76.7</v>
      </c>
    </row>
    <row r="5056" s="1" customFormat="1" spans="1:8">
      <c r="A5056" s="1" t="s">
        <v>37</v>
      </c>
      <c r="B5056" s="1" t="s">
        <v>52</v>
      </c>
      <c r="C5056" s="1" t="str">
        <f t="shared" si="119"/>
        <v>020048</v>
      </c>
      <c r="D5056" s="1" t="str">
        <f>"512626827"</f>
        <v>512626827</v>
      </c>
      <c r="E5056" s="1">
        <v>86</v>
      </c>
      <c r="F5056" s="1">
        <v>75</v>
      </c>
      <c r="H5056" s="1">
        <v>81.6</v>
      </c>
    </row>
    <row r="5057" s="1" customFormat="1" spans="1:8">
      <c r="A5057" s="1" t="s">
        <v>37</v>
      </c>
      <c r="B5057" s="1" t="s">
        <v>52</v>
      </c>
      <c r="C5057" s="1" t="str">
        <f t="shared" si="119"/>
        <v>020048</v>
      </c>
      <c r="D5057" s="1" t="str">
        <f>"512626828"</f>
        <v>512626828</v>
      </c>
      <c r="E5057" s="1">
        <v>104.5</v>
      </c>
      <c r="F5057" s="1">
        <v>76</v>
      </c>
      <c r="H5057" s="1">
        <v>93.1</v>
      </c>
    </row>
    <row r="5058" s="1" customFormat="1" spans="1:8">
      <c r="A5058" s="1" t="s">
        <v>37</v>
      </c>
      <c r="B5058" s="1" t="s">
        <v>52</v>
      </c>
      <c r="C5058" s="1" t="str">
        <f t="shared" si="119"/>
        <v>020048</v>
      </c>
      <c r="D5058" s="1" t="str">
        <f>"512626829"</f>
        <v>512626829</v>
      </c>
      <c r="E5058" s="1">
        <v>77</v>
      </c>
      <c r="F5058" s="1">
        <v>61.5</v>
      </c>
      <c r="H5058" s="1">
        <v>70.8</v>
      </c>
    </row>
    <row r="5059" s="1" customFormat="1" spans="1:8">
      <c r="A5059" s="1" t="s">
        <v>37</v>
      </c>
      <c r="B5059" s="1" t="s">
        <v>52</v>
      </c>
      <c r="C5059" s="1" t="str">
        <f t="shared" si="119"/>
        <v>020048</v>
      </c>
      <c r="D5059" s="1" t="str">
        <f>"512626830"</f>
        <v>512626830</v>
      </c>
      <c r="E5059" s="1">
        <v>99</v>
      </c>
      <c r="F5059" s="1">
        <v>79.5</v>
      </c>
      <c r="H5059" s="1">
        <v>91.2</v>
      </c>
    </row>
    <row r="5060" s="1" customFormat="1" spans="1:8">
      <c r="A5060" s="1" t="s">
        <v>37</v>
      </c>
      <c r="B5060" s="1" t="s">
        <v>52</v>
      </c>
      <c r="C5060" s="1" t="str">
        <f t="shared" si="119"/>
        <v>020048</v>
      </c>
      <c r="D5060" s="1" t="str">
        <f>"512626901"</f>
        <v>512626901</v>
      </c>
      <c r="E5060" s="1">
        <v>102</v>
      </c>
      <c r="F5060" s="1">
        <v>90</v>
      </c>
      <c r="H5060" s="1">
        <v>97.2</v>
      </c>
    </row>
    <row r="5061" s="1" customFormat="1" spans="1:8">
      <c r="A5061" s="1" t="s">
        <v>37</v>
      </c>
      <c r="B5061" s="1" t="s">
        <v>52</v>
      </c>
      <c r="C5061" s="1" t="str">
        <f t="shared" si="119"/>
        <v>020048</v>
      </c>
      <c r="D5061" s="1" t="str">
        <f>"512626902"</f>
        <v>512626902</v>
      </c>
      <c r="E5061" s="1">
        <v>92.5</v>
      </c>
      <c r="F5061" s="1">
        <v>81</v>
      </c>
      <c r="H5061" s="1">
        <v>87.9</v>
      </c>
    </row>
    <row r="5062" s="1" customFormat="1" spans="1:8">
      <c r="A5062" s="1" t="s">
        <v>37</v>
      </c>
      <c r="B5062" s="1" t="s">
        <v>52</v>
      </c>
      <c r="C5062" s="1" t="str">
        <f t="shared" si="119"/>
        <v>020048</v>
      </c>
      <c r="D5062" s="1" t="str">
        <f>"512626903"</f>
        <v>512626903</v>
      </c>
      <c r="E5062" s="1">
        <v>93.5</v>
      </c>
      <c r="F5062" s="1">
        <v>78.5</v>
      </c>
      <c r="H5062" s="1">
        <v>87.5</v>
      </c>
    </row>
    <row r="5063" s="1" customFormat="1" spans="1:8">
      <c r="A5063" s="1" t="s">
        <v>37</v>
      </c>
      <c r="B5063" s="1" t="s">
        <v>52</v>
      </c>
      <c r="C5063" s="1" t="str">
        <f t="shared" si="119"/>
        <v>020048</v>
      </c>
      <c r="D5063" s="1" t="str">
        <f>"512626904"</f>
        <v>512626904</v>
      </c>
      <c r="E5063" s="1">
        <v>89.5</v>
      </c>
      <c r="F5063" s="1">
        <v>63.5</v>
      </c>
      <c r="H5063" s="1">
        <v>79.1</v>
      </c>
    </row>
    <row r="5064" s="1" customFormat="1" spans="1:8">
      <c r="A5064" s="1" t="s">
        <v>37</v>
      </c>
      <c r="B5064" s="1" t="s">
        <v>52</v>
      </c>
      <c r="C5064" s="1" t="str">
        <f t="shared" si="119"/>
        <v>020048</v>
      </c>
      <c r="D5064" s="1" t="str">
        <f>"512626905"</f>
        <v>512626905</v>
      </c>
      <c r="E5064" s="1">
        <v>87</v>
      </c>
      <c r="F5064" s="1">
        <v>68.5</v>
      </c>
      <c r="H5064" s="1">
        <v>79.6</v>
      </c>
    </row>
    <row r="5065" s="1" customFormat="1" spans="1:8">
      <c r="A5065" s="1" t="s">
        <v>37</v>
      </c>
      <c r="B5065" s="1" t="s">
        <v>52</v>
      </c>
      <c r="C5065" s="1" t="str">
        <f t="shared" si="119"/>
        <v>020048</v>
      </c>
      <c r="D5065" s="1" t="str">
        <f>"512626906"</f>
        <v>512626906</v>
      </c>
      <c r="E5065" s="1">
        <v>92</v>
      </c>
      <c r="F5065" s="1">
        <v>64.5</v>
      </c>
      <c r="H5065" s="1">
        <v>81</v>
      </c>
    </row>
    <row r="5066" s="1" customFormat="1" spans="1:8">
      <c r="A5066" s="1" t="s">
        <v>37</v>
      </c>
      <c r="B5066" s="1" t="s">
        <v>52</v>
      </c>
      <c r="C5066" s="1" t="str">
        <f t="shared" si="119"/>
        <v>020048</v>
      </c>
      <c r="D5066" s="1" t="str">
        <f>"512626907"</f>
        <v>512626907</v>
      </c>
      <c r="E5066" s="1">
        <v>67</v>
      </c>
      <c r="F5066" s="1">
        <v>62</v>
      </c>
      <c r="H5066" s="1">
        <v>65</v>
      </c>
    </row>
    <row r="5067" s="1" customFormat="1" spans="1:8">
      <c r="A5067" s="1" t="s">
        <v>37</v>
      </c>
      <c r="B5067" s="1" t="s">
        <v>52</v>
      </c>
      <c r="C5067" s="1" t="str">
        <f t="shared" si="119"/>
        <v>020048</v>
      </c>
      <c r="D5067" s="1" t="str">
        <f>"512626908"</f>
        <v>512626908</v>
      </c>
      <c r="E5067" s="1">
        <v>73.5</v>
      </c>
      <c r="F5067" s="1">
        <v>53.5</v>
      </c>
      <c r="H5067" s="1">
        <v>65.5</v>
      </c>
    </row>
    <row r="5068" s="1" customFormat="1" spans="1:8">
      <c r="A5068" s="1" t="s">
        <v>37</v>
      </c>
      <c r="B5068" s="1" t="s">
        <v>52</v>
      </c>
      <c r="C5068" s="1" t="str">
        <f t="shared" si="119"/>
        <v>020048</v>
      </c>
      <c r="D5068" s="1" t="str">
        <f>"512626909"</f>
        <v>512626909</v>
      </c>
      <c r="E5068" s="1">
        <v>90</v>
      </c>
      <c r="F5068" s="1">
        <v>62</v>
      </c>
      <c r="H5068" s="1">
        <v>78.8</v>
      </c>
    </row>
    <row r="5069" s="1" customFormat="1" spans="1:8">
      <c r="A5069" s="1" t="s">
        <v>37</v>
      </c>
      <c r="B5069" s="1" t="s">
        <v>52</v>
      </c>
      <c r="C5069" s="1" t="str">
        <f t="shared" si="119"/>
        <v>020048</v>
      </c>
      <c r="D5069" s="1" t="str">
        <f>"512626910"</f>
        <v>512626910</v>
      </c>
      <c r="E5069" s="1">
        <v>77</v>
      </c>
      <c r="F5069" s="1">
        <v>65.5</v>
      </c>
      <c r="H5069" s="1">
        <v>72.4</v>
      </c>
    </row>
    <row r="5070" s="1" customFormat="1" spans="1:8">
      <c r="A5070" s="1" t="s">
        <v>37</v>
      </c>
      <c r="B5070" s="1" t="s">
        <v>52</v>
      </c>
      <c r="C5070" s="1" t="str">
        <f t="shared" si="119"/>
        <v>020048</v>
      </c>
      <c r="D5070" s="1" t="str">
        <f>"512626911"</f>
        <v>512626911</v>
      </c>
      <c r="E5070" s="1">
        <v>78.5</v>
      </c>
      <c r="F5070" s="1">
        <v>71.5</v>
      </c>
      <c r="H5070" s="1">
        <v>75.7</v>
      </c>
    </row>
    <row r="5071" s="1" customFormat="1" spans="1:8">
      <c r="A5071" s="1" t="s">
        <v>37</v>
      </c>
      <c r="B5071" s="1" t="s">
        <v>52</v>
      </c>
      <c r="C5071" s="1" t="str">
        <f t="shared" si="119"/>
        <v>020048</v>
      </c>
      <c r="D5071" s="1" t="str">
        <f>"512626912"</f>
        <v>512626912</v>
      </c>
      <c r="E5071" s="1">
        <v>93</v>
      </c>
      <c r="F5071" s="1">
        <v>71</v>
      </c>
      <c r="H5071" s="1">
        <v>84.2</v>
      </c>
    </row>
    <row r="5072" s="1" customFormat="1" spans="1:8">
      <c r="A5072" s="1" t="s">
        <v>37</v>
      </c>
      <c r="B5072" s="1" t="s">
        <v>52</v>
      </c>
      <c r="C5072" s="1" t="str">
        <f t="shared" si="119"/>
        <v>020048</v>
      </c>
      <c r="D5072" s="1" t="str">
        <f>"512626913"</f>
        <v>512626913</v>
      </c>
      <c r="E5072" s="1">
        <v>96.5</v>
      </c>
      <c r="F5072" s="1">
        <v>80.5</v>
      </c>
      <c r="H5072" s="1">
        <v>90.1</v>
      </c>
    </row>
    <row r="5073" s="1" customFormat="1" spans="1:8">
      <c r="A5073" s="1" t="s">
        <v>37</v>
      </c>
      <c r="B5073" s="1" t="s">
        <v>52</v>
      </c>
      <c r="C5073" s="1" t="str">
        <f t="shared" si="119"/>
        <v>020048</v>
      </c>
      <c r="D5073" s="1" t="str">
        <f>"512626914"</f>
        <v>512626914</v>
      </c>
      <c r="E5073" s="1">
        <v>89.5</v>
      </c>
      <c r="F5073" s="1">
        <v>64</v>
      </c>
      <c r="H5073" s="1">
        <v>79.3</v>
      </c>
    </row>
    <row r="5074" s="1" customFormat="1" spans="1:8">
      <c r="A5074" s="1" t="s">
        <v>37</v>
      </c>
      <c r="B5074" s="1" t="s">
        <v>52</v>
      </c>
      <c r="C5074" s="1" t="str">
        <f t="shared" si="119"/>
        <v>020048</v>
      </c>
      <c r="D5074" s="1" t="str">
        <f>"512626915"</f>
        <v>512626915</v>
      </c>
      <c r="E5074" s="1">
        <v>76</v>
      </c>
      <c r="F5074" s="1">
        <v>52.5</v>
      </c>
      <c r="H5074" s="1">
        <v>66.6</v>
      </c>
    </row>
    <row r="5075" s="1" customFormat="1" spans="1:8">
      <c r="A5075" s="1" t="s">
        <v>37</v>
      </c>
      <c r="B5075" s="1" t="s">
        <v>52</v>
      </c>
      <c r="C5075" s="1" t="str">
        <f t="shared" si="119"/>
        <v>020048</v>
      </c>
      <c r="D5075" s="1" t="str">
        <f>"512626916"</f>
        <v>512626916</v>
      </c>
      <c r="E5075" s="1">
        <v>98.5</v>
      </c>
      <c r="F5075" s="1">
        <v>65</v>
      </c>
      <c r="H5075" s="1">
        <v>85.1</v>
      </c>
    </row>
    <row r="5076" s="1" customFormat="1" spans="1:8">
      <c r="A5076" s="1" t="s">
        <v>37</v>
      </c>
      <c r="B5076" s="1" t="s">
        <v>52</v>
      </c>
      <c r="C5076" s="1" t="str">
        <f t="shared" si="119"/>
        <v>020048</v>
      </c>
      <c r="D5076" s="1" t="str">
        <f>"512626917"</f>
        <v>512626917</v>
      </c>
      <c r="E5076" s="1">
        <v>94</v>
      </c>
      <c r="F5076" s="1">
        <v>72.5</v>
      </c>
      <c r="H5076" s="1">
        <v>85.4</v>
      </c>
    </row>
    <row r="5077" s="1" customFormat="1" spans="1:8">
      <c r="A5077" s="1" t="s">
        <v>37</v>
      </c>
      <c r="B5077" s="1" t="s">
        <v>52</v>
      </c>
      <c r="C5077" s="1" t="str">
        <f t="shared" si="119"/>
        <v>020048</v>
      </c>
      <c r="D5077" s="1" t="str">
        <f>"512626918"</f>
        <v>512626918</v>
      </c>
      <c r="E5077" s="1">
        <v>92.5</v>
      </c>
      <c r="F5077" s="1">
        <v>78</v>
      </c>
      <c r="H5077" s="1">
        <v>86.7</v>
      </c>
    </row>
    <row r="5078" s="1" customFormat="1" spans="1:8">
      <c r="A5078" s="1" t="s">
        <v>37</v>
      </c>
      <c r="B5078" s="1" t="s">
        <v>52</v>
      </c>
      <c r="C5078" s="1" t="str">
        <f t="shared" si="119"/>
        <v>020048</v>
      </c>
      <c r="D5078" s="1" t="str">
        <f>"512626919"</f>
        <v>512626919</v>
      </c>
      <c r="E5078" s="1">
        <v>104.5</v>
      </c>
      <c r="F5078" s="1">
        <v>88</v>
      </c>
      <c r="H5078" s="1">
        <v>97.9</v>
      </c>
    </row>
    <row r="5079" s="1" customFormat="1" spans="1:8">
      <c r="A5079" s="1" t="s">
        <v>37</v>
      </c>
      <c r="B5079" s="1" t="s">
        <v>52</v>
      </c>
      <c r="C5079" s="1" t="str">
        <f t="shared" si="119"/>
        <v>020048</v>
      </c>
      <c r="D5079" s="1" t="str">
        <f>"512626920"</f>
        <v>512626920</v>
      </c>
      <c r="E5079" s="1">
        <v>97</v>
      </c>
      <c r="F5079" s="1">
        <v>83.5</v>
      </c>
      <c r="H5079" s="1">
        <v>91.6</v>
      </c>
    </row>
    <row r="5080" s="1" customFormat="1" spans="1:8">
      <c r="A5080" s="1" t="s">
        <v>37</v>
      </c>
      <c r="B5080" s="1" t="s">
        <v>52</v>
      </c>
      <c r="C5080" s="1" t="str">
        <f t="shared" si="119"/>
        <v>020048</v>
      </c>
      <c r="D5080" s="1" t="str">
        <f>"512626921"</f>
        <v>512626921</v>
      </c>
      <c r="E5080" s="1">
        <v>100</v>
      </c>
      <c r="F5080" s="1">
        <v>67.5</v>
      </c>
      <c r="H5080" s="1">
        <v>87</v>
      </c>
    </row>
    <row r="5081" s="1" customFormat="1" spans="1:8">
      <c r="A5081" s="1" t="s">
        <v>37</v>
      </c>
      <c r="B5081" s="1" t="s">
        <v>52</v>
      </c>
      <c r="C5081" s="1" t="str">
        <f t="shared" si="119"/>
        <v>020048</v>
      </c>
      <c r="D5081" s="1" t="str">
        <f>"512626922"</f>
        <v>512626922</v>
      </c>
      <c r="E5081" s="1">
        <v>95</v>
      </c>
      <c r="F5081" s="1">
        <v>75</v>
      </c>
      <c r="H5081" s="1">
        <v>87</v>
      </c>
    </row>
    <row r="5082" s="1" customFormat="1" spans="1:8">
      <c r="A5082" s="1" t="s">
        <v>37</v>
      </c>
      <c r="B5082" s="1" t="s">
        <v>52</v>
      </c>
      <c r="C5082" s="1" t="str">
        <f t="shared" si="119"/>
        <v>020048</v>
      </c>
      <c r="D5082" s="1" t="str">
        <f>"512626923"</f>
        <v>512626923</v>
      </c>
      <c r="E5082" s="1">
        <v>97.5</v>
      </c>
      <c r="F5082" s="1">
        <v>61</v>
      </c>
      <c r="H5082" s="1">
        <v>82.9</v>
      </c>
    </row>
    <row r="5083" s="1" customFormat="1" spans="1:8">
      <c r="A5083" s="1" t="s">
        <v>37</v>
      </c>
      <c r="B5083" s="1" t="s">
        <v>52</v>
      </c>
      <c r="C5083" s="1" t="str">
        <f t="shared" si="119"/>
        <v>020048</v>
      </c>
      <c r="D5083" s="1" t="str">
        <f>"512626924"</f>
        <v>512626924</v>
      </c>
      <c r="E5083" s="1">
        <v>74</v>
      </c>
      <c r="F5083" s="1">
        <v>64</v>
      </c>
      <c r="H5083" s="1">
        <v>70</v>
      </c>
    </row>
    <row r="5084" s="1" customFormat="1" spans="1:8">
      <c r="A5084" s="1" t="s">
        <v>37</v>
      </c>
      <c r="B5084" s="1" t="s">
        <v>52</v>
      </c>
      <c r="C5084" s="1" t="str">
        <f t="shared" si="119"/>
        <v>020048</v>
      </c>
      <c r="D5084" s="1" t="str">
        <f>"512626925"</f>
        <v>512626925</v>
      </c>
      <c r="E5084" s="1">
        <v>98</v>
      </c>
      <c r="F5084" s="1">
        <v>64.5</v>
      </c>
      <c r="H5084" s="1">
        <v>84.6</v>
      </c>
    </row>
    <row r="5085" s="1" customFormat="1" spans="1:8">
      <c r="A5085" s="1" t="s">
        <v>37</v>
      </c>
      <c r="B5085" s="1" t="s">
        <v>52</v>
      </c>
      <c r="C5085" s="1" t="str">
        <f t="shared" si="119"/>
        <v>020048</v>
      </c>
      <c r="D5085" s="1" t="str">
        <f>"512626926"</f>
        <v>512626926</v>
      </c>
      <c r="E5085" s="1">
        <v>100.5</v>
      </c>
      <c r="F5085" s="1">
        <v>66.5</v>
      </c>
      <c r="H5085" s="1">
        <v>86.9</v>
      </c>
    </row>
    <row r="5086" s="1" customFormat="1" spans="1:8">
      <c r="A5086" s="1" t="s">
        <v>37</v>
      </c>
      <c r="B5086" s="1" t="s">
        <v>52</v>
      </c>
      <c r="C5086" s="1" t="str">
        <f t="shared" si="119"/>
        <v>020048</v>
      </c>
      <c r="D5086" s="1" t="str">
        <f>"512626927"</f>
        <v>512626927</v>
      </c>
      <c r="E5086" s="1">
        <v>93</v>
      </c>
      <c r="F5086" s="1">
        <v>82.5</v>
      </c>
      <c r="H5086" s="1">
        <v>88.8</v>
      </c>
    </row>
    <row r="5087" s="1" customFormat="1" spans="1:8">
      <c r="A5087" s="1" t="s">
        <v>37</v>
      </c>
      <c r="B5087" s="1" t="s">
        <v>52</v>
      </c>
      <c r="C5087" s="1" t="str">
        <f t="shared" si="119"/>
        <v>020048</v>
      </c>
      <c r="D5087" s="1" t="str">
        <f>"512626928"</f>
        <v>512626928</v>
      </c>
      <c r="E5087" s="1">
        <v>98.5</v>
      </c>
      <c r="F5087" s="1">
        <v>73.5</v>
      </c>
      <c r="H5087" s="1">
        <v>88.5</v>
      </c>
    </row>
    <row r="5088" s="1" customFormat="1" spans="1:8">
      <c r="A5088" s="1" t="s">
        <v>37</v>
      </c>
      <c r="B5088" s="1" t="s">
        <v>52</v>
      </c>
      <c r="C5088" s="1" t="str">
        <f t="shared" si="119"/>
        <v>020048</v>
      </c>
      <c r="D5088" s="1" t="str">
        <f>"512626929"</f>
        <v>512626929</v>
      </c>
      <c r="E5088" s="1">
        <v>100.5</v>
      </c>
      <c r="F5088" s="1">
        <v>75</v>
      </c>
      <c r="H5088" s="1">
        <v>90.3</v>
      </c>
    </row>
    <row r="5089" s="1" customFormat="1" spans="1:8">
      <c r="A5089" s="1" t="s">
        <v>37</v>
      </c>
      <c r="B5089" s="1" t="s">
        <v>52</v>
      </c>
      <c r="C5089" s="1" t="str">
        <f t="shared" ref="C5089:C5103" si="120">"020048"</f>
        <v>020048</v>
      </c>
      <c r="D5089" s="1" t="str">
        <f>"512626930"</f>
        <v>512626930</v>
      </c>
      <c r="E5089" s="1">
        <v>0</v>
      </c>
      <c r="F5089" s="1">
        <v>0</v>
      </c>
      <c r="H5089" s="1">
        <v>0</v>
      </c>
    </row>
    <row r="5090" s="1" customFormat="1" spans="1:8">
      <c r="A5090" s="1" t="s">
        <v>37</v>
      </c>
      <c r="B5090" s="1" t="s">
        <v>52</v>
      </c>
      <c r="C5090" s="1" t="str">
        <f t="shared" si="120"/>
        <v>020048</v>
      </c>
      <c r="D5090" s="1" t="str">
        <f>"512627001"</f>
        <v>512627001</v>
      </c>
      <c r="E5090" s="1">
        <v>101.5</v>
      </c>
      <c r="F5090" s="1">
        <v>69</v>
      </c>
      <c r="H5090" s="1">
        <v>88.5</v>
      </c>
    </row>
    <row r="5091" s="1" customFormat="1" spans="1:8">
      <c r="A5091" s="1" t="s">
        <v>37</v>
      </c>
      <c r="B5091" s="1" t="s">
        <v>52</v>
      </c>
      <c r="C5091" s="1" t="str">
        <f t="shared" si="120"/>
        <v>020048</v>
      </c>
      <c r="D5091" s="1" t="str">
        <f>"512627002"</f>
        <v>512627002</v>
      </c>
      <c r="E5091" s="1">
        <v>96.5</v>
      </c>
      <c r="F5091" s="1">
        <v>85</v>
      </c>
      <c r="H5091" s="1">
        <v>91.9</v>
      </c>
    </row>
    <row r="5092" s="1" customFormat="1" spans="1:8">
      <c r="A5092" s="1" t="s">
        <v>37</v>
      </c>
      <c r="B5092" s="1" t="s">
        <v>52</v>
      </c>
      <c r="C5092" s="1" t="str">
        <f t="shared" si="120"/>
        <v>020048</v>
      </c>
      <c r="D5092" s="1" t="str">
        <f>"512627003"</f>
        <v>512627003</v>
      </c>
      <c r="E5092" s="1">
        <v>89</v>
      </c>
      <c r="F5092" s="1">
        <v>82.5</v>
      </c>
      <c r="H5092" s="1">
        <v>86.4</v>
      </c>
    </row>
    <row r="5093" s="1" customFormat="1" spans="1:8">
      <c r="A5093" s="1" t="s">
        <v>37</v>
      </c>
      <c r="B5093" s="1" t="s">
        <v>52</v>
      </c>
      <c r="C5093" s="1" t="str">
        <f t="shared" si="120"/>
        <v>020048</v>
      </c>
      <c r="D5093" s="1" t="str">
        <f>"512627004"</f>
        <v>512627004</v>
      </c>
      <c r="E5093" s="1">
        <v>105</v>
      </c>
      <c r="F5093" s="1">
        <v>84</v>
      </c>
      <c r="H5093" s="1">
        <v>96.6</v>
      </c>
    </row>
    <row r="5094" s="1" customFormat="1" spans="1:8">
      <c r="A5094" s="1" t="s">
        <v>37</v>
      </c>
      <c r="B5094" s="1" t="s">
        <v>52</v>
      </c>
      <c r="C5094" s="1" t="str">
        <f t="shared" si="120"/>
        <v>020048</v>
      </c>
      <c r="D5094" s="1" t="str">
        <f>"512627005"</f>
        <v>512627005</v>
      </c>
      <c r="E5094" s="1">
        <v>99</v>
      </c>
      <c r="F5094" s="1">
        <v>79</v>
      </c>
      <c r="H5094" s="1">
        <v>91</v>
      </c>
    </row>
    <row r="5095" s="1" customFormat="1" spans="1:8">
      <c r="A5095" s="1" t="s">
        <v>37</v>
      </c>
      <c r="B5095" s="1" t="s">
        <v>52</v>
      </c>
      <c r="C5095" s="1" t="str">
        <f t="shared" si="120"/>
        <v>020048</v>
      </c>
      <c r="D5095" s="1" t="str">
        <f>"512627006"</f>
        <v>512627006</v>
      </c>
      <c r="E5095" s="1">
        <v>0</v>
      </c>
      <c r="F5095" s="1">
        <v>61.5</v>
      </c>
      <c r="H5095" s="1">
        <v>24.6</v>
      </c>
    </row>
    <row r="5096" s="1" customFormat="1" spans="1:8">
      <c r="A5096" s="1" t="s">
        <v>37</v>
      </c>
      <c r="B5096" s="1" t="s">
        <v>52</v>
      </c>
      <c r="C5096" s="1" t="str">
        <f t="shared" si="120"/>
        <v>020048</v>
      </c>
      <c r="D5096" s="1" t="str">
        <f>"512627007"</f>
        <v>512627007</v>
      </c>
      <c r="E5096" s="1">
        <v>0</v>
      </c>
      <c r="F5096" s="1">
        <v>0</v>
      </c>
      <c r="H5096" s="1">
        <v>0</v>
      </c>
    </row>
    <row r="5097" s="1" customFormat="1" spans="1:8">
      <c r="A5097" s="1" t="s">
        <v>37</v>
      </c>
      <c r="B5097" s="1" t="s">
        <v>52</v>
      </c>
      <c r="C5097" s="1" t="str">
        <f t="shared" si="120"/>
        <v>020048</v>
      </c>
      <c r="D5097" s="1" t="str">
        <f>"512627008"</f>
        <v>512627008</v>
      </c>
      <c r="E5097" s="1">
        <v>88.5</v>
      </c>
      <c r="F5097" s="1">
        <v>62</v>
      </c>
      <c r="H5097" s="1">
        <v>77.9</v>
      </c>
    </row>
    <row r="5098" s="1" customFormat="1" spans="1:8">
      <c r="A5098" s="1" t="s">
        <v>37</v>
      </c>
      <c r="B5098" s="1" t="s">
        <v>52</v>
      </c>
      <c r="C5098" s="1" t="str">
        <f t="shared" si="120"/>
        <v>020048</v>
      </c>
      <c r="D5098" s="1" t="str">
        <f>"512627009"</f>
        <v>512627009</v>
      </c>
      <c r="E5098" s="1">
        <v>0</v>
      </c>
      <c r="F5098" s="1">
        <v>0</v>
      </c>
      <c r="H5098" s="1">
        <v>0</v>
      </c>
    </row>
    <row r="5099" s="1" customFormat="1" spans="1:8">
      <c r="A5099" s="1" t="s">
        <v>37</v>
      </c>
      <c r="B5099" s="1" t="s">
        <v>52</v>
      </c>
      <c r="C5099" s="1" t="str">
        <f t="shared" si="120"/>
        <v>020048</v>
      </c>
      <c r="D5099" s="1" t="str">
        <f>"512627010"</f>
        <v>512627010</v>
      </c>
      <c r="E5099" s="1">
        <v>0</v>
      </c>
      <c r="F5099" s="1">
        <v>0</v>
      </c>
      <c r="H5099" s="1">
        <v>0</v>
      </c>
    </row>
    <row r="5100" s="1" customFormat="1" spans="1:8">
      <c r="A5100" s="1" t="s">
        <v>37</v>
      </c>
      <c r="B5100" s="1" t="s">
        <v>52</v>
      </c>
      <c r="C5100" s="1" t="str">
        <f t="shared" si="120"/>
        <v>020048</v>
      </c>
      <c r="D5100" s="1" t="str">
        <f>"512627011"</f>
        <v>512627011</v>
      </c>
      <c r="E5100" s="1">
        <v>84</v>
      </c>
      <c r="F5100" s="1">
        <v>68.5</v>
      </c>
      <c r="H5100" s="1">
        <v>77.8</v>
      </c>
    </row>
    <row r="5101" s="1" customFormat="1" spans="1:8">
      <c r="A5101" s="1" t="s">
        <v>37</v>
      </c>
      <c r="B5101" s="1" t="s">
        <v>52</v>
      </c>
      <c r="C5101" s="1" t="str">
        <f t="shared" si="120"/>
        <v>020048</v>
      </c>
      <c r="D5101" s="1" t="str">
        <f>"512627012"</f>
        <v>512627012</v>
      </c>
      <c r="E5101" s="1">
        <v>0</v>
      </c>
      <c r="F5101" s="1">
        <v>0</v>
      </c>
      <c r="H5101" s="1">
        <v>0</v>
      </c>
    </row>
    <row r="5102" s="1" customFormat="1" spans="1:8">
      <c r="A5102" s="1" t="s">
        <v>37</v>
      </c>
      <c r="B5102" s="1" t="s">
        <v>52</v>
      </c>
      <c r="C5102" s="1" t="str">
        <f t="shared" si="120"/>
        <v>020048</v>
      </c>
      <c r="D5102" s="1" t="str">
        <f>"512627013"</f>
        <v>512627013</v>
      </c>
      <c r="E5102" s="1">
        <v>85.5</v>
      </c>
      <c r="F5102" s="1">
        <v>53.5</v>
      </c>
      <c r="H5102" s="1">
        <v>72.7</v>
      </c>
    </row>
    <row r="5103" s="1" customFormat="1" spans="1:8">
      <c r="A5103" s="1" t="s">
        <v>37</v>
      </c>
      <c r="B5103" s="1" t="s">
        <v>52</v>
      </c>
      <c r="C5103" s="1" t="str">
        <f t="shared" si="120"/>
        <v>020048</v>
      </c>
      <c r="D5103" s="1" t="str">
        <f>"512627014"</f>
        <v>512627014</v>
      </c>
      <c r="E5103" s="1">
        <v>89.5</v>
      </c>
      <c r="F5103" s="1">
        <v>71</v>
      </c>
      <c r="H5103" s="1">
        <v>82.1</v>
      </c>
    </row>
    <row r="5104" s="1" customFormat="1" spans="1:8">
      <c r="A5104" s="1" t="s">
        <v>38</v>
      </c>
      <c r="B5104" s="1" t="s">
        <v>52</v>
      </c>
      <c r="C5104" s="1" t="str">
        <f t="shared" ref="C5104:C5132" si="121">"020055"</f>
        <v>020055</v>
      </c>
      <c r="D5104" s="1" t="str">
        <f>"512627015"</f>
        <v>512627015</v>
      </c>
      <c r="E5104" s="1">
        <v>104</v>
      </c>
      <c r="F5104" s="1">
        <v>73</v>
      </c>
      <c r="H5104" s="1">
        <v>91.6</v>
      </c>
    </row>
    <row r="5105" s="1" customFormat="1" spans="1:8">
      <c r="A5105" s="1" t="s">
        <v>38</v>
      </c>
      <c r="B5105" s="1" t="s">
        <v>52</v>
      </c>
      <c r="C5105" s="1" t="str">
        <f t="shared" si="121"/>
        <v>020055</v>
      </c>
      <c r="D5105" s="1" t="str">
        <f>"512627016"</f>
        <v>512627016</v>
      </c>
      <c r="E5105" s="1">
        <v>64</v>
      </c>
      <c r="F5105" s="1">
        <v>61</v>
      </c>
      <c r="H5105" s="1">
        <v>62.8</v>
      </c>
    </row>
    <row r="5106" s="1" customFormat="1" spans="1:8">
      <c r="A5106" s="1" t="s">
        <v>38</v>
      </c>
      <c r="B5106" s="1" t="s">
        <v>52</v>
      </c>
      <c r="C5106" s="1" t="str">
        <f t="shared" si="121"/>
        <v>020055</v>
      </c>
      <c r="D5106" s="1" t="str">
        <f>"512627017"</f>
        <v>512627017</v>
      </c>
      <c r="E5106" s="1">
        <v>96.5</v>
      </c>
      <c r="F5106" s="1">
        <v>83</v>
      </c>
      <c r="H5106" s="1">
        <v>91.1</v>
      </c>
    </row>
    <row r="5107" s="1" customFormat="1" spans="1:8">
      <c r="A5107" s="1" t="s">
        <v>38</v>
      </c>
      <c r="B5107" s="1" t="s">
        <v>52</v>
      </c>
      <c r="C5107" s="1" t="str">
        <f t="shared" si="121"/>
        <v>020055</v>
      </c>
      <c r="D5107" s="1" t="str">
        <f>"512627018"</f>
        <v>512627018</v>
      </c>
      <c r="E5107" s="1">
        <v>77</v>
      </c>
      <c r="F5107" s="1">
        <v>71.5</v>
      </c>
      <c r="H5107" s="1">
        <v>74.8</v>
      </c>
    </row>
    <row r="5108" s="1" customFormat="1" spans="1:8">
      <c r="A5108" s="1" t="s">
        <v>38</v>
      </c>
      <c r="B5108" s="1" t="s">
        <v>52</v>
      </c>
      <c r="C5108" s="1" t="str">
        <f t="shared" si="121"/>
        <v>020055</v>
      </c>
      <c r="D5108" s="1" t="str">
        <f>"512627019"</f>
        <v>512627019</v>
      </c>
      <c r="E5108" s="1">
        <v>88.5</v>
      </c>
      <c r="F5108" s="1">
        <v>61</v>
      </c>
      <c r="H5108" s="1">
        <v>77.5</v>
      </c>
    </row>
    <row r="5109" s="1" customFormat="1" spans="1:8">
      <c r="A5109" s="1" t="s">
        <v>38</v>
      </c>
      <c r="B5109" s="1" t="s">
        <v>52</v>
      </c>
      <c r="C5109" s="1" t="str">
        <f t="shared" si="121"/>
        <v>020055</v>
      </c>
      <c r="D5109" s="1" t="str">
        <f>"512627020"</f>
        <v>512627020</v>
      </c>
      <c r="E5109" s="1">
        <v>0</v>
      </c>
      <c r="F5109" s="1">
        <v>0</v>
      </c>
      <c r="H5109" s="1">
        <v>0</v>
      </c>
    </row>
    <row r="5110" s="1" customFormat="1" spans="1:8">
      <c r="A5110" s="1" t="s">
        <v>38</v>
      </c>
      <c r="B5110" s="1" t="s">
        <v>52</v>
      </c>
      <c r="C5110" s="1" t="str">
        <f t="shared" si="121"/>
        <v>020055</v>
      </c>
      <c r="D5110" s="1" t="str">
        <f>"512627021"</f>
        <v>512627021</v>
      </c>
      <c r="E5110" s="1">
        <v>99</v>
      </c>
      <c r="F5110" s="1">
        <v>79.5</v>
      </c>
      <c r="H5110" s="1">
        <v>91.2</v>
      </c>
    </row>
    <row r="5111" s="1" customFormat="1" spans="1:8">
      <c r="A5111" s="1" t="s">
        <v>38</v>
      </c>
      <c r="B5111" s="1" t="s">
        <v>52</v>
      </c>
      <c r="C5111" s="1" t="str">
        <f t="shared" si="121"/>
        <v>020055</v>
      </c>
      <c r="D5111" s="1" t="str">
        <f>"512627022"</f>
        <v>512627022</v>
      </c>
      <c r="E5111" s="1">
        <v>52.5</v>
      </c>
      <c r="F5111" s="1">
        <v>39</v>
      </c>
      <c r="H5111" s="1">
        <v>47.1</v>
      </c>
    </row>
    <row r="5112" s="1" customFormat="1" spans="1:8">
      <c r="A5112" s="1" t="s">
        <v>38</v>
      </c>
      <c r="B5112" s="1" t="s">
        <v>52</v>
      </c>
      <c r="C5112" s="1" t="str">
        <f t="shared" si="121"/>
        <v>020055</v>
      </c>
      <c r="D5112" s="1" t="str">
        <f>"512627023"</f>
        <v>512627023</v>
      </c>
      <c r="E5112" s="1">
        <v>91.5</v>
      </c>
      <c r="F5112" s="1">
        <v>58.5</v>
      </c>
      <c r="H5112" s="1">
        <v>78.3</v>
      </c>
    </row>
    <row r="5113" s="1" customFormat="1" spans="1:8">
      <c r="A5113" s="1" t="s">
        <v>38</v>
      </c>
      <c r="B5113" s="1" t="s">
        <v>52</v>
      </c>
      <c r="C5113" s="1" t="str">
        <f t="shared" si="121"/>
        <v>020055</v>
      </c>
      <c r="D5113" s="1" t="str">
        <f>"512627024"</f>
        <v>512627024</v>
      </c>
      <c r="E5113" s="1">
        <v>89.5</v>
      </c>
      <c r="F5113" s="1">
        <v>80.5</v>
      </c>
      <c r="H5113" s="1">
        <v>85.9</v>
      </c>
    </row>
    <row r="5114" s="1" customFormat="1" spans="1:8">
      <c r="A5114" s="1" t="s">
        <v>38</v>
      </c>
      <c r="B5114" s="1" t="s">
        <v>52</v>
      </c>
      <c r="C5114" s="1" t="str">
        <f t="shared" si="121"/>
        <v>020055</v>
      </c>
      <c r="D5114" s="1" t="str">
        <f>"512627025"</f>
        <v>512627025</v>
      </c>
      <c r="E5114" s="1">
        <v>95.5</v>
      </c>
      <c r="F5114" s="1">
        <v>66</v>
      </c>
      <c r="H5114" s="1">
        <v>83.7</v>
      </c>
    </row>
    <row r="5115" s="1" customFormat="1" spans="1:8">
      <c r="A5115" s="1" t="s">
        <v>38</v>
      </c>
      <c r="B5115" s="1" t="s">
        <v>52</v>
      </c>
      <c r="C5115" s="1" t="str">
        <f t="shared" si="121"/>
        <v>020055</v>
      </c>
      <c r="D5115" s="1" t="str">
        <f>"512627026"</f>
        <v>512627026</v>
      </c>
      <c r="E5115" s="1">
        <v>100.5</v>
      </c>
      <c r="F5115" s="1">
        <v>78</v>
      </c>
      <c r="G5115" s="1">
        <v>2</v>
      </c>
      <c r="H5115" s="1">
        <v>93.5</v>
      </c>
    </row>
    <row r="5116" s="1" customFormat="1" spans="1:8">
      <c r="A5116" s="1" t="s">
        <v>38</v>
      </c>
      <c r="B5116" s="1" t="s">
        <v>52</v>
      </c>
      <c r="C5116" s="1" t="str">
        <f t="shared" si="121"/>
        <v>020055</v>
      </c>
      <c r="D5116" s="1" t="str">
        <f>"512627027"</f>
        <v>512627027</v>
      </c>
      <c r="E5116" s="1">
        <v>0</v>
      </c>
      <c r="F5116" s="1">
        <v>0</v>
      </c>
      <c r="H5116" s="1">
        <v>0</v>
      </c>
    </row>
    <row r="5117" s="1" customFormat="1" spans="1:8">
      <c r="A5117" s="1" t="s">
        <v>38</v>
      </c>
      <c r="B5117" s="1" t="s">
        <v>52</v>
      </c>
      <c r="C5117" s="1" t="str">
        <f t="shared" si="121"/>
        <v>020055</v>
      </c>
      <c r="D5117" s="1" t="str">
        <f>"512627028"</f>
        <v>512627028</v>
      </c>
      <c r="E5117" s="1">
        <v>95</v>
      </c>
      <c r="F5117" s="1">
        <v>0</v>
      </c>
      <c r="H5117" s="1">
        <v>57</v>
      </c>
    </row>
    <row r="5118" s="1" customFormat="1" spans="1:8">
      <c r="A5118" s="1" t="s">
        <v>38</v>
      </c>
      <c r="B5118" s="1" t="s">
        <v>52</v>
      </c>
      <c r="C5118" s="1" t="str">
        <f t="shared" si="121"/>
        <v>020055</v>
      </c>
      <c r="D5118" s="1" t="str">
        <f>"512627029"</f>
        <v>512627029</v>
      </c>
      <c r="E5118" s="1">
        <v>68</v>
      </c>
      <c r="F5118" s="1">
        <v>64.5</v>
      </c>
      <c r="H5118" s="1">
        <v>66.6</v>
      </c>
    </row>
    <row r="5119" s="1" customFormat="1" spans="1:8">
      <c r="A5119" s="1" t="s">
        <v>38</v>
      </c>
      <c r="B5119" s="1" t="s">
        <v>52</v>
      </c>
      <c r="C5119" s="1" t="str">
        <f t="shared" si="121"/>
        <v>020055</v>
      </c>
      <c r="D5119" s="1" t="str">
        <f>"512627030"</f>
        <v>512627030</v>
      </c>
      <c r="E5119" s="1">
        <v>92.5</v>
      </c>
      <c r="F5119" s="1">
        <v>82.5</v>
      </c>
      <c r="H5119" s="1">
        <v>88.5</v>
      </c>
    </row>
    <row r="5120" s="1" customFormat="1" spans="1:8">
      <c r="A5120" s="1" t="s">
        <v>38</v>
      </c>
      <c r="B5120" s="1" t="s">
        <v>52</v>
      </c>
      <c r="C5120" s="1" t="str">
        <f t="shared" si="121"/>
        <v>020055</v>
      </c>
      <c r="D5120" s="1" t="str">
        <f>"512627101"</f>
        <v>512627101</v>
      </c>
      <c r="E5120" s="1">
        <v>95.5</v>
      </c>
      <c r="F5120" s="1">
        <v>68</v>
      </c>
      <c r="G5120" s="1">
        <v>2</v>
      </c>
      <c r="H5120" s="1">
        <v>86.5</v>
      </c>
    </row>
    <row r="5121" s="1" customFormat="1" spans="1:8">
      <c r="A5121" s="1" t="s">
        <v>38</v>
      </c>
      <c r="B5121" s="1" t="s">
        <v>52</v>
      </c>
      <c r="C5121" s="1" t="str">
        <f t="shared" si="121"/>
        <v>020055</v>
      </c>
      <c r="D5121" s="1" t="str">
        <f>"512627102"</f>
        <v>512627102</v>
      </c>
      <c r="E5121" s="1">
        <v>84.5</v>
      </c>
      <c r="F5121" s="1">
        <v>68.5</v>
      </c>
      <c r="H5121" s="1">
        <v>78.1</v>
      </c>
    </row>
    <row r="5122" s="1" customFormat="1" spans="1:8">
      <c r="A5122" s="1" t="s">
        <v>38</v>
      </c>
      <c r="B5122" s="1" t="s">
        <v>52</v>
      </c>
      <c r="C5122" s="1" t="str">
        <f t="shared" si="121"/>
        <v>020055</v>
      </c>
      <c r="D5122" s="1" t="str">
        <f>"512627103"</f>
        <v>512627103</v>
      </c>
      <c r="E5122" s="1">
        <v>88.5</v>
      </c>
      <c r="F5122" s="1">
        <v>63.5</v>
      </c>
      <c r="H5122" s="1">
        <v>78.5</v>
      </c>
    </row>
    <row r="5123" s="1" customFormat="1" spans="1:8">
      <c r="A5123" s="1" t="s">
        <v>38</v>
      </c>
      <c r="B5123" s="1" t="s">
        <v>52</v>
      </c>
      <c r="C5123" s="1" t="str">
        <f t="shared" si="121"/>
        <v>020055</v>
      </c>
      <c r="D5123" s="1" t="str">
        <f>"512627104"</f>
        <v>512627104</v>
      </c>
      <c r="E5123" s="1">
        <v>89</v>
      </c>
      <c r="F5123" s="1">
        <v>77</v>
      </c>
      <c r="H5123" s="1">
        <v>84.2</v>
      </c>
    </row>
    <row r="5124" s="1" customFormat="1" spans="1:8">
      <c r="A5124" s="1" t="s">
        <v>38</v>
      </c>
      <c r="B5124" s="1" t="s">
        <v>52</v>
      </c>
      <c r="C5124" s="1" t="str">
        <f t="shared" si="121"/>
        <v>020055</v>
      </c>
      <c r="D5124" s="1" t="str">
        <f>"512627105"</f>
        <v>512627105</v>
      </c>
      <c r="E5124" s="1">
        <v>106</v>
      </c>
      <c r="F5124" s="1">
        <v>81.5</v>
      </c>
      <c r="H5124" s="1">
        <v>96.2</v>
      </c>
    </row>
    <row r="5125" s="1" customFormat="1" spans="1:8">
      <c r="A5125" s="1" t="s">
        <v>38</v>
      </c>
      <c r="B5125" s="1" t="s">
        <v>52</v>
      </c>
      <c r="C5125" s="1" t="str">
        <f t="shared" si="121"/>
        <v>020055</v>
      </c>
      <c r="D5125" s="1" t="str">
        <f>"512627106"</f>
        <v>512627106</v>
      </c>
      <c r="E5125" s="1">
        <v>0</v>
      </c>
      <c r="F5125" s="1">
        <v>0</v>
      </c>
      <c r="H5125" s="1">
        <v>0</v>
      </c>
    </row>
    <row r="5126" s="1" customFormat="1" spans="1:8">
      <c r="A5126" s="1" t="s">
        <v>38</v>
      </c>
      <c r="B5126" s="1" t="s">
        <v>52</v>
      </c>
      <c r="C5126" s="1" t="str">
        <f t="shared" si="121"/>
        <v>020055</v>
      </c>
      <c r="D5126" s="1" t="str">
        <f>"512627107"</f>
        <v>512627107</v>
      </c>
      <c r="E5126" s="1">
        <v>93</v>
      </c>
      <c r="F5126" s="1">
        <v>69</v>
      </c>
      <c r="H5126" s="1">
        <v>83.4</v>
      </c>
    </row>
    <row r="5127" s="1" customFormat="1" spans="1:8">
      <c r="A5127" s="1" t="s">
        <v>38</v>
      </c>
      <c r="B5127" s="1" t="s">
        <v>52</v>
      </c>
      <c r="C5127" s="1" t="str">
        <f t="shared" si="121"/>
        <v>020055</v>
      </c>
      <c r="D5127" s="1" t="str">
        <f>"512627108"</f>
        <v>512627108</v>
      </c>
      <c r="E5127" s="1">
        <v>88</v>
      </c>
      <c r="F5127" s="1">
        <v>51</v>
      </c>
      <c r="H5127" s="1">
        <v>73.2</v>
      </c>
    </row>
    <row r="5128" s="1" customFormat="1" spans="1:8">
      <c r="A5128" s="1" t="s">
        <v>38</v>
      </c>
      <c r="B5128" s="1" t="s">
        <v>52</v>
      </c>
      <c r="C5128" s="1" t="str">
        <f t="shared" si="121"/>
        <v>020055</v>
      </c>
      <c r="D5128" s="1" t="str">
        <f>"512627109"</f>
        <v>512627109</v>
      </c>
      <c r="E5128" s="1">
        <v>86</v>
      </c>
      <c r="F5128" s="1">
        <v>0</v>
      </c>
      <c r="H5128" s="1">
        <v>51.6</v>
      </c>
    </row>
    <row r="5129" s="1" customFormat="1" spans="1:8">
      <c r="A5129" s="1" t="s">
        <v>38</v>
      </c>
      <c r="B5129" s="1" t="s">
        <v>52</v>
      </c>
      <c r="C5129" s="1" t="str">
        <f t="shared" si="121"/>
        <v>020055</v>
      </c>
      <c r="D5129" s="1" t="str">
        <f>"512627110"</f>
        <v>512627110</v>
      </c>
      <c r="E5129" s="1">
        <v>92</v>
      </c>
      <c r="F5129" s="1">
        <v>72.5</v>
      </c>
      <c r="H5129" s="1">
        <v>84.2</v>
      </c>
    </row>
    <row r="5130" s="1" customFormat="1" spans="1:8">
      <c r="A5130" s="1" t="s">
        <v>38</v>
      </c>
      <c r="B5130" s="1" t="s">
        <v>52</v>
      </c>
      <c r="C5130" s="1" t="str">
        <f t="shared" si="121"/>
        <v>020055</v>
      </c>
      <c r="D5130" s="1" t="str">
        <f>"512627111"</f>
        <v>512627111</v>
      </c>
      <c r="E5130" s="1">
        <v>97.5</v>
      </c>
      <c r="F5130" s="1">
        <v>70</v>
      </c>
      <c r="H5130" s="1">
        <v>86.5</v>
      </c>
    </row>
    <row r="5131" s="1" customFormat="1" spans="1:8">
      <c r="A5131" s="1" t="s">
        <v>38</v>
      </c>
      <c r="B5131" s="1" t="s">
        <v>52</v>
      </c>
      <c r="C5131" s="1" t="str">
        <f t="shared" si="121"/>
        <v>020055</v>
      </c>
      <c r="D5131" s="1" t="str">
        <f>"512627112"</f>
        <v>512627112</v>
      </c>
      <c r="E5131" s="1">
        <v>83.5</v>
      </c>
      <c r="F5131" s="1">
        <v>74</v>
      </c>
      <c r="H5131" s="1">
        <v>79.7</v>
      </c>
    </row>
    <row r="5132" s="1" customFormat="1" spans="1:8">
      <c r="A5132" s="1" t="s">
        <v>38</v>
      </c>
      <c r="B5132" s="1" t="s">
        <v>52</v>
      </c>
      <c r="C5132" s="1" t="str">
        <f t="shared" si="121"/>
        <v>020055</v>
      </c>
      <c r="D5132" s="1" t="str">
        <f>"512627113"</f>
        <v>512627113</v>
      </c>
      <c r="E5132" s="1">
        <v>0</v>
      </c>
      <c r="F5132" s="1">
        <v>0</v>
      </c>
      <c r="H5132" s="1">
        <v>0</v>
      </c>
    </row>
    <row r="5133" s="1" customFormat="1" spans="1:8">
      <c r="A5133" s="1" t="s">
        <v>34</v>
      </c>
      <c r="B5133" s="1" t="s">
        <v>53</v>
      </c>
      <c r="C5133" s="1" t="str">
        <f t="shared" ref="C5133:C5160" si="122">"020037"</f>
        <v>020037</v>
      </c>
      <c r="D5133" s="1" t="str">
        <f>"512630101"</f>
        <v>512630101</v>
      </c>
      <c r="E5133" s="1">
        <v>0</v>
      </c>
      <c r="F5133" s="1">
        <v>0</v>
      </c>
      <c r="H5133" s="1">
        <v>0</v>
      </c>
    </row>
    <row r="5134" s="1" customFormat="1" spans="1:8">
      <c r="A5134" s="1" t="s">
        <v>34</v>
      </c>
      <c r="B5134" s="1" t="s">
        <v>53</v>
      </c>
      <c r="C5134" s="1" t="str">
        <f t="shared" si="122"/>
        <v>020037</v>
      </c>
      <c r="D5134" s="1" t="str">
        <f>"512630102"</f>
        <v>512630102</v>
      </c>
      <c r="E5134" s="1">
        <v>0</v>
      </c>
      <c r="F5134" s="1">
        <v>0</v>
      </c>
      <c r="H5134" s="1">
        <v>0</v>
      </c>
    </row>
    <row r="5135" s="1" customFormat="1" spans="1:8">
      <c r="A5135" s="1" t="s">
        <v>34</v>
      </c>
      <c r="B5135" s="1" t="s">
        <v>53</v>
      </c>
      <c r="C5135" s="1" t="str">
        <f t="shared" si="122"/>
        <v>020037</v>
      </c>
      <c r="D5135" s="1" t="str">
        <f>"512630103"</f>
        <v>512630103</v>
      </c>
      <c r="E5135" s="1">
        <v>0</v>
      </c>
      <c r="F5135" s="1">
        <v>0</v>
      </c>
      <c r="H5135" s="1">
        <v>0</v>
      </c>
    </row>
    <row r="5136" s="1" customFormat="1" spans="1:8">
      <c r="A5136" s="1" t="s">
        <v>34</v>
      </c>
      <c r="B5136" s="1" t="s">
        <v>53</v>
      </c>
      <c r="C5136" s="1" t="str">
        <f t="shared" si="122"/>
        <v>020037</v>
      </c>
      <c r="D5136" s="1" t="str">
        <f>"512630104"</f>
        <v>512630104</v>
      </c>
      <c r="E5136" s="1">
        <v>26</v>
      </c>
      <c r="F5136" s="1">
        <v>52</v>
      </c>
      <c r="H5136" s="1">
        <v>36.4</v>
      </c>
    </row>
    <row r="5137" s="1" customFormat="1" spans="1:8">
      <c r="A5137" s="1" t="s">
        <v>34</v>
      </c>
      <c r="B5137" s="1" t="s">
        <v>53</v>
      </c>
      <c r="C5137" s="1" t="str">
        <f t="shared" si="122"/>
        <v>020037</v>
      </c>
      <c r="D5137" s="1" t="str">
        <f>"512630105"</f>
        <v>512630105</v>
      </c>
      <c r="E5137" s="1">
        <v>0</v>
      </c>
      <c r="F5137" s="1">
        <v>0</v>
      </c>
      <c r="H5137" s="1">
        <v>0</v>
      </c>
    </row>
    <row r="5138" s="1" customFormat="1" spans="1:8">
      <c r="A5138" s="1" t="s">
        <v>34</v>
      </c>
      <c r="B5138" s="1" t="s">
        <v>53</v>
      </c>
      <c r="C5138" s="1" t="str">
        <f t="shared" si="122"/>
        <v>020037</v>
      </c>
      <c r="D5138" s="1" t="str">
        <f>"512630106"</f>
        <v>512630106</v>
      </c>
      <c r="E5138" s="1">
        <v>57</v>
      </c>
      <c r="F5138" s="1">
        <v>72</v>
      </c>
      <c r="H5138" s="1">
        <v>63</v>
      </c>
    </row>
    <row r="5139" s="1" customFormat="1" spans="1:8">
      <c r="A5139" s="1" t="s">
        <v>34</v>
      </c>
      <c r="B5139" s="1" t="s">
        <v>53</v>
      </c>
      <c r="C5139" s="1" t="str">
        <f t="shared" si="122"/>
        <v>020037</v>
      </c>
      <c r="D5139" s="1" t="str">
        <f>"512630107"</f>
        <v>512630107</v>
      </c>
      <c r="E5139" s="1">
        <v>0</v>
      </c>
      <c r="F5139" s="1">
        <v>0</v>
      </c>
      <c r="H5139" s="1">
        <v>0</v>
      </c>
    </row>
    <row r="5140" s="1" customFormat="1" spans="1:8">
      <c r="A5140" s="1" t="s">
        <v>34</v>
      </c>
      <c r="B5140" s="1" t="s">
        <v>53</v>
      </c>
      <c r="C5140" s="1" t="str">
        <f t="shared" si="122"/>
        <v>020037</v>
      </c>
      <c r="D5140" s="1" t="str">
        <f>"512630108"</f>
        <v>512630108</v>
      </c>
      <c r="E5140" s="1">
        <v>0</v>
      </c>
      <c r="F5140" s="1">
        <v>0</v>
      </c>
      <c r="H5140" s="1">
        <v>0</v>
      </c>
    </row>
    <row r="5141" s="1" customFormat="1" spans="1:8">
      <c r="A5141" s="1" t="s">
        <v>34</v>
      </c>
      <c r="B5141" s="1" t="s">
        <v>53</v>
      </c>
      <c r="C5141" s="1" t="str">
        <f t="shared" si="122"/>
        <v>020037</v>
      </c>
      <c r="D5141" s="1" t="str">
        <f>"512630109"</f>
        <v>512630109</v>
      </c>
      <c r="E5141" s="1">
        <v>75.5</v>
      </c>
      <c r="F5141" s="1">
        <v>83.5</v>
      </c>
      <c r="H5141" s="1">
        <v>78.7</v>
      </c>
    </row>
    <row r="5142" s="1" customFormat="1" spans="1:8">
      <c r="A5142" s="1" t="s">
        <v>34</v>
      </c>
      <c r="B5142" s="1" t="s">
        <v>53</v>
      </c>
      <c r="C5142" s="1" t="str">
        <f t="shared" si="122"/>
        <v>020037</v>
      </c>
      <c r="D5142" s="1" t="str">
        <f>"512630110"</f>
        <v>512630110</v>
      </c>
      <c r="E5142" s="1">
        <v>0</v>
      </c>
      <c r="F5142" s="1">
        <v>0</v>
      </c>
      <c r="H5142" s="1">
        <v>0</v>
      </c>
    </row>
    <row r="5143" s="1" customFormat="1" spans="1:8">
      <c r="A5143" s="1" t="s">
        <v>34</v>
      </c>
      <c r="B5143" s="1" t="s">
        <v>53</v>
      </c>
      <c r="C5143" s="1" t="str">
        <f t="shared" si="122"/>
        <v>020037</v>
      </c>
      <c r="D5143" s="1" t="str">
        <f>"512630111"</f>
        <v>512630111</v>
      </c>
      <c r="E5143" s="1">
        <v>0</v>
      </c>
      <c r="F5143" s="1">
        <v>0</v>
      </c>
      <c r="H5143" s="1">
        <v>0</v>
      </c>
    </row>
    <row r="5144" s="1" customFormat="1" spans="1:8">
      <c r="A5144" s="1" t="s">
        <v>34</v>
      </c>
      <c r="B5144" s="1" t="s">
        <v>53</v>
      </c>
      <c r="C5144" s="1" t="str">
        <f t="shared" si="122"/>
        <v>020037</v>
      </c>
      <c r="D5144" s="1" t="str">
        <f>"512630112"</f>
        <v>512630112</v>
      </c>
      <c r="E5144" s="1">
        <v>0</v>
      </c>
      <c r="F5144" s="1">
        <v>0</v>
      </c>
      <c r="H5144" s="1">
        <v>0</v>
      </c>
    </row>
    <row r="5145" s="1" customFormat="1" spans="1:8">
      <c r="A5145" s="1" t="s">
        <v>34</v>
      </c>
      <c r="B5145" s="1" t="s">
        <v>53</v>
      </c>
      <c r="C5145" s="1" t="str">
        <f t="shared" si="122"/>
        <v>020037</v>
      </c>
      <c r="D5145" s="1" t="str">
        <f>"512630113"</f>
        <v>512630113</v>
      </c>
      <c r="E5145" s="1">
        <v>24</v>
      </c>
      <c r="F5145" s="1">
        <v>0</v>
      </c>
      <c r="H5145" s="1">
        <v>14.4</v>
      </c>
    </row>
    <row r="5146" s="1" customFormat="1" spans="1:8">
      <c r="A5146" s="1" t="s">
        <v>34</v>
      </c>
      <c r="B5146" s="1" t="s">
        <v>53</v>
      </c>
      <c r="C5146" s="1" t="str">
        <f t="shared" si="122"/>
        <v>020037</v>
      </c>
      <c r="D5146" s="1" t="str">
        <f>"512630114"</f>
        <v>512630114</v>
      </c>
      <c r="E5146" s="1">
        <v>0</v>
      </c>
      <c r="F5146" s="1">
        <v>0</v>
      </c>
      <c r="H5146" s="1">
        <v>0</v>
      </c>
    </row>
    <row r="5147" s="1" customFormat="1" spans="1:8">
      <c r="A5147" s="1" t="s">
        <v>34</v>
      </c>
      <c r="B5147" s="1" t="s">
        <v>53</v>
      </c>
      <c r="C5147" s="1" t="str">
        <f t="shared" si="122"/>
        <v>020037</v>
      </c>
      <c r="D5147" s="1" t="str">
        <f>"512630115"</f>
        <v>512630115</v>
      </c>
      <c r="E5147" s="1">
        <v>73.5</v>
      </c>
      <c r="F5147" s="1">
        <v>81</v>
      </c>
      <c r="H5147" s="1">
        <v>76.5</v>
      </c>
    </row>
    <row r="5148" s="1" customFormat="1" spans="1:8">
      <c r="A5148" s="1" t="s">
        <v>34</v>
      </c>
      <c r="B5148" s="1" t="s">
        <v>53</v>
      </c>
      <c r="C5148" s="1" t="str">
        <f t="shared" si="122"/>
        <v>020037</v>
      </c>
      <c r="D5148" s="1" t="str">
        <f>"512630116"</f>
        <v>512630116</v>
      </c>
      <c r="E5148" s="1">
        <v>0</v>
      </c>
      <c r="F5148" s="1">
        <v>0</v>
      </c>
      <c r="H5148" s="1">
        <v>0</v>
      </c>
    </row>
    <row r="5149" s="1" customFormat="1" spans="1:8">
      <c r="A5149" s="1" t="s">
        <v>34</v>
      </c>
      <c r="B5149" s="1" t="s">
        <v>53</v>
      </c>
      <c r="C5149" s="1" t="str">
        <f t="shared" si="122"/>
        <v>020037</v>
      </c>
      <c r="D5149" s="1" t="str">
        <f>"512630117"</f>
        <v>512630117</v>
      </c>
      <c r="E5149" s="1">
        <v>0</v>
      </c>
      <c r="F5149" s="1">
        <v>0</v>
      </c>
      <c r="H5149" s="1">
        <v>0</v>
      </c>
    </row>
    <row r="5150" s="1" customFormat="1" spans="1:8">
      <c r="A5150" s="1" t="s">
        <v>34</v>
      </c>
      <c r="B5150" s="1" t="s">
        <v>53</v>
      </c>
      <c r="C5150" s="1" t="str">
        <f t="shared" si="122"/>
        <v>020037</v>
      </c>
      <c r="D5150" s="1" t="str">
        <f>"512630118"</f>
        <v>512630118</v>
      </c>
      <c r="E5150" s="1">
        <v>0</v>
      </c>
      <c r="F5150" s="1">
        <v>0</v>
      </c>
      <c r="H5150" s="1">
        <v>0</v>
      </c>
    </row>
    <row r="5151" s="1" customFormat="1" spans="1:8">
      <c r="A5151" s="1" t="s">
        <v>34</v>
      </c>
      <c r="B5151" s="1" t="s">
        <v>53</v>
      </c>
      <c r="C5151" s="1" t="str">
        <f t="shared" si="122"/>
        <v>020037</v>
      </c>
      <c r="D5151" s="1" t="str">
        <f>"512630119"</f>
        <v>512630119</v>
      </c>
      <c r="E5151" s="1">
        <v>22.5</v>
      </c>
      <c r="F5151" s="1">
        <v>65</v>
      </c>
      <c r="H5151" s="1">
        <v>39.5</v>
      </c>
    </row>
    <row r="5152" s="1" customFormat="1" spans="1:8">
      <c r="A5152" s="1" t="s">
        <v>34</v>
      </c>
      <c r="B5152" s="1" t="s">
        <v>53</v>
      </c>
      <c r="C5152" s="1" t="str">
        <f t="shared" si="122"/>
        <v>020037</v>
      </c>
      <c r="D5152" s="1" t="str">
        <f>"512630120"</f>
        <v>512630120</v>
      </c>
      <c r="E5152" s="1">
        <v>0</v>
      </c>
      <c r="F5152" s="1">
        <v>0</v>
      </c>
      <c r="H5152" s="1">
        <v>0</v>
      </c>
    </row>
    <row r="5153" s="1" customFormat="1" spans="1:8">
      <c r="A5153" s="1" t="s">
        <v>34</v>
      </c>
      <c r="B5153" s="1" t="s">
        <v>53</v>
      </c>
      <c r="C5153" s="1" t="str">
        <f t="shared" si="122"/>
        <v>020037</v>
      </c>
      <c r="D5153" s="1" t="str">
        <f>"512630121"</f>
        <v>512630121</v>
      </c>
      <c r="E5153" s="1">
        <v>0</v>
      </c>
      <c r="F5153" s="1">
        <v>0</v>
      </c>
      <c r="H5153" s="1">
        <v>0</v>
      </c>
    </row>
    <row r="5154" s="1" customFormat="1" spans="1:8">
      <c r="A5154" s="1" t="s">
        <v>34</v>
      </c>
      <c r="B5154" s="1" t="s">
        <v>53</v>
      </c>
      <c r="C5154" s="1" t="str">
        <f t="shared" si="122"/>
        <v>020037</v>
      </c>
      <c r="D5154" s="1" t="str">
        <f>"512630122"</f>
        <v>512630122</v>
      </c>
      <c r="E5154" s="1">
        <v>0</v>
      </c>
      <c r="F5154" s="1">
        <v>0</v>
      </c>
      <c r="H5154" s="1">
        <v>0</v>
      </c>
    </row>
    <row r="5155" s="1" customFormat="1" spans="1:8">
      <c r="A5155" s="1" t="s">
        <v>34</v>
      </c>
      <c r="B5155" s="1" t="s">
        <v>53</v>
      </c>
      <c r="C5155" s="1" t="str">
        <f t="shared" si="122"/>
        <v>020037</v>
      </c>
      <c r="D5155" s="1" t="str">
        <f>"512630123"</f>
        <v>512630123</v>
      </c>
      <c r="E5155" s="1">
        <v>0</v>
      </c>
      <c r="F5155" s="1">
        <v>0</v>
      </c>
      <c r="H5155" s="1">
        <v>0</v>
      </c>
    </row>
    <row r="5156" s="1" customFormat="1" spans="1:8">
      <c r="A5156" s="1" t="s">
        <v>34</v>
      </c>
      <c r="B5156" s="1" t="s">
        <v>53</v>
      </c>
      <c r="C5156" s="1" t="str">
        <f t="shared" si="122"/>
        <v>020037</v>
      </c>
      <c r="D5156" s="1" t="str">
        <f>"512630124"</f>
        <v>512630124</v>
      </c>
      <c r="E5156" s="1">
        <v>66</v>
      </c>
      <c r="F5156" s="1">
        <v>68.5</v>
      </c>
      <c r="H5156" s="1">
        <v>67</v>
      </c>
    </row>
    <row r="5157" s="1" customFormat="1" spans="1:8">
      <c r="A5157" s="1" t="s">
        <v>34</v>
      </c>
      <c r="B5157" s="1" t="s">
        <v>53</v>
      </c>
      <c r="C5157" s="1" t="str">
        <f t="shared" si="122"/>
        <v>020037</v>
      </c>
      <c r="D5157" s="1" t="str">
        <f>"512630125"</f>
        <v>512630125</v>
      </c>
      <c r="E5157" s="1">
        <v>0</v>
      </c>
      <c r="F5157" s="1">
        <v>0</v>
      </c>
      <c r="H5157" s="1">
        <v>0</v>
      </c>
    </row>
    <row r="5158" s="1" customFormat="1" spans="1:8">
      <c r="A5158" s="1" t="s">
        <v>34</v>
      </c>
      <c r="B5158" s="1" t="s">
        <v>53</v>
      </c>
      <c r="C5158" s="1" t="str">
        <f t="shared" si="122"/>
        <v>020037</v>
      </c>
      <c r="D5158" s="1" t="str">
        <f>"512630126"</f>
        <v>512630126</v>
      </c>
      <c r="E5158" s="1">
        <v>0</v>
      </c>
      <c r="F5158" s="1">
        <v>0</v>
      </c>
      <c r="H5158" s="1">
        <v>0</v>
      </c>
    </row>
    <row r="5159" s="1" customFormat="1" spans="1:8">
      <c r="A5159" s="1" t="s">
        <v>34</v>
      </c>
      <c r="B5159" s="1" t="s">
        <v>53</v>
      </c>
      <c r="C5159" s="1" t="str">
        <f t="shared" si="122"/>
        <v>020037</v>
      </c>
      <c r="D5159" s="1" t="str">
        <f>"512630127"</f>
        <v>512630127</v>
      </c>
      <c r="E5159" s="1">
        <v>0</v>
      </c>
      <c r="F5159" s="1">
        <v>0</v>
      </c>
      <c r="H5159" s="1">
        <v>0</v>
      </c>
    </row>
    <row r="5160" s="1" customFormat="1" spans="1:8">
      <c r="A5160" s="1" t="s">
        <v>34</v>
      </c>
      <c r="B5160" s="1" t="s">
        <v>53</v>
      </c>
      <c r="C5160" s="1" t="str">
        <f t="shared" si="122"/>
        <v>020037</v>
      </c>
      <c r="D5160" s="1" t="str">
        <f>"512630128"</f>
        <v>512630128</v>
      </c>
      <c r="E5160" s="1">
        <v>25</v>
      </c>
      <c r="F5160" s="1">
        <v>56.5</v>
      </c>
      <c r="H5160" s="1">
        <v>37.6</v>
      </c>
    </row>
    <row r="5161" s="1" customFormat="1" spans="1:8">
      <c r="A5161" s="1" t="s">
        <v>34</v>
      </c>
      <c r="B5161" s="1" t="s">
        <v>54</v>
      </c>
      <c r="C5161" s="1" t="str">
        <f t="shared" ref="C5161:C5187" si="123">"020038"</f>
        <v>020038</v>
      </c>
      <c r="D5161" s="1" t="str">
        <f>"512630129"</f>
        <v>512630129</v>
      </c>
      <c r="E5161" s="1">
        <v>67</v>
      </c>
      <c r="F5161" s="1">
        <v>74.5</v>
      </c>
      <c r="H5161" s="1">
        <v>70</v>
      </c>
    </row>
    <row r="5162" s="1" customFormat="1" spans="1:8">
      <c r="A5162" s="1" t="s">
        <v>34</v>
      </c>
      <c r="B5162" s="1" t="s">
        <v>54</v>
      </c>
      <c r="C5162" s="1" t="str">
        <f t="shared" si="123"/>
        <v>020038</v>
      </c>
      <c r="D5162" s="1" t="str">
        <f>"512630130"</f>
        <v>512630130</v>
      </c>
      <c r="E5162" s="1">
        <v>53.5</v>
      </c>
      <c r="F5162" s="1">
        <v>67.5</v>
      </c>
      <c r="H5162" s="1">
        <v>59.1</v>
      </c>
    </row>
    <row r="5163" s="1" customFormat="1" spans="1:8">
      <c r="A5163" s="1" t="s">
        <v>34</v>
      </c>
      <c r="B5163" s="1" t="s">
        <v>54</v>
      </c>
      <c r="C5163" s="1" t="str">
        <f t="shared" si="123"/>
        <v>020038</v>
      </c>
      <c r="D5163" s="1" t="str">
        <f>"512630201"</f>
        <v>512630201</v>
      </c>
      <c r="E5163" s="1">
        <v>44</v>
      </c>
      <c r="F5163" s="1">
        <v>64.5</v>
      </c>
      <c r="H5163" s="1">
        <v>52.2</v>
      </c>
    </row>
    <row r="5164" s="1" customFormat="1" spans="1:8">
      <c r="A5164" s="1" t="s">
        <v>34</v>
      </c>
      <c r="B5164" s="1" t="s">
        <v>54</v>
      </c>
      <c r="C5164" s="1" t="str">
        <f t="shared" si="123"/>
        <v>020038</v>
      </c>
      <c r="D5164" s="1" t="str">
        <f>"512630202"</f>
        <v>512630202</v>
      </c>
      <c r="E5164" s="1">
        <v>51</v>
      </c>
      <c r="F5164" s="1">
        <v>70</v>
      </c>
      <c r="H5164" s="1">
        <v>58.6</v>
      </c>
    </row>
    <row r="5165" s="1" customFormat="1" spans="1:8">
      <c r="A5165" s="1" t="s">
        <v>34</v>
      </c>
      <c r="B5165" s="1" t="s">
        <v>54</v>
      </c>
      <c r="C5165" s="1" t="str">
        <f t="shared" si="123"/>
        <v>020038</v>
      </c>
      <c r="D5165" s="1" t="str">
        <f>"512630203"</f>
        <v>512630203</v>
      </c>
      <c r="E5165" s="1">
        <v>0</v>
      </c>
      <c r="F5165" s="1">
        <v>0</v>
      </c>
      <c r="H5165" s="1">
        <v>0</v>
      </c>
    </row>
    <row r="5166" s="1" customFormat="1" spans="1:8">
      <c r="A5166" s="1" t="s">
        <v>34</v>
      </c>
      <c r="B5166" s="1" t="s">
        <v>54</v>
      </c>
      <c r="C5166" s="1" t="str">
        <f t="shared" si="123"/>
        <v>020038</v>
      </c>
      <c r="D5166" s="1" t="str">
        <f>"512630204"</f>
        <v>512630204</v>
      </c>
      <c r="E5166" s="1">
        <v>72</v>
      </c>
      <c r="F5166" s="1">
        <v>77</v>
      </c>
      <c r="H5166" s="1">
        <v>74</v>
      </c>
    </row>
    <row r="5167" s="1" customFormat="1" spans="1:8">
      <c r="A5167" s="1" t="s">
        <v>34</v>
      </c>
      <c r="B5167" s="1" t="s">
        <v>54</v>
      </c>
      <c r="C5167" s="1" t="str">
        <f t="shared" si="123"/>
        <v>020038</v>
      </c>
      <c r="D5167" s="1" t="str">
        <f>"512630205"</f>
        <v>512630205</v>
      </c>
      <c r="E5167" s="1">
        <v>0</v>
      </c>
      <c r="F5167" s="1">
        <v>0</v>
      </c>
      <c r="H5167" s="1">
        <v>0</v>
      </c>
    </row>
    <row r="5168" s="1" customFormat="1" spans="1:8">
      <c r="A5168" s="1" t="s">
        <v>34</v>
      </c>
      <c r="B5168" s="1" t="s">
        <v>54</v>
      </c>
      <c r="C5168" s="1" t="str">
        <f t="shared" si="123"/>
        <v>020038</v>
      </c>
      <c r="D5168" s="1" t="str">
        <f>"512630206"</f>
        <v>512630206</v>
      </c>
      <c r="E5168" s="1">
        <v>52</v>
      </c>
      <c r="F5168" s="1">
        <v>68.5</v>
      </c>
      <c r="H5168" s="1">
        <v>58.6</v>
      </c>
    </row>
    <row r="5169" s="1" customFormat="1" spans="1:8">
      <c r="A5169" s="1" t="s">
        <v>34</v>
      </c>
      <c r="B5169" s="1" t="s">
        <v>54</v>
      </c>
      <c r="C5169" s="1" t="str">
        <f t="shared" si="123"/>
        <v>020038</v>
      </c>
      <c r="D5169" s="1" t="str">
        <f>"512630207"</f>
        <v>512630207</v>
      </c>
      <c r="E5169" s="1">
        <v>0</v>
      </c>
      <c r="F5169" s="1">
        <v>0</v>
      </c>
      <c r="H5169" s="1">
        <v>0</v>
      </c>
    </row>
    <row r="5170" s="1" customFormat="1" spans="1:8">
      <c r="A5170" s="1" t="s">
        <v>34</v>
      </c>
      <c r="B5170" s="1" t="s">
        <v>54</v>
      </c>
      <c r="C5170" s="1" t="str">
        <f t="shared" si="123"/>
        <v>020038</v>
      </c>
      <c r="D5170" s="1" t="str">
        <f>"512630208"</f>
        <v>512630208</v>
      </c>
      <c r="E5170" s="1">
        <v>0</v>
      </c>
      <c r="F5170" s="1">
        <v>0</v>
      </c>
      <c r="H5170" s="1">
        <v>0</v>
      </c>
    </row>
    <row r="5171" s="1" customFormat="1" spans="1:8">
      <c r="A5171" s="1" t="s">
        <v>34</v>
      </c>
      <c r="B5171" s="1" t="s">
        <v>54</v>
      </c>
      <c r="C5171" s="1" t="str">
        <f t="shared" si="123"/>
        <v>020038</v>
      </c>
      <c r="D5171" s="1" t="str">
        <f>"512630209"</f>
        <v>512630209</v>
      </c>
      <c r="E5171" s="1">
        <v>61.5</v>
      </c>
      <c r="F5171" s="1">
        <v>80</v>
      </c>
      <c r="H5171" s="1">
        <v>68.9</v>
      </c>
    </row>
    <row r="5172" s="1" customFormat="1" spans="1:8">
      <c r="A5172" s="1" t="s">
        <v>34</v>
      </c>
      <c r="B5172" s="1" t="s">
        <v>54</v>
      </c>
      <c r="C5172" s="1" t="str">
        <f t="shared" si="123"/>
        <v>020038</v>
      </c>
      <c r="D5172" s="1" t="str">
        <f>"512630210"</f>
        <v>512630210</v>
      </c>
      <c r="E5172" s="1">
        <v>58.5</v>
      </c>
      <c r="F5172" s="1">
        <v>61</v>
      </c>
      <c r="H5172" s="1">
        <v>59.5</v>
      </c>
    </row>
    <row r="5173" s="1" customFormat="1" spans="1:8">
      <c r="A5173" s="1" t="s">
        <v>34</v>
      </c>
      <c r="B5173" s="1" t="s">
        <v>54</v>
      </c>
      <c r="C5173" s="1" t="str">
        <f t="shared" si="123"/>
        <v>020038</v>
      </c>
      <c r="D5173" s="1" t="str">
        <f>"512630211"</f>
        <v>512630211</v>
      </c>
      <c r="E5173" s="1">
        <v>0</v>
      </c>
      <c r="F5173" s="1">
        <v>0</v>
      </c>
      <c r="H5173" s="1">
        <v>0</v>
      </c>
    </row>
    <row r="5174" s="1" customFormat="1" spans="1:8">
      <c r="A5174" s="1" t="s">
        <v>34</v>
      </c>
      <c r="B5174" s="1" t="s">
        <v>54</v>
      </c>
      <c r="C5174" s="1" t="str">
        <f t="shared" si="123"/>
        <v>020038</v>
      </c>
      <c r="D5174" s="1" t="str">
        <f>"512630212"</f>
        <v>512630212</v>
      </c>
      <c r="E5174" s="1">
        <v>55</v>
      </c>
      <c r="F5174" s="1">
        <v>76</v>
      </c>
      <c r="H5174" s="1">
        <v>63.4</v>
      </c>
    </row>
    <row r="5175" s="1" customFormat="1" spans="1:8">
      <c r="A5175" s="1" t="s">
        <v>34</v>
      </c>
      <c r="B5175" s="1" t="s">
        <v>54</v>
      </c>
      <c r="C5175" s="1" t="str">
        <f t="shared" si="123"/>
        <v>020038</v>
      </c>
      <c r="D5175" s="1" t="str">
        <f>"512630213"</f>
        <v>512630213</v>
      </c>
      <c r="E5175" s="1">
        <v>48.5</v>
      </c>
      <c r="F5175" s="1">
        <v>59</v>
      </c>
      <c r="H5175" s="1">
        <v>52.7</v>
      </c>
    </row>
    <row r="5176" s="1" customFormat="1" spans="1:8">
      <c r="A5176" s="1" t="s">
        <v>34</v>
      </c>
      <c r="B5176" s="1" t="s">
        <v>54</v>
      </c>
      <c r="C5176" s="1" t="str">
        <f t="shared" si="123"/>
        <v>020038</v>
      </c>
      <c r="D5176" s="1" t="str">
        <f>"512630214"</f>
        <v>512630214</v>
      </c>
      <c r="E5176" s="1">
        <v>69</v>
      </c>
      <c r="F5176" s="1">
        <v>58</v>
      </c>
      <c r="H5176" s="1">
        <v>64.6</v>
      </c>
    </row>
    <row r="5177" s="1" customFormat="1" spans="1:8">
      <c r="A5177" s="1" t="s">
        <v>34</v>
      </c>
      <c r="B5177" s="1" t="s">
        <v>54</v>
      </c>
      <c r="C5177" s="1" t="str">
        <f t="shared" si="123"/>
        <v>020038</v>
      </c>
      <c r="D5177" s="1" t="str">
        <f>"512630215"</f>
        <v>512630215</v>
      </c>
      <c r="E5177" s="1">
        <v>49</v>
      </c>
      <c r="F5177" s="1">
        <v>75.5</v>
      </c>
      <c r="H5177" s="1">
        <v>59.6</v>
      </c>
    </row>
    <row r="5178" s="1" customFormat="1" spans="1:8">
      <c r="A5178" s="1" t="s">
        <v>34</v>
      </c>
      <c r="B5178" s="1" t="s">
        <v>54</v>
      </c>
      <c r="C5178" s="1" t="str">
        <f t="shared" si="123"/>
        <v>020038</v>
      </c>
      <c r="D5178" s="1" t="str">
        <f>"512630216"</f>
        <v>512630216</v>
      </c>
      <c r="E5178" s="1">
        <v>52</v>
      </c>
      <c r="F5178" s="1">
        <v>65</v>
      </c>
      <c r="H5178" s="1">
        <v>57.2</v>
      </c>
    </row>
    <row r="5179" s="1" customFormat="1" spans="1:8">
      <c r="A5179" s="1" t="s">
        <v>34</v>
      </c>
      <c r="B5179" s="1" t="s">
        <v>54</v>
      </c>
      <c r="C5179" s="1" t="str">
        <f t="shared" si="123"/>
        <v>020038</v>
      </c>
      <c r="D5179" s="1" t="str">
        <f>"512630217"</f>
        <v>512630217</v>
      </c>
      <c r="E5179" s="1">
        <v>50.5</v>
      </c>
      <c r="F5179" s="1">
        <v>79</v>
      </c>
      <c r="H5179" s="1">
        <v>61.9</v>
      </c>
    </row>
    <row r="5180" s="1" customFormat="1" spans="1:8">
      <c r="A5180" s="1" t="s">
        <v>34</v>
      </c>
      <c r="B5180" s="1" t="s">
        <v>54</v>
      </c>
      <c r="C5180" s="1" t="str">
        <f t="shared" si="123"/>
        <v>020038</v>
      </c>
      <c r="D5180" s="1" t="str">
        <f>"512630218"</f>
        <v>512630218</v>
      </c>
      <c r="E5180" s="1">
        <v>43</v>
      </c>
      <c r="F5180" s="1">
        <v>67</v>
      </c>
      <c r="H5180" s="1">
        <v>52.6</v>
      </c>
    </row>
    <row r="5181" s="1" customFormat="1" spans="1:8">
      <c r="A5181" s="1" t="s">
        <v>34</v>
      </c>
      <c r="B5181" s="1" t="s">
        <v>54</v>
      </c>
      <c r="C5181" s="1" t="str">
        <f t="shared" si="123"/>
        <v>020038</v>
      </c>
      <c r="D5181" s="1" t="str">
        <f>"512630219"</f>
        <v>512630219</v>
      </c>
      <c r="E5181" s="1">
        <v>45.5</v>
      </c>
      <c r="F5181" s="1">
        <v>0</v>
      </c>
      <c r="H5181" s="1">
        <v>27.3</v>
      </c>
    </row>
    <row r="5182" s="1" customFormat="1" spans="1:8">
      <c r="A5182" s="1" t="s">
        <v>34</v>
      </c>
      <c r="B5182" s="1" t="s">
        <v>54</v>
      </c>
      <c r="C5182" s="1" t="str">
        <f t="shared" si="123"/>
        <v>020038</v>
      </c>
      <c r="D5182" s="1" t="str">
        <f>"512630220"</f>
        <v>512630220</v>
      </c>
      <c r="E5182" s="1">
        <v>98.5</v>
      </c>
      <c r="F5182" s="1">
        <v>65</v>
      </c>
      <c r="H5182" s="1">
        <v>85.1</v>
      </c>
    </row>
    <row r="5183" s="1" customFormat="1" spans="1:8">
      <c r="A5183" s="1" t="s">
        <v>34</v>
      </c>
      <c r="B5183" s="1" t="s">
        <v>54</v>
      </c>
      <c r="C5183" s="1" t="str">
        <f t="shared" si="123"/>
        <v>020038</v>
      </c>
      <c r="D5183" s="1" t="str">
        <f>"512630221"</f>
        <v>512630221</v>
      </c>
      <c r="E5183" s="1">
        <v>54.5</v>
      </c>
      <c r="F5183" s="1">
        <v>62</v>
      </c>
      <c r="H5183" s="1">
        <v>57.5</v>
      </c>
    </row>
    <row r="5184" s="1" customFormat="1" spans="1:8">
      <c r="A5184" s="1" t="s">
        <v>34</v>
      </c>
      <c r="B5184" s="1" t="s">
        <v>54</v>
      </c>
      <c r="C5184" s="1" t="str">
        <f t="shared" si="123"/>
        <v>020038</v>
      </c>
      <c r="D5184" s="1" t="str">
        <f>"512630222"</f>
        <v>512630222</v>
      </c>
      <c r="E5184" s="1">
        <v>0</v>
      </c>
      <c r="F5184" s="1">
        <v>0</v>
      </c>
      <c r="H5184" s="1">
        <v>0</v>
      </c>
    </row>
    <row r="5185" s="1" customFormat="1" spans="1:8">
      <c r="A5185" s="1" t="s">
        <v>34</v>
      </c>
      <c r="B5185" s="1" t="s">
        <v>54</v>
      </c>
      <c r="C5185" s="1" t="str">
        <f t="shared" si="123"/>
        <v>020038</v>
      </c>
      <c r="D5185" s="1" t="str">
        <f>"512630223"</f>
        <v>512630223</v>
      </c>
      <c r="E5185" s="1">
        <v>53</v>
      </c>
      <c r="F5185" s="1">
        <v>63.5</v>
      </c>
      <c r="H5185" s="1">
        <v>57.2</v>
      </c>
    </row>
    <row r="5186" s="1" customFormat="1" spans="1:8">
      <c r="A5186" s="1" t="s">
        <v>34</v>
      </c>
      <c r="B5186" s="1" t="s">
        <v>54</v>
      </c>
      <c r="C5186" s="1" t="str">
        <f t="shared" si="123"/>
        <v>020038</v>
      </c>
      <c r="D5186" s="1" t="str">
        <f>"512630224"</f>
        <v>512630224</v>
      </c>
      <c r="E5186" s="1">
        <v>41.5</v>
      </c>
      <c r="F5186" s="1">
        <v>63.5</v>
      </c>
      <c r="H5186" s="1">
        <v>50.3</v>
      </c>
    </row>
    <row r="5187" s="1" customFormat="1" spans="1:8">
      <c r="A5187" s="1" t="s">
        <v>34</v>
      </c>
      <c r="B5187" s="1" t="s">
        <v>54</v>
      </c>
      <c r="C5187" s="1" t="str">
        <f t="shared" si="123"/>
        <v>020038</v>
      </c>
      <c r="D5187" s="1" t="str">
        <f>"512630225"</f>
        <v>512630225</v>
      </c>
      <c r="E5187" s="1">
        <v>90.5</v>
      </c>
      <c r="F5187" s="1">
        <v>83</v>
      </c>
      <c r="H5187" s="1">
        <v>87.5</v>
      </c>
    </row>
    <row r="5188" s="1" customFormat="1" spans="1:8">
      <c r="A5188" s="1" t="s">
        <v>37</v>
      </c>
      <c r="B5188" s="1" t="s">
        <v>54</v>
      </c>
      <c r="C5188" s="1" t="str">
        <f t="shared" ref="C5188:C5220" si="124">"020050"</f>
        <v>020050</v>
      </c>
      <c r="D5188" s="1" t="str">
        <f>"512630226"</f>
        <v>512630226</v>
      </c>
      <c r="E5188" s="1">
        <v>0</v>
      </c>
      <c r="F5188" s="1">
        <v>0</v>
      </c>
      <c r="H5188" s="1">
        <v>0</v>
      </c>
    </row>
    <row r="5189" s="1" customFormat="1" spans="1:8">
      <c r="A5189" s="1" t="s">
        <v>37</v>
      </c>
      <c r="B5189" s="1" t="s">
        <v>54</v>
      </c>
      <c r="C5189" s="1" t="str">
        <f t="shared" si="124"/>
        <v>020050</v>
      </c>
      <c r="D5189" s="1" t="str">
        <f>"512630227"</f>
        <v>512630227</v>
      </c>
      <c r="E5189" s="1">
        <v>44.5</v>
      </c>
      <c r="F5189" s="1">
        <v>53</v>
      </c>
      <c r="H5189" s="1">
        <v>47.9</v>
      </c>
    </row>
    <row r="5190" s="1" customFormat="1" spans="1:8">
      <c r="A5190" s="1" t="s">
        <v>37</v>
      </c>
      <c r="B5190" s="1" t="s">
        <v>54</v>
      </c>
      <c r="C5190" s="1" t="str">
        <f t="shared" si="124"/>
        <v>020050</v>
      </c>
      <c r="D5190" s="1" t="str">
        <f>"512630228"</f>
        <v>512630228</v>
      </c>
      <c r="E5190" s="1">
        <v>93</v>
      </c>
      <c r="F5190" s="1">
        <v>68.5</v>
      </c>
      <c r="H5190" s="1">
        <v>83.2</v>
      </c>
    </row>
    <row r="5191" s="1" customFormat="1" spans="1:8">
      <c r="A5191" s="1" t="s">
        <v>37</v>
      </c>
      <c r="B5191" s="1" t="s">
        <v>54</v>
      </c>
      <c r="C5191" s="1" t="str">
        <f t="shared" si="124"/>
        <v>020050</v>
      </c>
      <c r="D5191" s="1" t="str">
        <f>"512630229"</f>
        <v>512630229</v>
      </c>
      <c r="E5191" s="1">
        <v>0</v>
      </c>
      <c r="F5191" s="1">
        <v>0</v>
      </c>
      <c r="H5191" s="1">
        <v>0</v>
      </c>
    </row>
    <row r="5192" s="1" customFormat="1" spans="1:8">
      <c r="A5192" s="1" t="s">
        <v>37</v>
      </c>
      <c r="B5192" s="1" t="s">
        <v>54</v>
      </c>
      <c r="C5192" s="1" t="str">
        <f t="shared" si="124"/>
        <v>020050</v>
      </c>
      <c r="D5192" s="1" t="str">
        <f>"512630230"</f>
        <v>512630230</v>
      </c>
      <c r="E5192" s="1">
        <v>45.5</v>
      </c>
      <c r="F5192" s="1">
        <v>71</v>
      </c>
      <c r="H5192" s="1">
        <v>55.7</v>
      </c>
    </row>
    <row r="5193" s="1" customFormat="1" spans="1:8">
      <c r="A5193" s="1" t="s">
        <v>37</v>
      </c>
      <c r="B5193" s="1" t="s">
        <v>54</v>
      </c>
      <c r="C5193" s="1" t="str">
        <f t="shared" si="124"/>
        <v>020050</v>
      </c>
      <c r="D5193" s="1" t="str">
        <f>"512630301"</f>
        <v>512630301</v>
      </c>
      <c r="E5193" s="1">
        <v>62</v>
      </c>
      <c r="F5193" s="1">
        <v>69</v>
      </c>
      <c r="H5193" s="1">
        <v>64.8</v>
      </c>
    </row>
    <row r="5194" s="1" customFormat="1" spans="1:8">
      <c r="A5194" s="1" t="s">
        <v>37</v>
      </c>
      <c r="B5194" s="1" t="s">
        <v>54</v>
      </c>
      <c r="C5194" s="1" t="str">
        <f t="shared" si="124"/>
        <v>020050</v>
      </c>
      <c r="D5194" s="1" t="str">
        <f>"512630302"</f>
        <v>512630302</v>
      </c>
      <c r="E5194" s="1">
        <v>79</v>
      </c>
      <c r="F5194" s="1">
        <v>77.5</v>
      </c>
      <c r="H5194" s="1">
        <v>78.4</v>
      </c>
    </row>
    <row r="5195" s="1" customFormat="1" spans="1:8">
      <c r="A5195" s="1" t="s">
        <v>37</v>
      </c>
      <c r="B5195" s="1" t="s">
        <v>54</v>
      </c>
      <c r="C5195" s="1" t="str">
        <f t="shared" si="124"/>
        <v>020050</v>
      </c>
      <c r="D5195" s="1" t="str">
        <f>"512630303"</f>
        <v>512630303</v>
      </c>
      <c r="E5195" s="1">
        <v>45.5</v>
      </c>
      <c r="F5195" s="1">
        <v>58.5</v>
      </c>
      <c r="H5195" s="1">
        <v>50.7</v>
      </c>
    </row>
    <row r="5196" s="1" customFormat="1" spans="1:8">
      <c r="A5196" s="1" t="s">
        <v>37</v>
      </c>
      <c r="B5196" s="1" t="s">
        <v>54</v>
      </c>
      <c r="C5196" s="1" t="str">
        <f t="shared" si="124"/>
        <v>020050</v>
      </c>
      <c r="D5196" s="1" t="str">
        <f>"512630304"</f>
        <v>512630304</v>
      </c>
      <c r="E5196" s="1">
        <v>33.5</v>
      </c>
      <c r="F5196" s="1">
        <v>0</v>
      </c>
      <c r="H5196" s="1">
        <v>20.1</v>
      </c>
    </row>
    <row r="5197" s="1" customFormat="1" spans="1:8">
      <c r="A5197" s="1" t="s">
        <v>37</v>
      </c>
      <c r="B5197" s="1" t="s">
        <v>54</v>
      </c>
      <c r="C5197" s="1" t="str">
        <f t="shared" si="124"/>
        <v>020050</v>
      </c>
      <c r="D5197" s="1" t="str">
        <f>"512630305"</f>
        <v>512630305</v>
      </c>
      <c r="E5197" s="1">
        <v>63</v>
      </c>
      <c r="F5197" s="1">
        <v>71.5</v>
      </c>
      <c r="H5197" s="1">
        <v>66.4</v>
      </c>
    </row>
    <row r="5198" s="1" customFormat="1" spans="1:8">
      <c r="A5198" s="1" t="s">
        <v>37</v>
      </c>
      <c r="B5198" s="1" t="s">
        <v>54</v>
      </c>
      <c r="C5198" s="1" t="str">
        <f t="shared" si="124"/>
        <v>020050</v>
      </c>
      <c r="D5198" s="1" t="str">
        <f>"512630306"</f>
        <v>512630306</v>
      </c>
      <c r="E5198" s="1">
        <v>66.5</v>
      </c>
      <c r="F5198" s="1">
        <v>68.5</v>
      </c>
      <c r="H5198" s="1">
        <v>67.3</v>
      </c>
    </row>
    <row r="5199" s="1" customFormat="1" spans="1:8">
      <c r="A5199" s="1" t="s">
        <v>37</v>
      </c>
      <c r="B5199" s="1" t="s">
        <v>54</v>
      </c>
      <c r="C5199" s="1" t="str">
        <f t="shared" si="124"/>
        <v>020050</v>
      </c>
      <c r="D5199" s="1" t="str">
        <f>"512630307"</f>
        <v>512630307</v>
      </c>
      <c r="E5199" s="1">
        <v>47</v>
      </c>
      <c r="F5199" s="1">
        <v>74</v>
      </c>
      <c r="H5199" s="1">
        <v>57.8</v>
      </c>
    </row>
    <row r="5200" s="1" customFormat="1" spans="1:8">
      <c r="A5200" s="1" t="s">
        <v>37</v>
      </c>
      <c r="B5200" s="1" t="s">
        <v>54</v>
      </c>
      <c r="C5200" s="1" t="str">
        <f t="shared" si="124"/>
        <v>020050</v>
      </c>
      <c r="D5200" s="1" t="str">
        <f>"512630308"</f>
        <v>512630308</v>
      </c>
      <c r="E5200" s="1">
        <v>81.5</v>
      </c>
      <c r="F5200" s="1">
        <v>64.5</v>
      </c>
      <c r="H5200" s="1">
        <v>74.7</v>
      </c>
    </row>
    <row r="5201" s="1" customFormat="1" spans="1:8">
      <c r="A5201" s="1" t="s">
        <v>37</v>
      </c>
      <c r="B5201" s="1" t="s">
        <v>54</v>
      </c>
      <c r="C5201" s="1" t="str">
        <f t="shared" si="124"/>
        <v>020050</v>
      </c>
      <c r="D5201" s="1" t="str">
        <f>"512630309"</f>
        <v>512630309</v>
      </c>
      <c r="E5201" s="1">
        <v>48.5</v>
      </c>
      <c r="F5201" s="1">
        <v>69.5</v>
      </c>
      <c r="H5201" s="1">
        <v>56.9</v>
      </c>
    </row>
    <row r="5202" s="1" customFormat="1" spans="1:8">
      <c r="A5202" s="1" t="s">
        <v>37</v>
      </c>
      <c r="B5202" s="1" t="s">
        <v>54</v>
      </c>
      <c r="C5202" s="1" t="str">
        <f t="shared" si="124"/>
        <v>020050</v>
      </c>
      <c r="D5202" s="1" t="str">
        <f>"512630310"</f>
        <v>512630310</v>
      </c>
      <c r="E5202" s="1">
        <v>52</v>
      </c>
      <c r="F5202" s="1">
        <v>58.5</v>
      </c>
      <c r="H5202" s="1">
        <v>54.6</v>
      </c>
    </row>
    <row r="5203" s="1" customFormat="1" spans="1:8">
      <c r="A5203" s="1" t="s">
        <v>37</v>
      </c>
      <c r="B5203" s="1" t="s">
        <v>54</v>
      </c>
      <c r="C5203" s="1" t="str">
        <f t="shared" si="124"/>
        <v>020050</v>
      </c>
      <c r="D5203" s="1" t="str">
        <f>"512630311"</f>
        <v>512630311</v>
      </c>
      <c r="E5203" s="1">
        <v>0</v>
      </c>
      <c r="F5203" s="1">
        <v>0</v>
      </c>
      <c r="H5203" s="1">
        <v>0</v>
      </c>
    </row>
    <row r="5204" s="1" customFormat="1" spans="1:8">
      <c r="A5204" s="1" t="s">
        <v>37</v>
      </c>
      <c r="B5204" s="1" t="s">
        <v>54</v>
      </c>
      <c r="C5204" s="1" t="str">
        <f t="shared" si="124"/>
        <v>020050</v>
      </c>
      <c r="D5204" s="1" t="str">
        <f>"512630312"</f>
        <v>512630312</v>
      </c>
      <c r="E5204" s="1">
        <v>60.5</v>
      </c>
      <c r="F5204" s="1">
        <v>58</v>
      </c>
      <c r="H5204" s="1">
        <v>59.5</v>
      </c>
    </row>
    <row r="5205" s="1" customFormat="1" spans="1:8">
      <c r="A5205" s="1" t="s">
        <v>37</v>
      </c>
      <c r="B5205" s="1" t="s">
        <v>54</v>
      </c>
      <c r="C5205" s="1" t="str">
        <f t="shared" si="124"/>
        <v>020050</v>
      </c>
      <c r="D5205" s="1" t="str">
        <f>"512630313"</f>
        <v>512630313</v>
      </c>
      <c r="E5205" s="1">
        <v>90.5</v>
      </c>
      <c r="F5205" s="1">
        <v>66</v>
      </c>
      <c r="H5205" s="1">
        <v>80.7</v>
      </c>
    </row>
    <row r="5206" s="1" customFormat="1" spans="1:8">
      <c r="A5206" s="1" t="s">
        <v>37</v>
      </c>
      <c r="B5206" s="1" t="s">
        <v>54</v>
      </c>
      <c r="C5206" s="1" t="str">
        <f t="shared" si="124"/>
        <v>020050</v>
      </c>
      <c r="D5206" s="1" t="str">
        <f>"512630314"</f>
        <v>512630314</v>
      </c>
      <c r="E5206" s="1">
        <v>88</v>
      </c>
      <c r="F5206" s="1">
        <v>70</v>
      </c>
      <c r="H5206" s="1">
        <v>80.8</v>
      </c>
    </row>
    <row r="5207" s="1" customFormat="1" spans="1:8">
      <c r="A5207" s="1" t="s">
        <v>37</v>
      </c>
      <c r="B5207" s="1" t="s">
        <v>54</v>
      </c>
      <c r="C5207" s="1" t="str">
        <f t="shared" si="124"/>
        <v>020050</v>
      </c>
      <c r="D5207" s="1" t="str">
        <f>"512630315"</f>
        <v>512630315</v>
      </c>
      <c r="E5207" s="1">
        <v>86.5</v>
      </c>
      <c r="F5207" s="1">
        <v>83</v>
      </c>
      <c r="H5207" s="1">
        <v>85.1</v>
      </c>
    </row>
    <row r="5208" s="1" customFormat="1" spans="1:8">
      <c r="A5208" s="1" t="s">
        <v>37</v>
      </c>
      <c r="B5208" s="1" t="s">
        <v>54</v>
      </c>
      <c r="C5208" s="1" t="str">
        <f t="shared" si="124"/>
        <v>020050</v>
      </c>
      <c r="D5208" s="1" t="str">
        <f>"512630316"</f>
        <v>512630316</v>
      </c>
      <c r="E5208" s="1">
        <v>57</v>
      </c>
      <c r="F5208" s="1">
        <v>62.5</v>
      </c>
      <c r="H5208" s="1">
        <v>59.2</v>
      </c>
    </row>
    <row r="5209" s="1" customFormat="1" spans="1:8">
      <c r="A5209" s="1" t="s">
        <v>37</v>
      </c>
      <c r="B5209" s="1" t="s">
        <v>54</v>
      </c>
      <c r="C5209" s="1" t="str">
        <f t="shared" si="124"/>
        <v>020050</v>
      </c>
      <c r="D5209" s="1" t="str">
        <f>"512630317"</f>
        <v>512630317</v>
      </c>
      <c r="E5209" s="1">
        <v>40</v>
      </c>
      <c r="F5209" s="1">
        <v>67</v>
      </c>
      <c r="H5209" s="1">
        <v>50.8</v>
      </c>
    </row>
    <row r="5210" s="1" customFormat="1" spans="1:8">
      <c r="A5210" s="1" t="s">
        <v>37</v>
      </c>
      <c r="B5210" s="1" t="s">
        <v>54</v>
      </c>
      <c r="C5210" s="1" t="str">
        <f t="shared" si="124"/>
        <v>020050</v>
      </c>
      <c r="D5210" s="1" t="str">
        <f>"512630318"</f>
        <v>512630318</v>
      </c>
      <c r="E5210" s="1">
        <v>52</v>
      </c>
      <c r="F5210" s="1">
        <v>64.5</v>
      </c>
      <c r="H5210" s="1">
        <v>57</v>
      </c>
    </row>
    <row r="5211" s="1" customFormat="1" spans="1:8">
      <c r="A5211" s="1" t="s">
        <v>37</v>
      </c>
      <c r="B5211" s="1" t="s">
        <v>54</v>
      </c>
      <c r="C5211" s="1" t="str">
        <f t="shared" si="124"/>
        <v>020050</v>
      </c>
      <c r="D5211" s="1" t="str">
        <f>"512630319"</f>
        <v>512630319</v>
      </c>
      <c r="E5211" s="1">
        <v>88.5</v>
      </c>
      <c r="F5211" s="1">
        <v>65.5</v>
      </c>
      <c r="H5211" s="1">
        <v>79.3</v>
      </c>
    </row>
    <row r="5212" s="1" customFormat="1" spans="1:8">
      <c r="A5212" s="1" t="s">
        <v>37</v>
      </c>
      <c r="B5212" s="1" t="s">
        <v>54</v>
      </c>
      <c r="C5212" s="1" t="str">
        <f t="shared" si="124"/>
        <v>020050</v>
      </c>
      <c r="D5212" s="1" t="str">
        <f>"512630320"</f>
        <v>512630320</v>
      </c>
      <c r="E5212" s="1">
        <v>50</v>
      </c>
      <c r="F5212" s="1">
        <v>63</v>
      </c>
      <c r="H5212" s="1">
        <v>55.2</v>
      </c>
    </row>
    <row r="5213" s="1" customFormat="1" spans="1:8">
      <c r="A5213" s="1" t="s">
        <v>37</v>
      </c>
      <c r="B5213" s="1" t="s">
        <v>54</v>
      </c>
      <c r="C5213" s="1" t="str">
        <f t="shared" si="124"/>
        <v>020050</v>
      </c>
      <c r="D5213" s="1" t="str">
        <f>"512630321"</f>
        <v>512630321</v>
      </c>
      <c r="E5213" s="1">
        <v>44</v>
      </c>
      <c r="F5213" s="1">
        <v>71.5</v>
      </c>
      <c r="H5213" s="1">
        <v>55</v>
      </c>
    </row>
    <row r="5214" s="1" customFormat="1" spans="1:8">
      <c r="A5214" s="1" t="s">
        <v>37</v>
      </c>
      <c r="B5214" s="1" t="s">
        <v>54</v>
      </c>
      <c r="C5214" s="1" t="str">
        <f t="shared" si="124"/>
        <v>020050</v>
      </c>
      <c r="D5214" s="1" t="str">
        <f>"512630322"</f>
        <v>512630322</v>
      </c>
      <c r="E5214" s="1">
        <v>66.5</v>
      </c>
      <c r="F5214" s="1">
        <v>54</v>
      </c>
      <c r="H5214" s="1">
        <v>61.5</v>
      </c>
    </row>
    <row r="5215" s="1" customFormat="1" spans="1:8">
      <c r="A5215" s="1" t="s">
        <v>37</v>
      </c>
      <c r="B5215" s="1" t="s">
        <v>54</v>
      </c>
      <c r="C5215" s="1" t="str">
        <f t="shared" si="124"/>
        <v>020050</v>
      </c>
      <c r="D5215" s="1" t="str">
        <f>"512630323"</f>
        <v>512630323</v>
      </c>
      <c r="E5215" s="1">
        <v>0</v>
      </c>
      <c r="F5215" s="1">
        <v>0</v>
      </c>
      <c r="H5215" s="1">
        <v>0</v>
      </c>
    </row>
    <row r="5216" s="1" customFormat="1" spans="1:8">
      <c r="A5216" s="1" t="s">
        <v>37</v>
      </c>
      <c r="B5216" s="1" t="s">
        <v>54</v>
      </c>
      <c r="C5216" s="1" t="str">
        <f t="shared" si="124"/>
        <v>020050</v>
      </c>
      <c r="D5216" s="1" t="str">
        <f>"512630324"</f>
        <v>512630324</v>
      </c>
      <c r="E5216" s="1">
        <v>38.5</v>
      </c>
      <c r="F5216" s="1">
        <v>64</v>
      </c>
      <c r="H5216" s="1">
        <v>48.7</v>
      </c>
    </row>
    <row r="5217" s="1" customFormat="1" spans="1:8">
      <c r="A5217" s="1" t="s">
        <v>37</v>
      </c>
      <c r="B5217" s="1" t="s">
        <v>54</v>
      </c>
      <c r="C5217" s="1" t="str">
        <f t="shared" si="124"/>
        <v>020050</v>
      </c>
      <c r="D5217" s="1" t="str">
        <f>"512630325"</f>
        <v>512630325</v>
      </c>
      <c r="E5217" s="1">
        <v>62</v>
      </c>
      <c r="F5217" s="1">
        <v>59.5</v>
      </c>
      <c r="H5217" s="1">
        <v>61</v>
      </c>
    </row>
    <row r="5218" s="1" customFormat="1" spans="1:8">
      <c r="A5218" s="1" t="s">
        <v>37</v>
      </c>
      <c r="B5218" s="1" t="s">
        <v>54</v>
      </c>
      <c r="C5218" s="1" t="str">
        <f t="shared" si="124"/>
        <v>020050</v>
      </c>
      <c r="D5218" s="1" t="str">
        <f>"512630326"</f>
        <v>512630326</v>
      </c>
      <c r="E5218" s="1">
        <v>48</v>
      </c>
      <c r="F5218" s="1">
        <v>66.5</v>
      </c>
      <c r="H5218" s="1">
        <v>55.4</v>
      </c>
    </row>
    <row r="5219" s="1" customFormat="1" spans="1:8">
      <c r="A5219" s="1" t="s">
        <v>37</v>
      </c>
      <c r="B5219" s="1" t="s">
        <v>54</v>
      </c>
      <c r="C5219" s="1" t="str">
        <f t="shared" si="124"/>
        <v>020050</v>
      </c>
      <c r="D5219" s="1" t="str">
        <f>"512630327"</f>
        <v>512630327</v>
      </c>
      <c r="E5219" s="1">
        <v>87</v>
      </c>
      <c r="F5219" s="1">
        <v>90.5</v>
      </c>
      <c r="H5219" s="1">
        <v>88.4</v>
      </c>
    </row>
    <row r="5220" s="1" customFormat="1" spans="1:8">
      <c r="A5220" s="1" t="s">
        <v>37</v>
      </c>
      <c r="B5220" s="1" t="s">
        <v>54</v>
      </c>
      <c r="C5220" s="1" t="str">
        <f t="shared" si="124"/>
        <v>020050</v>
      </c>
      <c r="D5220" s="1" t="str">
        <f>"512630328"</f>
        <v>512630328</v>
      </c>
      <c r="E5220" s="1">
        <v>59</v>
      </c>
      <c r="F5220" s="1">
        <v>62.5</v>
      </c>
      <c r="H5220" s="1">
        <v>60.4</v>
      </c>
    </row>
    <row r="5221" s="1" customFormat="1" spans="1:8">
      <c r="A5221" s="1" t="s">
        <v>38</v>
      </c>
      <c r="B5221" s="1" t="s">
        <v>54</v>
      </c>
      <c r="C5221" s="1" t="str">
        <f t="shared" ref="C5221:C5235" si="125">"020057"</f>
        <v>020057</v>
      </c>
      <c r="D5221" s="1" t="str">
        <f>"512630329"</f>
        <v>512630329</v>
      </c>
      <c r="E5221" s="1">
        <v>72.5</v>
      </c>
      <c r="F5221" s="1">
        <v>73.5</v>
      </c>
      <c r="H5221" s="1">
        <v>72.9</v>
      </c>
    </row>
    <row r="5222" s="1" customFormat="1" spans="1:8">
      <c r="A5222" s="1" t="s">
        <v>38</v>
      </c>
      <c r="B5222" s="1" t="s">
        <v>54</v>
      </c>
      <c r="C5222" s="1" t="str">
        <f t="shared" si="125"/>
        <v>020057</v>
      </c>
      <c r="D5222" s="1" t="str">
        <f>"512630330"</f>
        <v>512630330</v>
      </c>
      <c r="E5222" s="1">
        <v>52.5</v>
      </c>
      <c r="F5222" s="1">
        <v>79</v>
      </c>
      <c r="H5222" s="1">
        <v>63.1</v>
      </c>
    </row>
    <row r="5223" s="1" customFormat="1" spans="1:8">
      <c r="A5223" s="1" t="s">
        <v>38</v>
      </c>
      <c r="B5223" s="1" t="s">
        <v>54</v>
      </c>
      <c r="C5223" s="1" t="str">
        <f t="shared" si="125"/>
        <v>020057</v>
      </c>
      <c r="D5223" s="1" t="str">
        <f>"512630401"</f>
        <v>512630401</v>
      </c>
      <c r="E5223" s="1">
        <v>0</v>
      </c>
      <c r="F5223" s="1">
        <v>0</v>
      </c>
      <c r="H5223" s="1">
        <v>0</v>
      </c>
    </row>
    <row r="5224" s="1" customFormat="1" spans="1:8">
      <c r="A5224" s="1" t="s">
        <v>38</v>
      </c>
      <c r="B5224" s="1" t="s">
        <v>54</v>
      </c>
      <c r="C5224" s="1" t="str">
        <f t="shared" si="125"/>
        <v>020057</v>
      </c>
      <c r="D5224" s="1" t="str">
        <f>"512630402"</f>
        <v>512630402</v>
      </c>
      <c r="E5224" s="1">
        <v>76</v>
      </c>
      <c r="F5224" s="1">
        <v>66.5</v>
      </c>
      <c r="H5224" s="1">
        <v>72.2</v>
      </c>
    </row>
    <row r="5225" s="1" customFormat="1" spans="1:8">
      <c r="A5225" s="1" t="s">
        <v>38</v>
      </c>
      <c r="B5225" s="1" t="s">
        <v>54</v>
      </c>
      <c r="C5225" s="1" t="str">
        <f t="shared" si="125"/>
        <v>020057</v>
      </c>
      <c r="D5225" s="1" t="str">
        <f>"512630403"</f>
        <v>512630403</v>
      </c>
      <c r="E5225" s="1">
        <v>94</v>
      </c>
      <c r="F5225" s="1">
        <v>79.5</v>
      </c>
      <c r="H5225" s="1">
        <v>88.2</v>
      </c>
    </row>
    <row r="5226" s="1" customFormat="1" spans="1:8">
      <c r="A5226" s="1" t="s">
        <v>38</v>
      </c>
      <c r="B5226" s="1" t="s">
        <v>54</v>
      </c>
      <c r="C5226" s="1" t="str">
        <f t="shared" si="125"/>
        <v>020057</v>
      </c>
      <c r="D5226" s="1" t="str">
        <f>"512630404"</f>
        <v>512630404</v>
      </c>
      <c r="E5226" s="1">
        <v>30</v>
      </c>
      <c r="F5226" s="1">
        <v>69.5</v>
      </c>
      <c r="H5226" s="1">
        <v>45.8</v>
      </c>
    </row>
    <row r="5227" s="1" customFormat="1" spans="1:8">
      <c r="A5227" s="1" t="s">
        <v>38</v>
      </c>
      <c r="B5227" s="1" t="s">
        <v>54</v>
      </c>
      <c r="C5227" s="1" t="str">
        <f t="shared" si="125"/>
        <v>020057</v>
      </c>
      <c r="D5227" s="1" t="str">
        <f>"512630405"</f>
        <v>512630405</v>
      </c>
      <c r="E5227" s="1">
        <v>71.5</v>
      </c>
      <c r="F5227" s="1">
        <v>63</v>
      </c>
      <c r="H5227" s="1">
        <v>68.1</v>
      </c>
    </row>
    <row r="5228" s="1" customFormat="1" spans="1:8">
      <c r="A5228" s="1" t="s">
        <v>38</v>
      </c>
      <c r="B5228" s="1" t="s">
        <v>54</v>
      </c>
      <c r="C5228" s="1" t="str">
        <f t="shared" si="125"/>
        <v>020057</v>
      </c>
      <c r="D5228" s="1" t="str">
        <f>"512630406"</f>
        <v>512630406</v>
      </c>
      <c r="E5228" s="1">
        <v>87.5</v>
      </c>
      <c r="F5228" s="1">
        <v>81.5</v>
      </c>
      <c r="H5228" s="1">
        <v>85.1</v>
      </c>
    </row>
    <row r="5229" s="1" customFormat="1" spans="1:8">
      <c r="A5229" s="1" t="s">
        <v>38</v>
      </c>
      <c r="B5229" s="1" t="s">
        <v>54</v>
      </c>
      <c r="C5229" s="1" t="str">
        <f t="shared" si="125"/>
        <v>020057</v>
      </c>
      <c r="D5229" s="1" t="str">
        <f>"512630407"</f>
        <v>512630407</v>
      </c>
      <c r="E5229" s="1">
        <v>22</v>
      </c>
      <c r="F5229" s="1">
        <v>39.5</v>
      </c>
      <c r="H5229" s="1">
        <v>29</v>
      </c>
    </row>
    <row r="5230" s="1" customFormat="1" spans="1:8">
      <c r="A5230" s="1" t="s">
        <v>38</v>
      </c>
      <c r="B5230" s="1" t="s">
        <v>54</v>
      </c>
      <c r="C5230" s="1" t="str">
        <f t="shared" si="125"/>
        <v>020057</v>
      </c>
      <c r="D5230" s="1" t="str">
        <f>"512630408"</f>
        <v>512630408</v>
      </c>
      <c r="E5230" s="1">
        <v>52.5</v>
      </c>
      <c r="F5230" s="1">
        <v>70.5</v>
      </c>
      <c r="H5230" s="1">
        <v>59.7</v>
      </c>
    </row>
    <row r="5231" s="1" customFormat="1" spans="1:8">
      <c r="A5231" s="1" t="s">
        <v>38</v>
      </c>
      <c r="B5231" s="1" t="s">
        <v>54</v>
      </c>
      <c r="C5231" s="1" t="str">
        <f t="shared" si="125"/>
        <v>020057</v>
      </c>
      <c r="D5231" s="1" t="str">
        <f>"512630409"</f>
        <v>512630409</v>
      </c>
      <c r="E5231" s="1">
        <v>34</v>
      </c>
      <c r="F5231" s="1">
        <v>68.5</v>
      </c>
      <c r="H5231" s="1">
        <v>47.8</v>
      </c>
    </row>
    <row r="5232" s="1" customFormat="1" spans="1:8">
      <c r="A5232" s="1" t="s">
        <v>38</v>
      </c>
      <c r="B5232" s="1" t="s">
        <v>54</v>
      </c>
      <c r="C5232" s="1" t="str">
        <f t="shared" si="125"/>
        <v>020057</v>
      </c>
      <c r="D5232" s="1" t="str">
        <f>"512630410"</f>
        <v>512630410</v>
      </c>
      <c r="E5232" s="1">
        <v>81.5</v>
      </c>
      <c r="F5232" s="1">
        <v>60</v>
      </c>
      <c r="H5232" s="1">
        <v>72.9</v>
      </c>
    </row>
    <row r="5233" s="1" customFormat="1" spans="1:8">
      <c r="A5233" s="1" t="s">
        <v>38</v>
      </c>
      <c r="B5233" s="1" t="s">
        <v>54</v>
      </c>
      <c r="C5233" s="1" t="str">
        <f t="shared" si="125"/>
        <v>020057</v>
      </c>
      <c r="D5233" s="1" t="str">
        <f>"512630411"</f>
        <v>512630411</v>
      </c>
      <c r="E5233" s="1">
        <v>62</v>
      </c>
      <c r="F5233" s="1">
        <v>77</v>
      </c>
      <c r="H5233" s="1">
        <v>68</v>
      </c>
    </row>
    <row r="5234" s="1" customFormat="1" spans="1:8">
      <c r="A5234" s="1" t="s">
        <v>38</v>
      </c>
      <c r="B5234" s="1" t="s">
        <v>54</v>
      </c>
      <c r="C5234" s="1" t="str">
        <f t="shared" si="125"/>
        <v>020057</v>
      </c>
      <c r="D5234" s="1" t="str">
        <f>"512630412"</f>
        <v>512630412</v>
      </c>
      <c r="E5234" s="1">
        <v>77</v>
      </c>
      <c r="F5234" s="1">
        <v>77.5</v>
      </c>
      <c r="H5234" s="1">
        <v>77.2</v>
      </c>
    </row>
    <row r="5235" s="1" customFormat="1" spans="1:8">
      <c r="A5235" s="1" t="s">
        <v>38</v>
      </c>
      <c r="B5235" s="1" t="s">
        <v>54</v>
      </c>
      <c r="C5235" s="1" t="str">
        <f t="shared" si="125"/>
        <v>020057</v>
      </c>
      <c r="D5235" s="1" t="str">
        <f>"512630413"</f>
        <v>512630413</v>
      </c>
      <c r="E5235" s="1">
        <v>94</v>
      </c>
      <c r="F5235" s="1">
        <v>65</v>
      </c>
      <c r="H5235" s="1">
        <v>82.4</v>
      </c>
    </row>
    <row r="5236" s="1" customFormat="1" spans="1:8">
      <c r="A5236" s="1" t="s">
        <v>32</v>
      </c>
      <c r="B5236" s="1" t="s">
        <v>55</v>
      </c>
      <c r="C5236" s="1" t="str">
        <f t="shared" ref="C5236:C5262" si="126">"020022"</f>
        <v>020022</v>
      </c>
      <c r="D5236" s="1" t="str">
        <f>"512731301"</f>
        <v>512731301</v>
      </c>
      <c r="E5236" s="1">
        <v>0</v>
      </c>
      <c r="F5236" s="1">
        <v>0</v>
      </c>
      <c r="H5236" s="1">
        <v>0</v>
      </c>
    </row>
    <row r="5237" s="1" customFormat="1" spans="1:8">
      <c r="A5237" s="1" t="s">
        <v>32</v>
      </c>
      <c r="B5237" s="1" t="s">
        <v>55</v>
      </c>
      <c r="C5237" s="1" t="str">
        <f t="shared" si="126"/>
        <v>020022</v>
      </c>
      <c r="D5237" s="1" t="str">
        <f>"512731302"</f>
        <v>512731302</v>
      </c>
      <c r="E5237" s="1">
        <v>0</v>
      </c>
      <c r="F5237" s="1">
        <v>0</v>
      </c>
      <c r="H5237" s="1">
        <v>0</v>
      </c>
    </row>
    <row r="5238" s="1" customFormat="1" spans="1:8">
      <c r="A5238" s="1" t="s">
        <v>32</v>
      </c>
      <c r="B5238" s="1" t="s">
        <v>55</v>
      </c>
      <c r="C5238" s="1" t="str">
        <f t="shared" si="126"/>
        <v>020022</v>
      </c>
      <c r="D5238" s="1" t="str">
        <f>"512731303"</f>
        <v>512731303</v>
      </c>
      <c r="E5238" s="1">
        <v>54.5</v>
      </c>
      <c r="F5238" s="1">
        <v>71.5</v>
      </c>
      <c r="H5238" s="1">
        <v>61.3</v>
      </c>
    </row>
    <row r="5239" s="1" customFormat="1" spans="1:8">
      <c r="A5239" s="1" t="s">
        <v>32</v>
      </c>
      <c r="B5239" s="1" t="s">
        <v>55</v>
      </c>
      <c r="C5239" s="1" t="str">
        <f t="shared" si="126"/>
        <v>020022</v>
      </c>
      <c r="D5239" s="1" t="str">
        <f>"512731304"</f>
        <v>512731304</v>
      </c>
      <c r="E5239" s="1">
        <v>84</v>
      </c>
      <c r="F5239" s="1">
        <v>81.5</v>
      </c>
      <c r="H5239" s="1">
        <v>83</v>
      </c>
    </row>
    <row r="5240" s="1" customFormat="1" spans="1:8">
      <c r="A5240" s="1" t="s">
        <v>32</v>
      </c>
      <c r="B5240" s="1" t="s">
        <v>55</v>
      </c>
      <c r="C5240" s="1" t="str">
        <f t="shared" si="126"/>
        <v>020022</v>
      </c>
      <c r="D5240" s="1" t="str">
        <f>"512731305"</f>
        <v>512731305</v>
      </c>
      <c r="E5240" s="1">
        <v>80.5</v>
      </c>
      <c r="F5240" s="1">
        <v>64</v>
      </c>
      <c r="H5240" s="1">
        <v>73.9</v>
      </c>
    </row>
    <row r="5241" s="1" customFormat="1" spans="1:8">
      <c r="A5241" s="1" t="s">
        <v>32</v>
      </c>
      <c r="B5241" s="1" t="s">
        <v>55</v>
      </c>
      <c r="C5241" s="1" t="str">
        <f t="shared" si="126"/>
        <v>020022</v>
      </c>
      <c r="D5241" s="1" t="str">
        <f>"512731306"</f>
        <v>512731306</v>
      </c>
      <c r="E5241" s="1">
        <v>86.5</v>
      </c>
      <c r="F5241" s="1">
        <v>81</v>
      </c>
      <c r="H5241" s="1">
        <v>84.3</v>
      </c>
    </row>
    <row r="5242" s="1" customFormat="1" spans="1:8">
      <c r="A5242" s="1" t="s">
        <v>32</v>
      </c>
      <c r="B5242" s="1" t="s">
        <v>55</v>
      </c>
      <c r="C5242" s="1" t="str">
        <f t="shared" si="126"/>
        <v>020022</v>
      </c>
      <c r="D5242" s="1" t="str">
        <f>"512731307"</f>
        <v>512731307</v>
      </c>
      <c r="E5242" s="1">
        <v>102.5</v>
      </c>
      <c r="F5242" s="1">
        <v>84</v>
      </c>
      <c r="H5242" s="1">
        <v>95.1</v>
      </c>
    </row>
    <row r="5243" s="1" customFormat="1" spans="1:8">
      <c r="A5243" s="1" t="s">
        <v>32</v>
      </c>
      <c r="B5243" s="1" t="s">
        <v>55</v>
      </c>
      <c r="C5243" s="1" t="str">
        <f t="shared" si="126"/>
        <v>020022</v>
      </c>
      <c r="D5243" s="1" t="str">
        <f>"512731308"</f>
        <v>512731308</v>
      </c>
      <c r="E5243" s="1">
        <v>52</v>
      </c>
      <c r="F5243" s="1">
        <v>63.5</v>
      </c>
      <c r="H5243" s="1">
        <v>56.6</v>
      </c>
    </row>
    <row r="5244" s="1" customFormat="1" spans="1:8">
      <c r="A5244" s="1" t="s">
        <v>32</v>
      </c>
      <c r="B5244" s="1" t="s">
        <v>55</v>
      </c>
      <c r="C5244" s="1" t="str">
        <f t="shared" si="126"/>
        <v>020022</v>
      </c>
      <c r="D5244" s="1" t="str">
        <f>"512731309"</f>
        <v>512731309</v>
      </c>
      <c r="E5244" s="1">
        <v>82</v>
      </c>
      <c r="F5244" s="1">
        <v>69</v>
      </c>
      <c r="H5244" s="1">
        <v>76.8</v>
      </c>
    </row>
    <row r="5245" s="1" customFormat="1" spans="1:8">
      <c r="A5245" s="1" t="s">
        <v>32</v>
      </c>
      <c r="B5245" s="1" t="s">
        <v>55</v>
      </c>
      <c r="C5245" s="1" t="str">
        <f t="shared" si="126"/>
        <v>020022</v>
      </c>
      <c r="D5245" s="1" t="str">
        <f>"512731310"</f>
        <v>512731310</v>
      </c>
      <c r="E5245" s="1">
        <v>86.5</v>
      </c>
      <c r="F5245" s="1">
        <v>70</v>
      </c>
      <c r="H5245" s="1">
        <v>79.9</v>
      </c>
    </row>
    <row r="5246" s="1" customFormat="1" spans="1:8">
      <c r="A5246" s="1" t="s">
        <v>32</v>
      </c>
      <c r="B5246" s="1" t="s">
        <v>55</v>
      </c>
      <c r="C5246" s="1" t="str">
        <f t="shared" si="126"/>
        <v>020022</v>
      </c>
      <c r="D5246" s="1" t="str">
        <f>"512731311"</f>
        <v>512731311</v>
      </c>
      <c r="E5246" s="1">
        <v>92.5</v>
      </c>
      <c r="F5246" s="1">
        <v>84.5</v>
      </c>
      <c r="H5246" s="1">
        <v>89.3</v>
      </c>
    </row>
    <row r="5247" s="1" customFormat="1" spans="1:8">
      <c r="A5247" s="1" t="s">
        <v>32</v>
      </c>
      <c r="B5247" s="1" t="s">
        <v>55</v>
      </c>
      <c r="C5247" s="1" t="str">
        <f t="shared" si="126"/>
        <v>020022</v>
      </c>
      <c r="D5247" s="1" t="str">
        <f>"512731312"</f>
        <v>512731312</v>
      </c>
      <c r="E5247" s="1">
        <v>76.5</v>
      </c>
      <c r="F5247" s="1">
        <v>68.5</v>
      </c>
      <c r="H5247" s="1">
        <v>73.3</v>
      </c>
    </row>
    <row r="5248" s="1" customFormat="1" spans="1:8">
      <c r="A5248" s="1" t="s">
        <v>32</v>
      </c>
      <c r="B5248" s="1" t="s">
        <v>55</v>
      </c>
      <c r="C5248" s="1" t="str">
        <f t="shared" si="126"/>
        <v>020022</v>
      </c>
      <c r="D5248" s="1" t="str">
        <f>"512731313"</f>
        <v>512731313</v>
      </c>
      <c r="E5248" s="1">
        <v>51</v>
      </c>
      <c r="F5248" s="1">
        <v>0</v>
      </c>
      <c r="H5248" s="1">
        <v>30.6</v>
      </c>
    </row>
    <row r="5249" s="1" customFormat="1" spans="1:8">
      <c r="A5249" s="1" t="s">
        <v>32</v>
      </c>
      <c r="B5249" s="1" t="s">
        <v>55</v>
      </c>
      <c r="C5249" s="1" t="str">
        <f t="shared" si="126"/>
        <v>020022</v>
      </c>
      <c r="D5249" s="1" t="str">
        <f>"512731314"</f>
        <v>512731314</v>
      </c>
      <c r="E5249" s="1">
        <v>0</v>
      </c>
      <c r="F5249" s="1">
        <v>0</v>
      </c>
      <c r="H5249" s="1">
        <v>0</v>
      </c>
    </row>
    <row r="5250" s="1" customFormat="1" spans="1:8">
      <c r="A5250" s="1" t="s">
        <v>32</v>
      </c>
      <c r="B5250" s="1" t="s">
        <v>55</v>
      </c>
      <c r="C5250" s="1" t="str">
        <f t="shared" si="126"/>
        <v>020022</v>
      </c>
      <c r="D5250" s="1" t="str">
        <f>"512731315"</f>
        <v>512731315</v>
      </c>
      <c r="E5250" s="1">
        <v>85.5</v>
      </c>
      <c r="F5250" s="1">
        <v>77.5</v>
      </c>
      <c r="H5250" s="1">
        <v>82.3</v>
      </c>
    </row>
    <row r="5251" s="1" customFormat="1" spans="1:8">
      <c r="A5251" s="1" t="s">
        <v>32</v>
      </c>
      <c r="B5251" s="1" t="s">
        <v>55</v>
      </c>
      <c r="C5251" s="1" t="str">
        <f t="shared" si="126"/>
        <v>020022</v>
      </c>
      <c r="D5251" s="1" t="str">
        <f>"512731316"</f>
        <v>512731316</v>
      </c>
      <c r="E5251" s="1">
        <v>68.5</v>
      </c>
      <c r="F5251" s="1">
        <v>64</v>
      </c>
      <c r="H5251" s="1">
        <v>66.7</v>
      </c>
    </row>
    <row r="5252" s="1" customFormat="1" spans="1:8">
      <c r="A5252" s="1" t="s">
        <v>32</v>
      </c>
      <c r="B5252" s="1" t="s">
        <v>55</v>
      </c>
      <c r="C5252" s="1" t="str">
        <f t="shared" si="126"/>
        <v>020022</v>
      </c>
      <c r="D5252" s="1" t="str">
        <f>"512731317"</f>
        <v>512731317</v>
      </c>
      <c r="E5252" s="1">
        <v>54</v>
      </c>
      <c r="F5252" s="1">
        <v>73</v>
      </c>
      <c r="H5252" s="1">
        <v>61.6</v>
      </c>
    </row>
    <row r="5253" s="1" customFormat="1" spans="1:8">
      <c r="A5253" s="1" t="s">
        <v>32</v>
      </c>
      <c r="B5253" s="1" t="s">
        <v>55</v>
      </c>
      <c r="C5253" s="1" t="str">
        <f t="shared" si="126"/>
        <v>020022</v>
      </c>
      <c r="D5253" s="1" t="str">
        <f>"512731318"</f>
        <v>512731318</v>
      </c>
      <c r="E5253" s="1">
        <v>0</v>
      </c>
      <c r="F5253" s="1">
        <v>0</v>
      </c>
      <c r="H5253" s="1">
        <v>0</v>
      </c>
    </row>
    <row r="5254" s="1" customFormat="1" spans="1:8">
      <c r="A5254" s="1" t="s">
        <v>32</v>
      </c>
      <c r="B5254" s="1" t="s">
        <v>55</v>
      </c>
      <c r="C5254" s="1" t="str">
        <f t="shared" si="126"/>
        <v>020022</v>
      </c>
      <c r="D5254" s="1" t="str">
        <f>"512731319"</f>
        <v>512731319</v>
      </c>
      <c r="E5254" s="1">
        <v>84.5</v>
      </c>
      <c r="F5254" s="1">
        <v>64.5</v>
      </c>
      <c r="H5254" s="1">
        <v>76.5</v>
      </c>
    </row>
    <row r="5255" s="1" customFormat="1" spans="1:8">
      <c r="A5255" s="1" t="s">
        <v>32</v>
      </c>
      <c r="B5255" s="1" t="s">
        <v>55</v>
      </c>
      <c r="C5255" s="1" t="str">
        <f t="shared" si="126"/>
        <v>020022</v>
      </c>
      <c r="D5255" s="1" t="str">
        <f>"512731320"</f>
        <v>512731320</v>
      </c>
      <c r="E5255" s="1">
        <v>85</v>
      </c>
      <c r="F5255" s="1">
        <v>73</v>
      </c>
      <c r="H5255" s="1">
        <v>80.2</v>
      </c>
    </row>
    <row r="5256" s="1" customFormat="1" spans="1:8">
      <c r="A5256" s="1" t="s">
        <v>32</v>
      </c>
      <c r="B5256" s="1" t="s">
        <v>55</v>
      </c>
      <c r="C5256" s="1" t="str">
        <f t="shared" si="126"/>
        <v>020022</v>
      </c>
      <c r="D5256" s="1" t="str">
        <f>"512731321"</f>
        <v>512731321</v>
      </c>
      <c r="E5256" s="1">
        <v>53.5</v>
      </c>
      <c r="F5256" s="1">
        <v>66</v>
      </c>
      <c r="H5256" s="1">
        <v>58.5</v>
      </c>
    </row>
    <row r="5257" s="1" customFormat="1" spans="1:8">
      <c r="A5257" s="1" t="s">
        <v>32</v>
      </c>
      <c r="B5257" s="1" t="s">
        <v>55</v>
      </c>
      <c r="C5257" s="1" t="str">
        <f t="shared" si="126"/>
        <v>020022</v>
      </c>
      <c r="D5257" s="1" t="str">
        <f>"512731322"</f>
        <v>512731322</v>
      </c>
      <c r="E5257" s="1">
        <v>66</v>
      </c>
      <c r="F5257" s="1">
        <v>64.5</v>
      </c>
      <c r="H5257" s="1">
        <v>65.4</v>
      </c>
    </row>
    <row r="5258" s="1" customFormat="1" spans="1:8">
      <c r="A5258" s="1" t="s">
        <v>32</v>
      </c>
      <c r="B5258" s="1" t="s">
        <v>55</v>
      </c>
      <c r="C5258" s="1" t="str">
        <f t="shared" si="126"/>
        <v>020022</v>
      </c>
      <c r="D5258" s="1" t="str">
        <f>"512731323"</f>
        <v>512731323</v>
      </c>
      <c r="E5258" s="1">
        <v>74.5</v>
      </c>
      <c r="F5258" s="1">
        <v>64.5</v>
      </c>
      <c r="H5258" s="1">
        <v>70.5</v>
      </c>
    </row>
    <row r="5259" s="1" customFormat="1" spans="1:8">
      <c r="A5259" s="1" t="s">
        <v>32</v>
      </c>
      <c r="B5259" s="1" t="s">
        <v>55</v>
      </c>
      <c r="C5259" s="1" t="str">
        <f t="shared" si="126"/>
        <v>020022</v>
      </c>
      <c r="D5259" s="1" t="str">
        <f>"512731324"</f>
        <v>512731324</v>
      </c>
      <c r="E5259" s="1">
        <v>93.5</v>
      </c>
      <c r="F5259" s="1">
        <v>74</v>
      </c>
      <c r="H5259" s="1">
        <v>85.7</v>
      </c>
    </row>
    <row r="5260" s="1" customFormat="1" spans="1:8">
      <c r="A5260" s="1" t="s">
        <v>32</v>
      </c>
      <c r="B5260" s="1" t="s">
        <v>55</v>
      </c>
      <c r="C5260" s="1" t="str">
        <f t="shared" si="126"/>
        <v>020022</v>
      </c>
      <c r="D5260" s="1" t="str">
        <f>"512731325"</f>
        <v>512731325</v>
      </c>
      <c r="E5260" s="1">
        <v>0</v>
      </c>
      <c r="F5260" s="1">
        <v>0</v>
      </c>
      <c r="H5260" s="1">
        <v>0</v>
      </c>
    </row>
    <row r="5261" s="1" customFormat="1" spans="1:8">
      <c r="A5261" s="1" t="s">
        <v>32</v>
      </c>
      <c r="B5261" s="1" t="s">
        <v>55</v>
      </c>
      <c r="C5261" s="1" t="str">
        <f t="shared" si="126"/>
        <v>020022</v>
      </c>
      <c r="D5261" s="1" t="str">
        <f>"512731326"</f>
        <v>512731326</v>
      </c>
      <c r="E5261" s="1">
        <v>96</v>
      </c>
      <c r="F5261" s="1">
        <v>58</v>
      </c>
      <c r="H5261" s="1">
        <v>80.8</v>
      </c>
    </row>
    <row r="5262" s="1" customFormat="1" spans="1:8">
      <c r="A5262" s="1" t="s">
        <v>32</v>
      </c>
      <c r="B5262" s="1" t="s">
        <v>55</v>
      </c>
      <c r="C5262" s="1" t="str">
        <f t="shared" si="126"/>
        <v>020022</v>
      </c>
      <c r="D5262" s="1" t="str">
        <f>"512731327"</f>
        <v>512731327</v>
      </c>
      <c r="E5262" s="1">
        <v>0</v>
      </c>
      <c r="F5262" s="1">
        <v>0</v>
      </c>
      <c r="H5262" s="1">
        <v>0</v>
      </c>
    </row>
    <row r="5263" s="1" customFormat="1" spans="1:8">
      <c r="A5263" s="1" t="s">
        <v>29</v>
      </c>
      <c r="B5263" s="1" t="s">
        <v>56</v>
      </c>
      <c r="C5263" s="1" t="str">
        <f t="shared" ref="C5263:C5275" si="127">"020008"</f>
        <v>020008</v>
      </c>
      <c r="D5263" s="1" t="str">
        <f>"512732201"</f>
        <v>512732201</v>
      </c>
      <c r="E5263" s="1">
        <v>0</v>
      </c>
      <c r="F5263" s="1">
        <v>0</v>
      </c>
      <c r="H5263" s="1">
        <v>0</v>
      </c>
    </row>
    <row r="5264" s="1" customFormat="1" spans="1:8">
      <c r="A5264" s="1" t="s">
        <v>29</v>
      </c>
      <c r="B5264" s="1" t="s">
        <v>56</v>
      </c>
      <c r="C5264" s="1" t="str">
        <f t="shared" si="127"/>
        <v>020008</v>
      </c>
      <c r="D5264" s="1" t="str">
        <f>"512732202"</f>
        <v>512732202</v>
      </c>
      <c r="E5264" s="1">
        <v>0</v>
      </c>
      <c r="F5264" s="1">
        <v>0</v>
      </c>
      <c r="H5264" s="1">
        <v>0</v>
      </c>
    </row>
    <row r="5265" s="1" customFormat="1" spans="1:8">
      <c r="A5265" s="1" t="s">
        <v>29</v>
      </c>
      <c r="B5265" s="1" t="s">
        <v>56</v>
      </c>
      <c r="C5265" s="1" t="str">
        <f t="shared" si="127"/>
        <v>020008</v>
      </c>
      <c r="D5265" s="1" t="str">
        <f>"512732203"</f>
        <v>512732203</v>
      </c>
      <c r="E5265" s="1">
        <v>81</v>
      </c>
      <c r="F5265" s="1">
        <v>85</v>
      </c>
      <c r="H5265" s="1">
        <v>82.6</v>
      </c>
    </row>
    <row r="5266" s="1" customFormat="1" spans="1:8">
      <c r="A5266" s="1" t="s">
        <v>29</v>
      </c>
      <c r="B5266" s="1" t="s">
        <v>56</v>
      </c>
      <c r="C5266" s="1" t="str">
        <f t="shared" si="127"/>
        <v>020008</v>
      </c>
      <c r="D5266" s="1" t="str">
        <f>"512732204"</f>
        <v>512732204</v>
      </c>
      <c r="E5266" s="1">
        <v>88</v>
      </c>
      <c r="F5266" s="1">
        <v>73.5</v>
      </c>
      <c r="H5266" s="1">
        <v>82.2</v>
      </c>
    </row>
    <row r="5267" s="1" customFormat="1" spans="1:8">
      <c r="A5267" s="1" t="s">
        <v>29</v>
      </c>
      <c r="B5267" s="1" t="s">
        <v>56</v>
      </c>
      <c r="C5267" s="1" t="str">
        <f t="shared" si="127"/>
        <v>020008</v>
      </c>
      <c r="D5267" s="1" t="str">
        <f>"512732205"</f>
        <v>512732205</v>
      </c>
      <c r="E5267" s="1">
        <v>0</v>
      </c>
      <c r="F5267" s="1">
        <v>0</v>
      </c>
      <c r="H5267" s="1">
        <v>0</v>
      </c>
    </row>
    <row r="5268" s="1" customFormat="1" spans="1:8">
      <c r="A5268" s="1" t="s">
        <v>29</v>
      </c>
      <c r="B5268" s="1" t="s">
        <v>56</v>
      </c>
      <c r="C5268" s="1" t="str">
        <f t="shared" si="127"/>
        <v>020008</v>
      </c>
      <c r="D5268" s="1" t="str">
        <f>"512732206"</f>
        <v>512732206</v>
      </c>
      <c r="E5268" s="1">
        <v>90</v>
      </c>
      <c r="F5268" s="1">
        <v>81.5</v>
      </c>
      <c r="H5268" s="1">
        <v>86.6</v>
      </c>
    </row>
    <row r="5269" s="1" customFormat="1" spans="1:8">
      <c r="A5269" s="1" t="s">
        <v>29</v>
      </c>
      <c r="B5269" s="1" t="s">
        <v>56</v>
      </c>
      <c r="C5269" s="1" t="str">
        <f t="shared" si="127"/>
        <v>020008</v>
      </c>
      <c r="D5269" s="1" t="str">
        <f>"512732207"</f>
        <v>512732207</v>
      </c>
      <c r="E5269" s="1">
        <v>86</v>
      </c>
      <c r="F5269" s="1">
        <v>59</v>
      </c>
      <c r="H5269" s="1">
        <v>75.2</v>
      </c>
    </row>
    <row r="5270" s="1" customFormat="1" spans="1:8">
      <c r="A5270" s="1" t="s">
        <v>29</v>
      </c>
      <c r="B5270" s="1" t="s">
        <v>56</v>
      </c>
      <c r="C5270" s="1" t="str">
        <f t="shared" si="127"/>
        <v>020008</v>
      </c>
      <c r="D5270" s="1" t="str">
        <f>"512732208"</f>
        <v>512732208</v>
      </c>
      <c r="E5270" s="1">
        <v>68.5</v>
      </c>
      <c r="F5270" s="1">
        <v>68.5</v>
      </c>
      <c r="H5270" s="1">
        <v>68.5</v>
      </c>
    </row>
    <row r="5271" s="1" customFormat="1" spans="1:8">
      <c r="A5271" s="1" t="s">
        <v>29</v>
      </c>
      <c r="B5271" s="1" t="s">
        <v>56</v>
      </c>
      <c r="C5271" s="1" t="str">
        <f t="shared" si="127"/>
        <v>020008</v>
      </c>
      <c r="D5271" s="1" t="str">
        <f>"512732209"</f>
        <v>512732209</v>
      </c>
      <c r="E5271" s="1">
        <v>69</v>
      </c>
      <c r="F5271" s="1">
        <v>62</v>
      </c>
      <c r="H5271" s="1">
        <v>66.2</v>
      </c>
    </row>
    <row r="5272" s="1" customFormat="1" spans="1:8">
      <c r="A5272" s="1" t="s">
        <v>29</v>
      </c>
      <c r="B5272" s="1" t="s">
        <v>56</v>
      </c>
      <c r="C5272" s="1" t="str">
        <f t="shared" si="127"/>
        <v>020008</v>
      </c>
      <c r="D5272" s="1" t="str">
        <f>"512732210"</f>
        <v>512732210</v>
      </c>
      <c r="E5272" s="1">
        <v>98.5</v>
      </c>
      <c r="F5272" s="1">
        <v>87.5</v>
      </c>
      <c r="H5272" s="1">
        <v>94.1</v>
      </c>
    </row>
    <row r="5273" s="1" customFormat="1" spans="1:8">
      <c r="A5273" s="1" t="s">
        <v>29</v>
      </c>
      <c r="B5273" s="1" t="s">
        <v>56</v>
      </c>
      <c r="C5273" s="1" t="str">
        <f t="shared" si="127"/>
        <v>020008</v>
      </c>
      <c r="D5273" s="1" t="str">
        <f>"512732211"</f>
        <v>512732211</v>
      </c>
      <c r="E5273" s="1">
        <v>80.5</v>
      </c>
      <c r="F5273" s="1">
        <v>63</v>
      </c>
      <c r="H5273" s="1">
        <v>73.5</v>
      </c>
    </row>
    <row r="5274" s="1" customFormat="1" spans="1:8">
      <c r="A5274" s="1" t="s">
        <v>29</v>
      </c>
      <c r="B5274" s="1" t="s">
        <v>56</v>
      </c>
      <c r="C5274" s="1" t="str">
        <f t="shared" si="127"/>
        <v>020008</v>
      </c>
      <c r="D5274" s="1" t="str">
        <f>"512732212"</f>
        <v>512732212</v>
      </c>
      <c r="E5274" s="1">
        <v>82.5</v>
      </c>
      <c r="F5274" s="1">
        <v>74.5</v>
      </c>
      <c r="H5274" s="1">
        <v>79.3</v>
      </c>
    </row>
    <row r="5275" s="1" customFormat="1" spans="1:8">
      <c r="A5275" s="1" t="s">
        <v>29</v>
      </c>
      <c r="B5275" s="1" t="s">
        <v>56</v>
      </c>
      <c r="C5275" s="1" t="str">
        <f t="shared" si="127"/>
        <v>020008</v>
      </c>
      <c r="D5275" s="1" t="str">
        <f>"512732213"</f>
        <v>512732213</v>
      </c>
      <c r="E5275" s="1">
        <v>91</v>
      </c>
      <c r="F5275" s="1">
        <v>75</v>
      </c>
      <c r="H5275" s="1">
        <v>84.6</v>
      </c>
    </row>
    <row r="5276" s="1" customFormat="1" spans="1:8">
      <c r="A5276" s="1" t="s">
        <v>32</v>
      </c>
      <c r="B5276" s="1" t="s">
        <v>56</v>
      </c>
      <c r="C5276" s="1" t="str">
        <f t="shared" ref="C5276:C5283" si="128">"020019"</f>
        <v>020019</v>
      </c>
      <c r="D5276" s="1" t="str">
        <f>"512732214"</f>
        <v>512732214</v>
      </c>
      <c r="E5276" s="1">
        <v>0</v>
      </c>
      <c r="F5276" s="1">
        <v>0</v>
      </c>
      <c r="H5276" s="1">
        <v>0</v>
      </c>
    </row>
    <row r="5277" s="1" customFormat="1" spans="1:8">
      <c r="A5277" s="1" t="s">
        <v>32</v>
      </c>
      <c r="B5277" s="1" t="s">
        <v>56</v>
      </c>
      <c r="C5277" s="1" t="str">
        <f t="shared" si="128"/>
        <v>020019</v>
      </c>
      <c r="D5277" s="1" t="str">
        <f>"512732215"</f>
        <v>512732215</v>
      </c>
      <c r="E5277" s="1">
        <v>0</v>
      </c>
      <c r="F5277" s="1">
        <v>0</v>
      </c>
      <c r="H5277" s="1">
        <v>0</v>
      </c>
    </row>
    <row r="5278" s="1" customFormat="1" spans="1:8">
      <c r="A5278" s="1" t="s">
        <v>32</v>
      </c>
      <c r="B5278" s="1" t="s">
        <v>56</v>
      </c>
      <c r="C5278" s="1" t="str">
        <f t="shared" si="128"/>
        <v>020019</v>
      </c>
      <c r="D5278" s="1" t="str">
        <f>"512732216"</f>
        <v>512732216</v>
      </c>
      <c r="E5278" s="1">
        <v>72</v>
      </c>
      <c r="F5278" s="1">
        <v>65</v>
      </c>
      <c r="H5278" s="1">
        <v>69.2</v>
      </c>
    </row>
    <row r="5279" s="1" customFormat="1" spans="1:8">
      <c r="A5279" s="1" t="s">
        <v>32</v>
      </c>
      <c r="B5279" s="1" t="s">
        <v>56</v>
      </c>
      <c r="C5279" s="1" t="str">
        <f t="shared" si="128"/>
        <v>020019</v>
      </c>
      <c r="D5279" s="1" t="str">
        <f>"512732217"</f>
        <v>512732217</v>
      </c>
      <c r="E5279" s="1">
        <v>83</v>
      </c>
      <c r="F5279" s="1">
        <v>74</v>
      </c>
      <c r="H5279" s="1">
        <v>79.4</v>
      </c>
    </row>
    <row r="5280" s="1" customFormat="1" spans="1:8">
      <c r="A5280" s="1" t="s">
        <v>32</v>
      </c>
      <c r="B5280" s="1" t="s">
        <v>56</v>
      </c>
      <c r="C5280" s="1" t="str">
        <f t="shared" si="128"/>
        <v>020019</v>
      </c>
      <c r="D5280" s="1" t="str">
        <f>"512732218"</f>
        <v>512732218</v>
      </c>
      <c r="E5280" s="1">
        <v>72</v>
      </c>
      <c r="F5280" s="1">
        <v>67</v>
      </c>
      <c r="H5280" s="1">
        <v>70</v>
      </c>
    </row>
    <row r="5281" s="1" customFormat="1" spans="1:8">
      <c r="A5281" s="1" t="s">
        <v>32</v>
      </c>
      <c r="B5281" s="1" t="s">
        <v>56</v>
      </c>
      <c r="C5281" s="1" t="str">
        <f t="shared" si="128"/>
        <v>020019</v>
      </c>
      <c r="D5281" s="1" t="str">
        <f>"512732219"</f>
        <v>512732219</v>
      </c>
      <c r="E5281" s="1">
        <v>81</v>
      </c>
      <c r="F5281" s="1">
        <v>65.5</v>
      </c>
      <c r="H5281" s="1">
        <v>74.8</v>
      </c>
    </row>
    <row r="5282" s="1" customFormat="1" spans="1:8">
      <c r="A5282" s="1" t="s">
        <v>32</v>
      </c>
      <c r="B5282" s="1" t="s">
        <v>56</v>
      </c>
      <c r="C5282" s="1" t="str">
        <f t="shared" si="128"/>
        <v>020019</v>
      </c>
      <c r="D5282" s="1" t="str">
        <f>"512732220"</f>
        <v>512732220</v>
      </c>
      <c r="E5282" s="1">
        <v>92.5</v>
      </c>
      <c r="F5282" s="1">
        <v>84</v>
      </c>
      <c r="H5282" s="1">
        <v>89.1</v>
      </c>
    </row>
    <row r="5283" s="1" customFormat="1" spans="1:8">
      <c r="A5283" s="1" t="s">
        <v>32</v>
      </c>
      <c r="B5283" s="1" t="s">
        <v>56</v>
      </c>
      <c r="C5283" s="1" t="str">
        <f t="shared" si="128"/>
        <v>020019</v>
      </c>
      <c r="D5283" s="1" t="str">
        <f>"512732221"</f>
        <v>512732221</v>
      </c>
      <c r="E5283" s="1">
        <v>0</v>
      </c>
      <c r="F5283" s="1">
        <v>0</v>
      </c>
      <c r="H5283" s="1">
        <v>0</v>
      </c>
    </row>
    <row r="5284" s="1" customFormat="1" spans="1:8">
      <c r="A5284" s="1" t="s">
        <v>37</v>
      </c>
      <c r="B5284" s="1" t="s">
        <v>57</v>
      </c>
      <c r="C5284" s="1" t="str">
        <f t="shared" ref="C5284:C5310" si="129">"020052"</f>
        <v>020052</v>
      </c>
      <c r="D5284" s="1" t="str">
        <f>"512732222"</f>
        <v>512732222</v>
      </c>
      <c r="E5284" s="1">
        <v>76.5</v>
      </c>
      <c r="F5284" s="1">
        <v>65.5</v>
      </c>
      <c r="H5284" s="1">
        <v>72.1</v>
      </c>
    </row>
    <row r="5285" s="1" customFormat="1" spans="1:8">
      <c r="A5285" s="1" t="s">
        <v>37</v>
      </c>
      <c r="B5285" s="1" t="s">
        <v>57</v>
      </c>
      <c r="C5285" s="1" t="str">
        <f t="shared" si="129"/>
        <v>020052</v>
      </c>
      <c r="D5285" s="1" t="str">
        <f>"512732223"</f>
        <v>512732223</v>
      </c>
      <c r="E5285" s="1">
        <v>0</v>
      </c>
      <c r="F5285" s="1">
        <v>0</v>
      </c>
      <c r="H5285" s="1">
        <v>0</v>
      </c>
    </row>
    <row r="5286" s="1" customFormat="1" spans="1:8">
      <c r="A5286" s="1" t="s">
        <v>37</v>
      </c>
      <c r="B5286" s="1" t="s">
        <v>57</v>
      </c>
      <c r="C5286" s="1" t="str">
        <f t="shared" si="129"/>
        <v>020052</v>
      </c>
      <c r="D5286" s="1" t="str">
        <f>"512732224"</f>
        <v>512732224</v>
      </c>
      <c r="E5286" s="1">
        <v>75.5</v>
      </c>
      <c r="F5286" s="1">
        <v>65</v>
      </c>
      <c r="H5286" s="1">
        <v>71.3</v>
      </c>
    </row>
    <row r="5287" s="1" customFormat="1" spans="1:8">
      <c r="A5287" s="1" t="s">
        <v>37</v>
      </c>
      <c r="B5287" s="1" t="s">
        <v>57</v>
      </c>
      <c r="C5287" s="1" t="str">
        <f t="shared" si="129"/>
        <v>020052</v>
      </c>
      <c r="D5287" s="1" t="str">
        <f>"512732225"</f>
        <v>512732225</v>
      </c>
      <c r="E5287" s="1">
        <v>90</v>
      </c>
      <c r="F5287" s="1">
        <v>74.5</v>
      </c>
      <c r="H5287" s="1">
        <v>83.8</v>
      </c>
    </row>
    <row r="5288" s="1" customFormat="1" spans="1:8">
      <c r="A5288" s="1" t="s">
        <v>37</v>
      </c>
      <c r="B5288" s="1" t="s">
        <v>57</v>
      </c>
      <c r="C5288" s="1" t="str">
        <f t="shared" si="129"/>
        <v>020052</v>
      </c>
      <c r="D5288" s="1" t="str">
        <f>"512732226"</f>
        <v>512732226</v>
      </c>
      <c r="E5288" s="1">
        <v>85.5</v>
      </c>
      <c r="F5288" s="1">
        <v>76.5</v>
      </c>
      <c r="H5288" s="1">
        <v>81.9</v>
      </c>
    </row>
    <row r="5289" s="1" customFormat="1" spans="1:8">
      <c r="A5289" s="1" t="s">
        <v>37</v>
      </c>
      <c r="B5289" s="1" t="s">
        <v>57</v>
      </c>
      <c r="C5289" s="1" t="str">
        <f t="shared" si="129"/>
        <v>020052</v>
      </c>
      <c r="D5289" s="1" t="str">
        <f>"512732227"</f>
        <v>512732227</v>
      </c>
      <c r="E5289" s="1">
        <v>70</v>
      </c>
      <c r="F5289" s="1">
        <v>77</v>
      </c>
      <c r="H5289" s="1">
        <v>72.8</v>
      </c>
    </row>
    <row r="5290" s="1" customFormat="1" spans="1:8">
      <c r="A5290" s="1" t="s">
        <v>37</v>
      </c>
      <c r="B5290" s="1" t="s">
        <v>57</v>
      </c>
      <c r="C5290" s="1" t="str">
        <f t="shared" si="129"/>
        <v>020052</v>
      </c>
      <c r="D5290" s="1" t="str">
        <f>"512732228"</f>
        <v>512732228</v>
      </c>
      <c r="E5290" s="1">
        <v>0</v>
      </c>
      <c r="F5290" s="1">
        <v>0</v>
      </c>
      <c r="H5290" s="1">
        <v>0</v>
      </c>
    </row>
    <row r="5291" s="1" customFormat="1" spans="1:8">
      <c r="A5291" s="1" t="s">
        <v>37</v>
      </c>
      <c r="B5291" s="1" t="s">
        <v>57</v>
      </c>
      <c r="C5291" s="1" t="str">
        <f t="shared" si="129"/>
        <v>020052</v>
      </c>
      <c r="D5291" s="1" t="str">
        <f>"512732229"</f>
        <v>512732229</v>
      </c>
      <c r="E5291" s="1">
        <v>79</v>
      </c>
      <c r="F5291" s="1">
        <v>89</v>
      </c>
      <c r="H5291" s="1">
        <v>83</v>
      </c>
    </row>
    <row r="5292" s="1" customFormat="1" spans="1:8">
      <c r="A5292" s="1" t="s">
        <v>37</v>
      </c>
      <c r="B5292" s="1" t="s">
        <v>57</v>
      </c>
      <c r="C5292" s="1" t="str">
        <f t="shared" si="129"/>
        <v>020052</v>
      </c>
      <c r="D5292" s="1" t="str">
        <f>"512732230"</f>
        <v>512732230</v>
      </c>
      <c r="E5292" s="1">
        <v>82.5</v>
      </c>
      <c r="F5292" s="1">
        <v>71.5</v>
      </c>
      <c r="H5292" s="1">
        <v>78.1</v>
      </c>
    </row>
    <row r="5293" s="1" customFormat="1" spans="1:8">
      <c r="A5293" s="1" t="s">
        <v>37</v>
      </c>
      <c r="B5293" s="1" t="s">
        <v>57</v>
      </c>
      <c r="C5293" s="1" t="str">
        <f t="shared" si="129"/>
        <v>020052</v>
      </c>
      <c r="D5293" s="1" t="str">
        <f>"512732301"</f>
        <v>512732301</v>
      </c>
      <c r="E5293" s="1">
        <v>71.5</v>
      </c>
      <c r="F5293" s="1">
        <v>70.5</v>
      </c>
      <c r="G5293" s="1">
        <v>2</v>
      </c>
      <c r="H5293" s="1">
        <v>73.1</v>
      </c>
    </row>
    <row r="5294" s="1" customFormat="1" spans="1:8">
      <c r="A5294" s="1" t="s">
        <v>37</v>
      </c>
      <c r="B5294" s="1" t="s">
        <v>57</v>
      </c>
      <c r="C5294" s="1" t="str">
        <f t="shared" si="129"/>
        <v>020052</v>
      </c>
      <c r="D5294" s="1" t="str">
        <f>"512732302"</f>
        <v>512732302</v>
      </c>
      <c r="E5294" s="1">
        <v>92.5</v>
      </c>
      <c r="F5294" s="1">
        <v>67</v>
      </c>
      <c r="H5294" s="1">
        <v>82.3</v>
      </c>
    </row>
    <row r="5295" s="1" customFormat="1" spans="1:8">
      <c r="A5295" s="1" t="s">
        <v>37</v>
      </c>
      <c r="B5295" s="1" t="s">
        <v>57</v>
      </c>
      <c r="C5295" s="1" t="str">
        <f t="shared" si="129"/>
        <v>020052</v>
      </c>
      <c r="D5295" s="1" t="str">
        <f>"512732303"</f>
        <v>512732303</v>
      </c>
      <c r="E5295" s="1">
        <v>0</v>
      </c>
      <c r="F5295" s="1">
        <v>0</v>
      </c>
      <c r="H5295" s="1">
        <v>0</v>
      </c>
    </row>
    <row r="5296" s="1" customFormat="1" spans="1:8">
      <c r="A5296" s="1" t="s">
        <v>37</v>
      </c>
      <c r="B5296" s="1" t="s">
        <v>57</v>
      </c>
      <c r="C5296" s="1" t="str">
        <f t="shared" si="129"/>
        <v>020052</v>
      </c>
      <c r="D5296" s="1" t="str">
        <f>"512732304"</f>
        <v>512732304</v>
      </c>
      <c r="E5296" s="1">
        <v>87</v>
      </c>
      <c r="F5296" s="1">
        <v>82.5</v>
      </c>
      <c r="H5296" s="1">
        <v>85.2</v>
      </c>
    </row>
    <row r="5297" s="1" customFormat="1" spans="1:8">
      <c r="A5297" s="1" t="s">
        <v>37</v>
      </c>
      <c r="B5297" s="1" t="s">
        <v>57</v>
      </c>
      <c r="C5297" s="1" t="str">
        <f t="shared" si="129"/>
        <v>020052</v>
      </c>
      <c r="D5297" s="1" t="str">
        <f>"512732305"</f>
        <v>512732305</v>
      </c>
      <c r="E5297" s="1">
        <v>77</v>
      </c>
      <c r="F5297" s="1">
        <v>65.5</v>
      </c>
      <c r="H5297" s="1">
        <v>72.4</v>
      </c>
    </row>
    <row r="5298" s="1" customFormat="1" spans="1:8">
      <c r="A5298" s="1" t="s">
        <v>37</v>
      </c>
      <c r="B5298" s="1" t="s">
        <v>57</v>
      </c>
      <c r="C5298" s="1" t="str">
        <f t="shared" si="129"/>
        <v>020052</v>
      </c>
      <c r="D5298" s="1" t="str">
        <f>"512732306"</f>
        <v>512732306</v>
      </c>
      <c r="E5298" s="1">
        <v>84.5</v>
      </c>
      <c r="F5298" s="1">
        <v>70</v>
      </c>
      <c r="H5298" s="1">
        <v>78.7</v>
      </c>
    </row>
    <row r="5299" s="1" customFormat="1" spans="1:8">
      <c r="A5299" s="1" t="s">
        <v>37</v>
      </c>
      <c r="B5299" s="1" t="s">
        <v>57</v>
      </c>
      <c r="C5299" s="1" t="str">
        <f t="shared" si="129"/>
        <v>020052</v>
      </c>
      <c r="D5299" s="1" t="str">
        <f>"512732307"</f>
        <v>512732307</v>
      </c>
      <c r="E5299" s="1">
        <v>86</v>
      </c>
      <c r="F5299" s="1">
        <v>64.5</v>
      </c>
      <c r="H5299" s="1">
        <v>77.4</v>
      </c>
    </row>
    <row r="5300" s="1" customFormat="1" spans="1:8">
      <c r="A5300" s="1" t="s">
        <v>37</v>
      </c>
      <c r="B5300" s="1" t="s">
        <v>57</v>
      </c>
      <c r="C5300" s="1" t="str">
        <f t="shared" si="129"/>
        <v>020052</v>
      </c>
      <c r="D5300" s="1" t="str">
        <f>"512732308"</f>
        <v>512732308</v>
      </c>
      <c r="E5300" s="1">
        <v>86.5</v>
      </c>
      <c r="F5300" s="1">
        <v>72</v>
      </c>
      <c r="H5300" s="1">
        <v>80.7</v>
      </c>
    </row>
    <row r="5301" s="1" customFormat="1" spans="1:8">
      <c r="A5301" s="1" t="s">
        <v>37</v>
      </c>
      <c r="B5301" s="1" t="s">
        <v>57</v>
      </c>
      <c r="C5301" s="1" t="str">
        <f t="shared" si="129"/>
        <v>020052</v>
      </c>
      <c r="D5301" s="1" t="str">
        <f>"512732309"</f>
        <v>512732309</v>
      </c>
      <c r="E5301" s="1">
        <v>0</v>
      </c>
      <c r="F5301" s="1">
        <v>0</v>
      </c>
      <c r="H5301" s="1">
        <v>0</v>
      </c>
    </row>
    <row r="5302" s="1" customFormat="1" spans="1:8">
      <c r="A5302" s="1" t="s">
        <v>37</v>
      </c>
      <c r="B5302" s="1" t="s">
        <v>57</v>
      </c>
      <c r="C5302" s="1" t="str">
        <f t="shared" si="129"/>
        <v>020052</v>
      </c>
      <c r="D5302" s="1" t="str">
        <f>"512732310"</f>
        <v>512732310</v>
      </c>
      <c r="E5302" s="1">
        <v>95</v>
      </c>
      <c r="F5302" s="1">
        <v>73</v>
      </c>
      <c r="H5302" s="1">
        <v>86.2</v>
      </c>
    </row>
    <row r="5303" s="1" customFormat="1" spans="1:8">
      <c r="A5303" s="1" t="s">
        <v>37</v>
      </c>
      <c r="B5303" s="1" t="s">
        <v>57</v>
      </c>
      <c r="C5303" s="1" t="str">
        <f t="shared" si="129"/>
        <v>020052</v>
      </c>
      <c r="D5303" s="1" t="str">
        <f>"512732311"</f>
        <v>512732311</v>
      </c>
      <c r="E5303" s="1">
        <v>82.5</v>
      </c>
      <c r="F5303" s="1">
        <v>70</v>
      </c>
      <c r="H5303" s="1">
        <v>77.5</v>
      </c>
    </row>
    <row r="5304" s="1" customFormat="1" spans="1:8">
      <c r="A5304" s="1" t="s">
        <v>37</v>
      </c>
      <c r="B5304" s="1" t="s">
        <v>57</v>
      </c>
      <c r="C5304" s="1" t="str">
        <f t="shared" si="129"/>
        <v>020052</v>
      </c>
      <c r="D5304" s="1" t="str">
        <f>"512732312"</f>
        <v>512732312</v>
      </c>
      <c r="E5304" s="1">
        <v>0</v>
      </c>
      <c r="F5304" s="1">
        <v>0</v>
      </c>
      <c r="H5304" s="1">
        <v>0</v>
      </c>
    </row>
    <row r="5305" s="1" customFormat="1" spans="1:8">
      <c r="A5305" s="1" t="s">
        <v>37</v>
      </c>
      <c r="B5305" s="1" t="s">
        <v>57</v>
      </c>
      <c r="C5305" s="1" t="str">
        <f t="shared" si="129"/>
        <v>020052</v>
      </c>
      <c r="D5305" s="1" t="str">
        <f>"512732313"</f>
        <v>512732313</v>
      </c>
      <c r="E5305" s="1">
        <v>0</v>
      </c>
      <c r="F5305" s="1">
        <v>0</v>
      </c>
      <c r="H5305" s="1">
        <v>0</v>
      </c>
    </row>
    <row r="5306" s="1" customFormat="1" spans="1:8">
      <c r="A5306" s="1" t="s">
        <v>37</v>
      </c>
      <c r="B5306" s="1" t="s">
        <v>57</v>
      </c>
      <c r="C5306" s="1" t="str">
        <f t="shared" si="129"/>
        <v>020052</v>
      </c>
      <c r="D5306" s="1" t="str">
        <f>"512732314"</f>
        <v>512732314</v>
      </c>
      <c r="E5306" s="1">
        <v>72</v>
      </c>
      <c r="F5306" s="1">
        <v>86.5</v>
      </c>
      <c r="H5306" s="1">
        <v>77.8</v>
      </c>
    </row>
    <row r="5307" s="1" customFormat="1" spans="1:8">
      <c r="A5307" s="1" t="s">
        <v>37</v>
      </c>
      <c r="B5307" s="1" t="s">
        <v>57</v>
      </c>
      <c r="C5307" s="1" t="str">
        <f t="shared" si="129"/>
        <v>020052</v>
      </c>
      <c r="D5307" s="1" t="str">
        <f>"512732315"</f>
        <v>512732315</v>
      </c>
      <c r="E5307" s="1">
        <v>75</v>
      </c>
      <c r="F5307" s="1">
        <v>68</v>
      </c>
      <c r="H5307" s="1">
        <v>72.2</v>
      </c>
    </row>
    <row r="5308" s="1" customFormat="1" spans="1:8">
      <c r="A5308" s="1" t="s">
        <v>37</v>
      </c>
      <c r="B5308" s="1" t="s">
        <v>57</v>
      </c>
      <c r="C5308" s="1" t="str">
        <f t="shared" si="129"/>
        <v>020052</v>
      </c>
      <c r="D5308" s="1" t="str">
        <f>"512732316"</f>
        <v>512732316</v>
      </c>
      <c r="E5308" s="1">
        <v>97.5</v>
      </c>
      <c r="F5308" s="1">
        <v>74.5</v>
      </c>
      <c r="H5308" s="1">
        <v>88.3</v>
      </c>
    </row>
    <row r="5309" s="1" customFormat="1" spans="1:8">
      <c r="A5309" s="1" t="s">
        <v>37</v>
      </c>
      <c r="B5309" s="1" t="s">
        <v>57</v>
      </c>
      <c r="C5309" s="1" t="str">
        <f t="shared" si="129"/>
        <v>020052</v>
      </c>
      <c r="D5309" s="1" t="str">
        <f>"512732317"</f>
        <v>512732317</v>
      </c>
      <c r="E5309" s="1">
        <v>95.5</v>
      </c>
      <c r="F5309" s="1">
        <v>67</v>
      </c>
      <c r="H5309" s="1">
        <v>84.1</v>
      </c>
    </row>
    <row r="5310" s="1" customFormat="1" spans="1:8">
      <c r="A5310" s="1" t="s">
        <v>37</v>
      </c>
      <c r="B5310" s="1" t="s">
        <v>57</v>
      </c>
      <c r="C5310" s="1" t="str">
        <f t="shared" si="129"/>
        <v>020052</v>
      </c>
      <c r="D5310" s="1" t="str">
        <f>"512732318"</f>
        <v>512732318</v>
      </c>
      <c r="E5310" s="1">
        <v>82.5</v>
      </c>
      <c r="F5310" s="1">
        <v>62</v>
      </c>
      <c r="H5310" s="1">
        <v>74.3</v>
      </c>
    </row>
    <row r="5311" s="1" customFormat="1" spans="1:8">
      <c r="A5311" s="1" t="s">
        <v>32</v>
      </c>
      <c r="B5311" s="1" t="s">
        <v>58</v>
      </c>
      <c r="C5311" s="1" t="str">
        <f t="shared" ref="C5311:C5327" si="130">"020020"</f>
        <v>020020</v>
      </c>
      <c r="D5311" s="1" t="str">
        <f>"512732801"</f>
        <v>512732801</v>
      </c>
      <c r="E5311" s="1">
        <v>80.5</v>
      </c>
      <c r="F5311" s="1">
        <v>88</v>
      </c>
      <c r="H5311" s="1">
        <v>83.5</v>
      </c>
    </row>
    <row r="5312" s="1" customFormat="1" spans="1:8">
      <c r="A5312" s="1" t="s">
        <v>32</v>
      </c>
      <c r="B5312" s="1" t="s">
        <v>58</v>
      </c>
      <c r="C5312" s="1" t="str">
        <f t="shared" si="130"/>
        <v>020020</v>
      </c>
      <c r="D5312" s="1" t="str">
        <f>"512732802"</f>
        <v>512732802</v>
      </c>
      <c r="E5312" s="1">
        <v>0</v>
      </c>
      <c r="F5312" s="1">
        <v>0</v>
      </c>
      <c r="H5312" s="1">
        <v>0</v>
      </c>
    </row>
    <row r="5313" s="1" customFormat="1" spans="1:8">
      <c r="A5313" s="1" t="s">
        <v>32</v>
      </c>
      <c r="B5313" s="1" t="s">
        <v>58</v>
      </c>
      <c r="C5313" s="1" t="str">
        <f t="shared" si="130"/>
        <v>020020</v>
      </c>
      <c r="D5313" s="1" t="str">
        <f>"512732803"</f>
        <v>512732803</v>
      </c>
      <c r="E5313" s="1">
        <v>94.5</v>
      </c>
      <c r="F5313" s="1">
        <v>89.5</v>
      </c>
      <c r="H5313" s="1">
        <v>92.5</v>
      </c>
    </row>
    <row r="5314" s="1" customFormat="1" spans="1:8">
      <c r="A5314" s="1" t="s">
        <v>32</v>
      </c>
      <c r="B5314" s="1" t="s">
        <v>58</v>
      </c>
      <c r="C5314" s="1" t="str">
        <f t="shared" si="130"/>
        <v>020020</v>
      </c>
      <c r="D5314" s="1" t="str">
        <f>"512732804"</f>
        <v>512732804</v>
      </c>
      <c r="E5314" s="1">
        <v>88</v>
      </c>
      <c r="F5314" s="1">
        <v>72.5</v>
      </c>
      <c r="H5314" s="1">
        <v>81.8</v>
      </c>
    </row>
    <row r="5315" s="1" customFormat="1" spans="1:8">
      <c r="A5315" s="1" t="s">
        <v>32</v>
      </c>
      <c r="B5315" s="1" t="s">
        <v>58</v>
      </c>
      <c r="C5315" s="1" t="str">
        <f t="shared" si="130"/>
        <v>020020</v>
      </c>
      <c r="D5315" s="1" t="str">
        <f>"512732805"</f>
        <v>512732805</v>
      </c>
      <c r="E5315" s="1">
        <v>90.5</v>
      </c>
      <c r="F5315" s="1">
        <v>90</v>
      </c>
      <c r="H5315" s="1">
        <v>90.3</v>
      </c>
    </row>
    <row r="5316" s="1" customFormat="1" spans="1:8">
      <c r="A5316" s="1" t="s">
        <v>32</v>
      </c>
      <c r="B5316" s="1" t="s">
        <v>58</v>
      </c>
      <c r="C5316" s="1" t="str">
        <f t="shared" si="130"/>
        <v>020020</v>
      </c>
      <c r="D5316" s="1" t="str">
        <f>"512732806"</f>
        <v>512732806</v>
      </c>
      <c r="E5316" s="1">
        <v>0</v>
      </c>
      <c r="F5316" s="1">
        <v>0</v>
      </c>
      <c r="H5316" s="1">
        <v>0</v>
      </c>
    </row>
    <row r="5317" s="1" customFormat="1" spans="1:8">
      <c r="A5317" s="1" t="s">
        <v>32</v>
      </c>
      <c r="B5317" s="1" t="s">
        <v>58</v>
      </c>
      <c r="C5317" s="1" t="str">
        <f t="shared" si="130"/>
        <v>020020</v>
      </c>
      <c r="D5317" s="1" t="str">
        <f>"512732807"</f>
        <v>512732807</v>
      </c>
      <c r="E5317" s="1">
        <v>59</v>
      </c>
      <c r="F5317" s="1">
        <v>0</v>
      </c>
      <c r="H5317" s="1">
        <v>35.4</v>
      </c>
    </row>
    <row r="5318" s="1" customFormat="1" spans="1:8">
      <c r="A5318" s="1" t="s">
        <v>32</v>
      </c>
      <c r="B5318" s="1" t="s">
        <v>58</v>
      </c>
      <c r="C5318" s="1" t="str">
        <f t="shared" si="130"/>
        <v>020020</v>
      </c>
      <c r="D5318" s="1" t="str">
        <f>"512732808"</f>
        <v>512732808</v>
      </c>
      <c r="E5318" s="1">
        <v>85</v>
      </c>
      <c r="F5318" s="1">
        <v>76.5</v>
      </c>
      <c r="H5318" s="1">
        <v>81.6</v>
      </c>
    </row>
    <row r="5319" s="1" customFormat="1" spans="1:8">
      <c r="A5319" s="1" t="s">
        <v>32</v>
      </c>
      <c r="B5319" s="1" t="s">
        <v>58</v>
      </c>
      <c r="C5319" s="1" t="str">
        <f t="shared" si="130"/>
        <v>020020</v>
      </c>
      <c r="D5319" s="1" t="str">
        <f>"512732809"</f>
        <v>512732809</v>
      </c>
      <c r="E5319" s="1">
        <v>0</v>
      </c>
      <c r="F5319" s="1">
        <v>0</v>
      </c>
      <c r="H5319" s="1">
        <v>0</v>
      </c>
    </row>
    <row r="5320" s="1" customFormat="1" spans="1:8">
      <c r="A5320" s="1" t="s">
        <v>32</v>
      </c>
      <c r="B5320" s="1" t="s">
        <v>58</v>
      </c>
      <c r="C5320" s="1" t="str">
        <f t="shared" si="130"/>
        <v>020020</v>
      </c>
      <c r="D5320" s="1" t="str">
        <f>"512732810"</f>
        <v>512732810</v>
      </c>
      <c r="E5320" s="1">
        <v>84</v>
      </c>
      <c r="F5320" s="1">
        <v>68.5</v>
      </c>
      <c r="H5320" s="1">
        <v>77.8</v>
      </c>
    </row>
    <row r="5321" s="1" customFormat="1" spans="1:8">
      <c r="A5321" s="1" t="s">
        <v>32</v>
      </c>
      <c r="B5321" s="1" t="s">
        <v>58</v>
      </c>
      <c r="C5321" s="1" t="str">
        <f t="shared" si="130"/>
        <v>020020</v>
      </c>
      <c r="D5321" s="1" t="str">
        <f>"512732811"</f>
        <v>512732811</v>
      </c>
      <c r="E5321" s="1">
        <v>0</v>
      </c>
      <c r="F5321" s="1">
        <v>0</v>
      </c>
      <c r="H5321" s="1">
        <v>0</v>
      </c>
    </row>
    <row r="5322" s="1" customFormat="1" spans="1:8">
      <c r="A5322" s="1" t="s">
        <v>32</v>
      </c>
      <c r="B5322" s="1" t="s">
        <v>58</v>
      </c>
      <c r="C5322" s="1" t="str">
        <f t="shared" si="130"/>
        <v>020020</v>
      </c>
      <c r="D5322" s="1" t="str">
        <f>"512732812"</f>
        <v>512732812</v>
      </c>
      <c r="E5322" s="1">
        <v>77</v>
      </c>
      <c r="F5322" s="1">
        <v>62</v>
      </c>
      <c r="H5322" s="1">
        <v>71</v>
      </c>
    </row>
    <row r="5323" s="1" customFormat="1" spans="1:8">
      <c r="A5323" s="1" t="s">
        <v>32</v>
      </c>
      <c r="B5323" s="1" t="s">
        <v>58</v>
      </c>
      <c r="C5323" s="1" t="str">
        <f t="shared" si="130"/>
        <v>020020</v>
      </c>
      <c r="D5323" s="1" t="str">
        <f>"512732813"</f>
        <v>512732813</v>
      </c>
      <c r="E5323" s="1">
        <v>91</v>
      </c>
      <c r="F5323" s="1">
        <v>79</v>
      </c>
      <c r="H5323" s="1">
        <v>86.2</v>
      </c>
    </row>
    <row r="5324" s="1" customFormat="1" spans="1:8">
      <c r="A5324" s="1" t="s">
        <v>32</v>
      </c>
      <c r="B5324" s="1" t="s">
        <v>58</v>
      </c>
      <c r="C5324" s="1" t="str">
        <f t="shared" si="130"/>
        <v>020020</v>
      </c>
      <c r="D5324" s="1" t="str">
        <f>"512732814"</f>
        <v>512732814</v>
      </c>
      <c r="E5324" s="1">
        <v>0</v>
      </c>
      <c r="F5324" s="1">
        <v>0</v>
      </c>
      <c r="H5324" s="1">
        <v>0</v>
      </c>
    </row>
    <row r="5325" s="1" customFormat="1" spans="1:8">
      <c r="A5325" s="1" t="s">
        <v>32</v>
      </c>
      <c r="B5325" s="1" t="s">
        <v>58</v>
      </c>
      <c r="C5325" s="1" t="str">
        <f t="shared" si="130"/>
        <v>020020</v>
      </c>
      <c r="D5325" s="1" t="str">
        <f>"512732815"</f>
        <v>512732815</v>
      </c>
      <c r="E5325" s="1">
        <v>0</v>
      </c>
      <c r="F5325" s="1">
        <v>0</v>
      </c>
      <c r="H5325" s="1">
        <v>0</v>
      </c>
    </row>
    <row r="5326" s="1" customFormat="1" spans="1:8">
      <c r="A5326" s="1" t="s">
        <v>32</v>
      </c>
      <c r="B5326" s="1" t="s">
        <v>58</v>
      </c>
      <c r="C5326" s="1" t="str">
        <f t="shared" si="130"/>
        <v>020020</v>
      </c>
      <c r="D5326" s="1" t="str">
        <f>"512732816"</f>
        <v>512732816</v>
      </c>
      <c r="E5326" s="1">
        <v>87</v>
      </c>
      <c r="F5326" s="1">
        <v>73</v>
      </c>
      <c r="H5326" s="1">
        <v>81.4</v>
      </c>
    </row>
    <row r="5327" s="1" customFormat="1" spans="1:8">
      <c r="A5327" s="1" t="s">
        <v>32</v>
      </c>
      <c r="B5327" s="1" t="s">
        <v>58</v>
      </c>
      <c r="C5327" s="1" t="str">
        <f t="shared" si="130"/>
        <v>020020</v>
      </c>
      <c r="D5327" s="1" t="str">
        <f>"512732817"</f>
        <v>512732817</v>
      </c>
      <c r="E5327" s="1">
        <v>0</v>
      </c>
      <c r="F5327" s="1">
        <v>0</v>
      </c>
      <c r="H5327" s="1">
        <v>0</v>
      </c>
    </row>
    <row r="5328" s="1" customFormat="1" spans="1:8">
      <c r="A5328" s="1" t="s">
        <v>32</v>
      </c>
      <c r="B5328" s="1" t="s">
        <v>59</v>
      </c>
      <c r="C5328" s="1" t="str">
        <f t="shared" ref="C5328:C5391" si="131">"020023"</f>
        <v>020023</v>
      </c>
      <c r="D5328" s="1" t="str">
        <f>"512733401"</f>
        <v>512733401</v>
      </c>
      <c r="E5328" s="1">
        <v>0</v>
      </c>
      <c r="F5328" s="1">
        <v>0</v>
      </c>
      <c r="H5328" s="1">
        <v>0</v>
      </c>
    </row>
    <row r="5329" s="1" customFormat="1" spans="1:8">
      <c r="A5329" s="1" t="s">
        <v>32</v>
      </c>
      <c r="B5329" s="1" t="s">
        <v>59</v>
      </c>
      <c r="C5329" s="1" t="str">
        <f t="shared" si="131"/>
        <v>020023</v>
      </c>
      <c r="D5329" s="1" t="str">
        <f>"512733402"</f>
        <v>512733402</v>
      </c>
      <c r="E5329" s="1">
        <v>0</v>
      </c>
      <c r="F5329" s="1">
        <v>0</v>
      </c>
      <c r="H5329" s="1">
        <v>0</v>
      </c>
    </row>
    <row r="5330" s="1" customFormat="1" spans="1:8">
      <c r="A5330" s="1" t="s">
        <v>32</v>
      </c>
      <c r="B5330" s="1" t="s">
        <v>59</v>
      </c>
      <c r="C5330" s="1" t="str">
        <f t="shared" si="131"/>
        <v>020023</v>
      </c>
      <c r="D5330" s="1" t="str">
        <f>"512733403"</f>
        <v>512733403</v>
      </c>
      <c r="E5330" s="1">
        <v>99.5</v>
      </c>
      <c r="F5330" s="1">
        <v>88</v>
      </c>
      <c r="H5330" s="1">
        <v>94.9</v>
      </c>
    </row>
    <row r="5331" s="1" customFormat="1" spans="1:8">
      <c r="A5331" s="1" t="s">
        <v>32</v>
      </c>
      <c r="B5331" s="1" t="s">
        <v>59</v>
      </c>
      <c r="C5331" s="1" t="str">
        <f t="shared" si="131"/>
        <v>020023</v>
      </c>
      <c r="D5331" s="1" t="str">
        <f>"512733404"</f>
        <v>512733404</v>
      </c>
      <c r="E5331" s="1">
        <v>61</v>
      </c>
      <c r="F5331" s="1">
        <v>65.5</v>
      </c>
      <c r="H5331" s="1">
        <v>62.8</v>
      </c>
    </row>
    <row r="5332" s="1" customFormat="1" spans="1:8">
      <c r="A5332" s="1" t="s">
        <v>32</v>
      </c>
      <c r="B5332" s="1" t="s">
        <v>59</v>
      </c>
      <c r="C5332" s="1" t="str">
        <f t="shared" si="131"/>
        <v>020023</v>
      </c>
      <c r="D5332" s="1" t="str">
        <f>"512733405"</f>
        <v>512733405</v>
      </c>
      <c r="E5332" s="1">
        <v>69</v>
      </c>
      <c r="F5332" s="1">
        <v>69</v>
      </c>
      <c r="H5332" s="1">
        <v>69</v>
      </c>
    </row>
    <row r="5333" s="1" customFormat="1" spans="1:8">
      <c r="A5333" s="1" t="s">
        <v>32</v>
      </c>
      <c r="B5333" s="1" t="s">
        <v>59</v>
      </c>
      <c r="C5333" s="1" t="str">
        <f t="shared" si="131"/>
        <v>020023</v>
      </c>
      <c r="D5333" s="1" t="str">
        <f>"512733406"</f>
        <v>512733406</v>
      </c>
      <c r="E5333" s="1">
        <v>61</v>
      </c>
      <c r="F5333" s="1">
        <v>69.5</v>
      </c>
      <c r="H5333" s="1">
        <v>64.4</v>
      </c>
    </row>
    <row r="5334" s="1" customFormat="1" spans="1:8">
      <c r="A5334" s="1" t="s">
        <v>32</v>
      </c>
      <c r="B5334" s="1" t="s">
        <v>59</v>
      </c>
      <c r="C5334" s="1" t="str">
        <f t="shared" si="131"/>
        <v>020023</v>
      </c>
      <c r="D5334" s="1" t="str">
        <f>"512733407"</f>
        <v>512733407</v>
      </c>
      <c r="E5334" s="1">
        <v>47</v>
      </c>
      <c r="F5334" s="1">
        <v>67.5</v>
      </c>
      <c r="H5334" s="1">
        <v>55.2</v>
      </c>
    </row>
    <row r="5335" s="1" customFormat="1" spans="1:8">
      <c r="A5335" s="1" t="s">
        <v>32</v>
      </c>
      <c r="B5335" s="1" t="s">
        <v>59</v>
      </c>
      <c r="C5335" s="1" t="str">
        <f t="shared" si="131"/>
        <v>020023</v>
      </c>
      <c r="D5335" s="1" t="str">
        <f>"512733408"</f>
        <v>512733408</v>
      </c>
      <c r="E5335" s="1">
        <v>94.5</v>
      </c>
      <c r="F5335" s="1">
        <v>86.5</v>
      </c>
      <c r="H5335" s="1">
        <v>91.3</v>
      </c>
    </row>
    <row r="5336" s="1" customFormat="1" spans="1:8">
      <c r="A5336" s="1" t="s">
        <v>32</v>
      </c>
      <c r="B5336" s="1" t="s">
        <v>59</v>
      </c>
      <c r="C5336" s="1" t="str">
        <f t="shared" si="131"/>
        <v>020023</v>
      </c>
      <c r="D5336" s="1" t="str">
        <f>"512733409"</f>
        <v>512733409</v>
      </c>
      <c r="E5336" s="1">
        <v>78.5</v>
      </c>
      <c r="F5336" s="1">
        <v>69.5</v>
      </c>
      <c r="H5336" s="1">
        <v>74.9</v>
      </c>
    </row>
    <row r="5337" s="1" customFormat="1" spans="1:8">
      <c r="A5337" s="1" t="s">
        <v>32</v>
      </c>
      <c r="B5337" s="1" t="s">
        <v>59</v>
      </c>
      <c r="C5337" s="1" t="str">
        <f t="shared" si="131"/>
        <v>020023</v>
      </c>
      <c r="D5337" s="1" t="str">
        <f>"512733410"</f>
        <v>512733410</v>
      </c>
      <c r="E5337" s="1">
        <v>57</v>
      </c>
      <c r="F5337" s="1">
        <v>62</v>
      </c>
      <c r="H5337" s="1">
        <v>59</v>
      </c>
    </row>
    <row r="5338" s="1" customFormat="1" spans="1:8">
      <c r="A5338" s="1" t="s">
        <v>32</v>
      </c>
      <c r="B5338" s="1" t="s">
        <v>59</v>
      </c>
      <c r="C5338" s="1" t="str">
        <f t="shared" si="131"/>
        <v>020023</v>
      </c>
      <c r="D5338" s="1" t="str">
        <f>"512733411"</f>
        <v>512733411</v>
      </c>
      <c r="E5338" s="1">
        <v>93.5</v>
      </c>
      <c r="F5338" s="1">
        <v>87.5</v>
      </c>
      <c r="H5338" s="1">
        <v>91.1</v>
      </c>
    </row>
    <row r="5339" s="1" customFormat="1" spans="1:8">
      <c r="A5339" s="1" t="s">
        <v>32</v>
      </c>
      <c r="B5339" s="1" t="s">
        <v>59</v>
      </c>
      <c r="C5339" s="1" t="str">
        <f t="shared" si="131"/>
        <v>020023</v>
      </c>
      <c r="D5339" s="1" t="str">
        <f>"512733412"</f>
        <v>512733412</v>
      </c>
      <c r="E5339" s="1">
        <v>60</v>
      </c>
      <c r="F5339" s="1">
        <v>59</v>
      </c>
      <c r="H5339" s="1">
        <v>59.6</v>
      </c>
    </row>
    <row r="5340" s="1" customFormat="1" spans="1:8">
      <c r="A5340" s="1" t="s">
        <v>32</v>
      </c>
      <c r="B5340" s="1" t="s">
        <v>59</v>
      </c>
      <c r="C5340" s="1" t="str">
        <f t="shared" si="131"/>
        <v>020023</v>
      </c>
      <c r="D5340" s="1" t="str">
        <f>"512733413"</f>
        <v>512733413</v>
      </c>
      <c r="E5340" s="1">
        <v>68.5</v>
      </c>
      <c r="F5340" s="1">
        <v>77.5</v>
      </c>
      <c r="H5340" s="1">
        <v>72.1</v>
      </c>
    </row>
    <row r="5341" s="1" customFormat="1" spans="1:8">
      <c r="A5341" s="1" t="s">
        <v>32</v>
      </c>
      <c r="B5341" s="1" t="s">
        <v>59</v>
      </c>
      <c r="C5341" s="1" t="str">
        <f t="shared" si="131"/>
        <v>020023</v>
      </c>
      <c r="D5341" s="1" t="str">
        <f>"512733414"</f>
        <v>512733414</v>
      </c>
      <c r="E5341" s="1">
        <v>78.5</v>
      </c>
      <c r="F5341" s="1">
        <v>70</v>
      </c>
      <c r="H5341" s="1">
        <v>75.1</v>
      </c>
    </row>
    <row r="5342" s="1" customFormat="1" spans="1:8">
      <c r="A5342" s="1" t="s">
        <v>32</v>
      </c>
      <c r="B5342" s="1" t="s">
        <v>59</v>
      </c>
      <c r="C5342" s="1" t="str">
        <f t="shared" si="131"/>
        <v>020023</v>
      </c>
      <c r="D5342" s="1" t="str">
        <f>"512733415"</f>
        <v>512733415</v>
      </c>
      <c r="E5342" s="1">
        <v>0</v>
      </c>
      <c r="F5342" s="1">
        <v>0</v>
      </c>
      <c r="H5342" s="1">
        <v>0</v>
      </c>
    </row>
    <row r="5343" s="1" customFormat="1" spans="1:8">
      <c r="A5343" s="1" t="s">
        <v>32</v>
      </c>
      <c r="B5343" s="1" t="s">
        <v>59</v>
      </c>
      <c r="C5343" s="1" t="str">
        <f t="shared" si="131"/>
        <v>020023</v>
      </c>
      <c r="D5343" s="1" t="str">
        <f>"512733416"</f>
        <v>512733416</v>
      </c>
      <c r="E5343" s="1">
        <v>69.5</v>
      </c>
      <c r="F5343" s="1">
        <v>54.5</v>
      </c>
      <c r="H5343" s="1">
        <v>63.5</v>
      </c>
    </row>
    <row r="5344" s="1" customFormat="1" spans="1:8">
      <c r="A5344" s="1" t="s">
        <v>32</v>
      </c>
      <c r="B5344" s="1" t="s">
        <v>59</v>
      </c>
      <c r="C5344" s="1" t="str">
        <f t="shared" si="131"/>
        <v>020023</v>
      </c>
      <c r="D5344" s="1" t="str">
        <f>"512733417"</f>
        <v>512733417</v>
      </c>
      <c r="E5344" s="1">
        <v>84</v>
      </c>
      <c r="F5344" s="1">
        <v>73.5</v>
      </c>
      <c r="H5344" s="1">
        <v>79.8</v>
      </c>
    </row>
    <row r="5345" s="1" customFormat="1" spans="1:8">
      <c r="A5345" s="1" t="s">
        <v>32</v>
      </c>
      <c r="B5345" s="1" t="s">
        <v>59</v>
      </c>
      <c r="C5345" s="1" t="str">
        <f t="shared" si="131"/>
        <v>020023</v>
      </c>
      <c r="D5345" s="1" t="str">
        <f>"512733418"</f>
        <v>512733418</v>
      </c>
      <c r="E5345" s="1">
        <v>51.5</v>
      </c>
      <c r="F5345" s="1">
        <v>70</v>
      </c>
      <c r="H5345" s="1">
        <v>58.9</v>
      </c>
    </row>
    <row r="5346" s="1" customFormat="1" spans="1:8">
      <c r="A5346" s="1" t="s">
        <v>32</v>
      </c>
      <c r="B5346" s="1" t="s">
        <v>59</v>
      </c>
      <c r="C5346" s="1" t="str">
        <f t="shared" si="131"/>
        <v>020023</v>
      </c>
      <c r="D5346" s="1" t="str">
        <f>"512733419"</f>
        <v>512733419</v>
      </c>
      <c r="E5346" s="1">
        <v>80.5</v>
      </c>
      <c r="F5346" s="1">
        <v>81</v>
      </c>
      <c r="H5346" s="1">
        <v>80.7</v>
      </c>
    </row>
    <row r="5347" s="1" customFormat="1" spans="1:8">
      <c r="A5347" s="1" t="s">
        <v>32</v>
      </c>
      <c r="B5347" s="1" t="s">
        <v>59</v>
      </c>
      <c r="C5347" s="1" t="str">
        <f t="shared" si="131"/>
        <v>020023</v>
      </c>
      <c r="D5347" s="1" t="str">
        <f>"512733420"</f>
        <v>512733420</v>
      </c>
      <c r="E5347" s="1">
        <v>32.5</v>
      </c>
      <c r="F5347" s="1">
        <v>57</v>
      </c>
      <c r="H5347" s="1">
        <v>42.3</v>
      </c>
    </row>
    <row r="5348" s="1" customFormat="1" spans="1:8">
      <c r="A5348" s="1" t="s">
        <v>32</v>
      </c>
      <c r="B5348" s="1" t="s">
        <v>59</v>
      </c>
      <c r="C5348" s="1" t="str">
        <f t="shared" si="131"/>
        <v>020023</v>
      </c>
      <c r="D5348" s="1" t="str">
        <f>"512733421"</f>
        <v>512733421</v>
      </c>
      <c r="E5348" s="1">
        <v>0</v>
      </c>
      <c r="F5348" s="1">
        <v>0</v>
      </c>
      <c r="H5348" s="1">
        <v>0</v>
      </c>
    </row>
    <row r="5349" s="1" customFormat="1" spans="1:8">
      <c r="A5349" s="1" t="s">
        <v>32</v>
      </c>
      <c r="B5349" s="1" t="s">
        <v>59</v>
      </c>
      <c r="C5349" s="1" t="str">
        <f t="shared" si="131"/>
        <v>020023</v>
      </c>
      <c r="D5349" s="1" t="str">
        <f>"512733422"</f>
        <v>512733422</v>
      </c>
      <c r="E5349" s="1">
        <v>86.5</v>
      </c>
      <c r="F5349" s="1">
        <v>71.5</v>
      </c>
      <c r="H5349" s="1">
        <v>80.5</v>
      </c>
    </row>
    <row r="5350" s="1" customFormat="1" spans="1:8">
      <c r="A5350" s="1" t="s">
        <v>32</v>
      </c>
      <c r="B5350" s="1" t="s">
        <v>59</v>
      </c>
      <c r="C5350" s="1" t="str">
        <f t="shared" si="131"/>
        <v>020023</v>
      </c>
      <c r="D5350" s="1" t="str">
        <f>"512733423"</f>
        <v>512733423</v>
      </c>
      <c r="E5350" s="1">
        <v>102</v>
      </c>
      <c r="F5350" s="1">
        <v>85</v>
      </c>
      <c r="H5350" s="1">
        <v>95.2</v>
      </c>
    </row>
    <row r="5351" s="1" customFormat="1" spans="1:8">
      <c r="A5351" s="1" t="s">
        <v>32</v>
      </c>
      <c r="B5351" s="1" t="s">
        <v>59</v>
      </c>
      <c r="C5351" s="1" t="str">
        <f t="shared" si="131"/>
        <v>020023</v>
      </c>
      <c r="D5351" s="1" t="str">
        <f>"512733424"</f>
        <v>512733424</v>
      </c>
      <c r="E5351" s="1">
        <v>0</v>
      </c>
      <c r="F5351" s="1">
        <v>0</v>
      </c>
      <c r="H5351" s="1">
        <v>0</v>
      </c>
    </row>
    <row r="5352" s="1" customFormat="1" spans="1:8">
      <c r="A5352" s="1" t="s">
        <v>32</v>
      </c>
      <c r="B5352" s="1" t="s">
        <v>59</v>
      </c>
      <c r="C5352" s="1" t="str">
        <f t="shared" si="131"/>
        <v>020023</v>
      </c>
      <c r="D5352" s="1" t="str">
        <f>"512733425"</f>
        <v>512733425</v>
      </c>
      <c r="E5352" s="1">
        <v>58</v>
      </c>
      <c r="F5352" s="1">
        <v>62</v>
      </c>
      <c r="H5352" s="1">
        <v>59.6</v>
      </c>
    </row>
    <row r="5353" s="1" customFormat="1" spans="1:8">
      <c r="A5353" s="1" t="s">
        <v>32</v>
      </c>
      <c r="B5353" s="1" t="s">
        <v>59</v>
      </c>
      <c r="C5353" s="1" t="str">
        <f t="shared" si="131"/>
        <v>020023</v>
      </c>
      <c r="D5353" s="1" t="str">
        <f>"512733426"</f>
        <v>512733426</v>
      </c>
      <c r="E5353" s="1">
        <v>79.5</v>
      </c>
      <c r="F5353" s="1">
        <v>77.5</v>
      </c>
      <c r="H5353" s="1">
        <v>78.7</v>
      </c>
    </row>
    <row r="5354" s="1" customFormat="1" spans="1:8">
      <c r="A5354" s="1" t="s">
        <v>32</v>
      </c>
      <c r="B5354" s="1" t="s">
        <v>59</v>
      </c>
      <c r="C5354" s="1" t="str">
        <f t="shared" si="131"/>
        <v>020023</v>
      </c>
      <c r="D5354" s="1" t="str">
        <f>"512733427"</f>
        <v>512733427</v>
      </c>
      <c r="E5354" s="1">
        <v>77</v>
      </c>
      <c r="F5354" s="1">
        <v>0</v>
      </c>
      <c r="H5354" s="1">
        <v>46.2</v>
      </c>
    </row>
    <row r="5355" s="1" customFormat="1" spans="1:8">
      <c r="A5355" s="1" t="s">
        <v>32</v>
      </c>
      <c r="B5355" s="1" t="s">
        <v>59</v>
      </c>
      <c r="C5355" s="1" t="str">
        <f t="shared" si="131"/>
        <v>020023</v>
      </c>
      <c r="D5355" s="1" t="str">
        <f>"512733428"</f>
        <v>512733428</v>
      </c>
      <c r="E5355" s="1">
        <v>82</v>
      </c>
      <c r="F5355" s="1">
        <v>70</v>
      </c>
      <c r="G5355" s="1">
        <v>2</v>
      </c>
      <c r="H5355" s="1">
        <v>79.2</v>
      </c>
    </row>
    <row r="5356" s="1" customFormat="1" spans="1:8">
      <c r="A5356" s="1" t="s">
        <v>32</v>
      </c>
      <c r="B5356" s="1" t="s">
        <v>59</v>
      </c>
      <c r="C5356" s="1" t="str">
        <f t="shared" si="131"/>
        <v>020023</v>
      </c>
      <c r="D5356" s="1" t="str">
        <f>"512733429"</f>
        <v>512733429</v>
      </c>
      <c r="E5356" s="1">
        <v>69.5</v>
      </c>
      <c r="F5356" s="1">
        <v>84</v>
      </c>
      <c r="H5356" s="1">
        <v>75.3</v>
      </c>
    </row>
    <row r="5357" s="1" customFormat="1" spans="1:8">
      <c r="A5357" s="1" t="s">
        <v>32</v>
      </c>
      <c r="B5357" s="1" t="s">
        <v>59</v>
      </c>
      <c r="C5357" s="1" t="str">
        <f t="shared" si="131"/>
        <v>020023</v>
      </c>
      <c r="D5357" s="1" t="str">
        <f>"512733430"</f>
        <v>512733430</v>
      </c>
      <c r="E5357" s="1">
        <v>67.5</v>
      </c>
      <c r="F5357" s="1">
        <v>63.5</v>
      </c>
      <c r="H5357" s="1">
        <v>65.9</v>
      </c>
    </row>
    <row r="5358" s="1" customFormat="1" spans="1:8">
      <c r="A5358" s="1" t="s">
        <v>32</v>
      </c>
      <c r="B5358" s="1" t="s">
        <v>59</v>
      </c>
      <c r="C5358" s="1" t="str">
        <f t="shared" si="131"/>
        <v>020023</v>
      </c>
      <c r="D5358" s="1" t="str">
        <f>"512733501"</f>
        <v>512733501</v>
      </c>
      <c r="E5358" s="1">
        <v>92.5</v>
      </c>
      <c r="F5358" s="1">
        <v>96.5</v>
      </c>
      <c r="H5358" s="1">
        <v>94.1</v>
      </c>
    </row>
    <row r="5359" s="1" customFormat="1" spans="1:8">
      <c r="A5359" s="1" t="s">
        <v>32</v>
      </c>
      <c r="B5359" s="1" t="s">
        <v>59</v>
      </c>
      <c r="C5359" s="1" t="str">
        <f t="shared" si="131"/>
        <v>020023</v>
      </c>
      <c r="D5359" s="1" t="str">
        <f>"512733502"</f>
        <v>512733502</v>
      </c>
      <c r="E5359" s="1">
        <v>90</v>
      </c>
      <c r="F5359" s="1">
        <v>88.5</v>
      </c>
      <c r="H5359" s="1">
        <v>89.4</v>
      </c>
    </row>
    <row r="5360" s="1" customFormat="1" spans="1:8">
      <c r="A5360" s="1" t="s">
        <v>32</v>
      </c>
      <c r="B5360" s="1" t="s">
        <v>59</v>
      </c>
      <c r="C5360" s="1" t="str">
        <f t="shared" si="131"/>
        <v>020023</v>
      </c>
      <c r="D5360" s="1" t="str">
        <f>"512733503"</f>
        <v>512733503</v>
      </c>
      <c r="E5360" s="1">
        <v>0</v>
      </c>
      <c r="F5360" s="1">
        <v>0</v>
      </c>
      <c r="H5360" s="1">
        <v>0</v>
      </c>
    </row>
    <row r="5361" s="1" customFormat="1" spans="1:8">
      <c r="A5361" s="1" t="s">
        <v>32</v>
      </c>
      <c r="B5361" s="1" t="s">
        <v>59</v>
      </c>
      <c r="C5361" s="1" t="str">
        <f t="shared" si="131"/>
        <v>020023</v>
      </c>
      <c r="D5361" s="1" t="str">
        <f>"512733504"</f>
        <v>512733504</v>
      </c>
      <c r="E5361" s="1">
        <v>84.5</v>
      </c>
      <c r="F5361" s="1">
        <v>87</v>
      </c>
      <c r="H5361" s="1">
        <v>85.5</v>
      </c>
    </row>
    <row r="5362" s="1" customFormat="1" spans="1:8">
      <c r="A5362" s="1" t="s">
        <v>32</v>
      </c>
      <c r="B5362" s="1" t="s">
        <v>59</v>
      </c>
      <c r="C5362" s="1" t="str">
        <f t="shared" si="131"/>
        <v>020023</v>
      </c>
      <c r="D5362" s="1" t="str">
        <f>"512733505"</f>
        <v>512733505</v>
      </c>
      <c r="E5362" s="1">
        <v>49.5</v>
      </c>
      <c r="F5362" s="1">
        <v>54.5</v>
      </c>
      <c r="H5362" s="1">
        <v>51.5</v>
      </c>
    </row>
    <row r="5363" s="1" customFormat="1" spans="1:8">
      <c r="A5363" s="1" t="s">
        <v>32</v>
      </c>
      <c r="B5363" s="1" t="s">
        <v>59</v>
      </c>
      <c r="C5363" s="1" t="str">
        <f t="shared" si="131"/>
        <v>020023</v>
      </c>
      <c r="D5363" s="1" t="str">
        <f>"512733506"</f>
        <v>512733506</v>
      </c>
      <c r="E5363" s="1">
        <v>68</v>
      </c>
      <c r="F5363" s="1">
        <v>58</v>
      </c>
      <c r="H5363" s="1">
        <v>64</v>
      </c>
    </row>
    <row r="5364" s="1" customFormat="1" spans="1:8">
      <c r="A5364" s="1" t="s">
        <v>32</v>
      </c>
      <c r="B5364" s="1" t="s">
        <v>59</v>
      </c>
      <c r="C5364" s="1" t="str">
        <f t="shared" si="131"/>
        <v>020023</v>
      </c>
      <c r="D5364" s="1" t="str">
        <f>"512733507"</f>
        <v>512733507</v>
      </c>
      <c r="E5364" s="1">
        <v>93</v>
      </c>
      <c r="F5364" s="1">
        <v>85.5</v>
      </c>
      <c r="H5364" s="1">
        <v>90</v>
      </c>
    </row>
    <row r="5365" s="1" customFormat="1" spans="1:8">
      <c r="A5365" s="1" t="s">
        <v>32</v>
      </c>
      <c r="B5365" s="1" t="s">
        <v>59</v>
      </c>
      <c r="C5365" s="1" t="str">
        <f t="shared" si="131"/>
        <v>020023</v>
      </c>
      <c r="D5365" s="1" t="str">
        <f>"512733508"</f>
        <v>512733508</v>
      </c>
      <c r="E5365" s="1">
        <v>93</v>
      </c>
      <c r="F5365" s="1">
        <v>85</v>
      </c>
      <c r="H5365" s="1">
        <v>89.8</v>
      </c>
    </row>
    <row r="5366" s="1" customFormat="1" spans="1:8">
      <c r="A5366" s="1" t="s">
        <v>32</v>
      </c>
      <c r="B5366" s="1" t="s">
        <v>59</v>
      </c>
      <c r="C5366" s="1" t="str">
        <f t="shared" si="131"/>
        <v>020023</v>
      </c>
      <c r="D5366" s="1" t="str">
        <f>"512733509"</f>
        <v>512733509</v>
      </c>
      <c r="E5366" s="1">
        <v>73.5</v>
      </c>
      <c r="F5366" s="1">
        <v>76</v>
      </c>
      <c r="H5366" s="1">
        <v>74.5</v>
      </c>
    </row>
    <row r="5367" s="1" customFormat="1" spans="1:8">
      <c r="A5367" s="1" t="s">
        <v>32</v>
      </c>
      <c r="B5367" s="1" t="s">
        <v>59</v>
      </c>
      <c r="C5367" s="1" t="str">
        <f t="shared" si="131"/>
        <v>020023</v>
      </c>
      <c r="D5367" s="1" t="str">
        <f>"512733510"</f>
        <v>512733510</v>
      </c>
      <c r="E5367" s="1">
        <v>64</v>
      </c>
      <c r="F5367" s="1">
        <v>76.5</v>
      </c>
      <c r="H5367" s="1">
        <v>69</v>
      </c>
    </row>
    <row r="5368" s="1" customFormat="1" spans="1:8">
      <c r="A5368" s="1" t="s">
        <v>32</v>
      </c>
      <c r="B5368" s="1" t="s">
        <v>59</v>
      </c>
      <c r="C5368" s="1" t="str">
        <f t="shared" si="131"/>
        <v>020023</v>
      </c>
      <c r="D5368" s="1" t="str">
        <f>"512733511"</f>
        <v>512733511</v>
      </c>
      <c r="E5368" s="1">
        <v>89</v>
      </c>
      <c r="F5368" s="1">
        <v>78</v>
      </c>
      <c r="H5368" s="1">
        <v>84.6</v>
      </c>
    </row>
    <row r="5369" s="1" customFormat="1" spans="1:8">
      <c r="A5369" s="1" t="s">
        <v>32</v>
      </c>
      <c r="B5369" s="1" t="s">
        <v>59</v>
      </c>
      <c r="C5369" s="1" t="str">
        <f t="shared" si="131"/>
        <v>020023</v>
      </c>
      <c r="D5369" s="1" t="str">
        <f>"512733512"</f>
        <v>512733512</v>
      </c>
      <c r="E5369" s="1">
        <v>53</v>
      </c>
      <c r="F5369" s="1">
        <v>53</v>
      </c>
      <c r="H5369" s="1">
        <v>53</v>
      </c>
    </row>
    <row r="5370" s="1" customFormat="1" spans="1:8">
      <c r="A5370" s="1" t="s">
        <v>32</v>
      </c>
      <c r="B5370" s="1" t="s">
        <v>59</v>
      </c>
      <c r="C5370" s="1" t="str">
        <f t="shared" si="131"/>
        <v>020023</v>
      </c>
      <c r="D5370" s="1" t="str">
        <f>"512733513"</f>
        <v>512733513</v>
      </c>
      <c r="E5370" s="1">
        <v>0</v>
      </c>
      <c r="F5370" s="1">
        <v>0</v>
      </c>
      <c r="H5370" s="1">
        <v>0</v>
      </c>
    </row>
    <row r="5371" s="1" customFormat="1" spans="1:8">
      <c r="A5371" s="1" t="s">
        <v>32</v>
      </c>
      <c r="B5371" s="1" t="s">
        <v>59</v>
      </c>
      <c r="C5371" s="1" t="str">
        <f t="shared" si="131"/>
        <v>020023</v>
      </c>
      <c r="D5371" s="1" t="str">
        <f>"512733514"</f>
        <v>512733514</v>
      </c>
      <c r="E5371" s="1">
        <v>56</v>
      </c>
      <c r="F5371" s="1">
        <v>57.5</v>
      </c>
      <c r="H5371" s="1">
        <v>56.6</v>
      </c>
    </row>
    <row r="5372" s="1" customFormat="1" spans="1:8">
      <c r="A5372" s="1" t="s">
        <v>32</v>
      </c>
      <c r="B5372" s="1" t="s">
        <v>59</v>
      </c>
      <c r="C5372" s="1" t="str">
        <f t="shared" si="131"/>
        <v>020023</v>
      </c>
      <c r="D5372" s="1" t="str">
        <f>"512733515"</f>
        <v>512733515</v>
      </c>
      <c r="E5372" s="1">
        <v>41</v>
      </c>
      <c r="F5372" s="1">
        <v>62</v>
      </c>
      <c r="H5372" s="1">
        <v>49.4</v>
      </c>
    </row>
    <row r="5373" s="1" customFormat="1" spans="1:8">
      <c r="A5373" s="1" t="s">
        <v>32</v>
      </c>
      <c r="B5373" s="1" t="s">
        <v>59</v>
      </c>
      <c r="C5373" s="1" t="str">
        <f t="shared" si="131"/>
        <v>020023</v>
      </c>
      <c r="D5373" s="1" t="str">
        <f>"512733516"</f>
        <v>512733516</v>
      </c>
      <c r="E5373" s="1">
        <v>74</v>
      </c>
      <c r="F5373" s="1">
        <v>79</v>
      </c>
      <c r="H5373" s="1">
        <v>76</v>
      </c>
    </row>
    <row r="5374" s="1" customFormat="1" spans="1:8">
      <c r="A5374" s="1" t="s">
        <v>32</v>
      </c>
      <c r="B5374" s="1" t="s">
        <v>59</v>
      </c>
      <c r="C5374" s="1" t="str">
        <f t="shared" si="131"/>
        <v>020023</v>
      </c>
      <c r="D5374" s="1" t="str">
        <f>"512733517"</f>
        <v>512733517</v>
      </c>
      <c r="E5374" s="1">
        <v>57</v>
      </c>
      <c r="F5374" s="1">
        <v>62</v>
      </c>
      <c r="H5374" s="1">
        <v>59</v>
      </c>
    </row>
    <row r="5375" s="1" customFormat="1" spans="1:8">
      <c r="A5375" s="1" t="s">
        <v>32</v>
      </c>
      <c r="B5375" s="1" t="s">
        <v>59</v>
      </c>
      <c r="C5375" s="1" t="str">
        <f t="shared" si="131"/>
        <v>020023</v>
      </c>
      <c r="D5375" s="1" t="str">
        <f>"512733518"</f>
        <v>512733518</v>
      </c>
      <c r="E5375" s="1">
        <v>46</v>
      </c>
      <c r="F5375" s="1">
        <v>0</v>
      </c>
      <c r="H5375" s="1">
        <v>27.6</v>
      </c>
    </row>
    <row r="5376" s="1" customFormat="1" spans="1:8">
      <c r="A5376" s="1" t="s">
        <v>32</v>
      </c>
      <c r="B5376" s="1" t="s">
        <v>59</v>
      </c>
      <c r="C5376" s="1" t="str">
        <f t="shared" si="131"/>
        <v>020023</v>
      </c>
      <c r="D5376" s="1" t="str">
        <f>"512733519"</f>
        <v>512733519</v>
      </c>
      <c r="E5376" s="1">
        <v>50</v>
      </c>
      <c r="F5376" s="1">
        <v>61.5</v>
      </c>
      <c r="H5376" s="1">
        <v>54.6</v>
      </c>
    </row>
    <row r="5377" s="1" customFormat="1" spans="1:8">
      <c r="A5377" s="1" t="s">
        <v>32</v>
      </c>
      <c r="B5377" s="1" t="s">
        <v>59</v>
      </c>
      <c r="C5377" s="1" t="str">
        <f t="shared" si="131"/>
        <v>020023</v>
      </c>
      <c r="D5377" s="1" t="str">
        <f>"512733520"</f>
        <v>512733520</v>
      </c>
      <c r="E5377" s="1">
        <v>51</v>
      </c>
      <c r="F5377" s="1">
        <v>40</v>
      </c>
      <c r="H5377" s="1">
        <v>46.6</v>
      </c>
    </row>
    <row r="5378" s="1" customFormat="1" spans="1:8">
      <c r="A5378" s="1" t="s">
        <v>32</v>
      </c>
      <c r="B5378" s="1" t="s">
        <v>59</v>
      </c>
      <c r="C5378" s="1" t="str">
        <f t="shared" si="131"/>
        <v>020023</v>
      </c>
      <c r="D5378" s="1" t="str">
        <f>"512733521"</f>
        <v>512733521</v>
      </c>
      <c r="E5378" s="1">
        <v>75.5</v>
      </c>
      <c r="F5378" s="1">
        <v>70</v>
      </c>
      <c r="H5378" s="1">
        <v>73.3</v>
      </c>
    </row>
    <row r="5379" s="1" customFormat="1" spans="1:8">
      <c r="A5379" s="1" t="s">
        <v>32</v>
      </c>
      <c r="B5379" s="1" t="s">
        <v>59</v>
      </c>
      <c r="C5379" s="1" t="str">
        <f t="shared" si="131"/>
        <v>020023</v>
      </c>
      <c r="D5379" s="1" t="str">
        <f>"512733522"</f>
        <v>512733522</v>
      </c>
      <c r="E5379" s="1">
        <v>70</v>
      </c>
      <c r="F5379" s="1">
        <v>70</v>
      </c>
      <c r="H5379" s="1">
        <v>70</v>
      </c>
    </row>
    <row r="5380" s="1" customFormat="1" spans="1:8">
      <c r="A5380" s="1" t="s">
        <v>32</v>
      </c>
      <c r="B5380" s="1" t="s">
        <v>59</v>
      </c>
      <c r="C5380" s="1" t="str">
        <f t="shared" si="131"/>
        <v>020023</v>
      </c>
      <c r="D5380" s="1" t="str">
        <f>"512733523"</f>
        <v>512733523</v>
      </c>
      <c r="E5380" s="1">
        <v>87</v>
      </c>
      <c r="F5380" s="1">
        <v>79.5</v>
      </c>
      <c r="H5380" s="1">
        <v>84</v>
      </c>
    </row>
    <row r="5381" s="1" customFormat="1" spans="1:8">
      <c r="A5381" s="1" t="s">
        <v>32</v>
      </c>
      <c r="B5381" s="1" t="s">
        <v>59</v>
      </c>
      <c r="C5381" s="1" t="str">
        <f t="shared" si="131"/>
        <v>020023</v>
      </c>
      <c r="D5381" s="1" t="str">
        <f>"512733524"</f>
        <v>512733524</v>
      </c>
      <c r="E5381" s="1">
        <v>60.5</v>
      </c>
      <c r="F5381" s="1">
        <v>71</v>
      </c>
      <c r="H5381" s="1">
        <v>64.7</v>
      </c>
    </row>
    <row r="5382" s="1" customFormat="1" spans="1:8">
      <c r="A5382" s="1" t="s">
        <v>32</v>
      </c>
      <c r="B5382" s="1" t="s">
        <v>59</v>
      </c>
      <c r="C5382" s="1" t="str">
        <f t="shared" si="131"/>
        <v>020023</v>
      </c>
      <c r="D5382" s="1" t="str">
        <f>"512733525"</f>
        <v>512733525</v>
      </c>
      <c r="E5382" s="1">
        <v>0</v>
      </c>
      <c r="F5382" s="1">
        <v>0</v>
      </c>
      <c r="H5382" s="1">
        <v>0</v>
      </c>
    </row>
    <row r="5383" s="1" customFormat="1" spans="1:8">
      <c r="A5383" s="1" t="s">
        <v>32</v>
      </c>
      <c r="B5383" s="1" t="s">
        <v>59</v>
      </c>
      <c r="C5383" s="1" t="str">
        <f t="shared" si="131"/>
        <v>020023</v>
      </c>
      <c r="D5383" s="1" t="str">
        <f>"512733526"</f>
        <v>512733526</v>
      </c>
      <c r="E5383" s="1">
        <v>0</v>
      </c>
      <c r="F5383" s="1">
        <v>0</v>
      </c>
      <c r="H5383" s="1">
        <v>0</v>
      </c>
    </row>
    <row r="5384" s="1" customFormat="1" spans="1:8">
      <c r="A5384" s="1" t="s">
        <v>32</v>
      </c>
      <c r="B5384" s="1" t="s">
        <v>59</v>
      </c>
      <c r="C5384" s="1" t="str">
        <f t="shared" si="131"/>
        <v>020023</v>
      </c>
      <c r="D5384" s="1" t="str">
        <f>"512733527"</f>
        <v>512733527</v>
      </c>
      <c r="E5384" s="1">
        <v>91.5</v>
      </c>
      <c r="F5384" s="1">
        <v>92.5</v>
      </c>
      <c r="H5384" s="1">
        <v>91.9</v>
      </c>
    </row>
    <row r="5385" s="1" customFormat="1" spans="1:8">
      <c r="A5385" s="1" t="s">
        <v>32</v>
      </c>
      <c r="B5385" s="1" t="s">
        <v>59</v>
      </c>
      <c r="C5385" s="1" t="str">
        <f t="shared" si="131"/>
        <v>020023</v>
      </c>
      <c r="D5385" s="1" t="str">
        <f>"512733528"</f>
        <v>512733528</v>
      </c>
      <c r="E5385" s="1">
        <v>60.5</v>
      </c>
      <c r="F5385" s="1">
        <v>55</v>
      </c>
      <c r="H5385" s="1">
        <v>58.3</v>
      </c>
    </row>
    <row r="5386" s="1" customFormat="1" spans="1:8">
      <c r="A5386" s="1" t="s">
        <v>32</v>
      </c>
      <c r="B5386" s="1" t="s">
        <v>59</v>
      </c>
      <c r="C5386" s="1" t="str">
        <f t="shared" si="131"/>
        <v>020023</v>
      </c>
      <c r="D5386" s="1" t="str">
        <f>"512733529"</f>
        <v>512733529</v>
      </c>
      <c r="E5386" s="1">
        <v>83</v>
      </c>
      <c r="F5386" s="1">
        <v>0</v>
      </c>
      <c r="H5386" s="1">
        <v>49.8</v>
      </c>
    </row>
    <row r="5387" s="1" customFormat="1" spans="1:8">
      <c r="A5387" s="1" t="s">
        <v>32</v>
      </c>
      <c r="B5387" s="1" t="s">
        <v>59</v>
      </c>
      <c r="C5387" s="1" t="str">
        <f t="shared" si="131"/>
        <v>020023</v>
      </c>
      <c r="D5387" s="1" t="str">
        <f>"512733530"</f>
        <v>512733530</v>
      </c>
      <c r="E5387" s="1">
        <v>48.5</v>
      </c>
      <c r="F5387" s="1">
        <v>47</v>
      </c>
      <c r="H5387" s="1">
        <v>47.9</v>
      </c>
    </row>
    <row r="5388" s="1" customFormat="1" spans="1:8">
      <c r="A5388" s="1" t="s">
        <v>32</v>
      </c>
      <c r="B5388" s="1" t="s">
        <v>59</v>
      </c>
      <c r="C5388" s="1" t="str">
        <f t="shared" si="131"/>
        <v>020023</v>
      </c>
      <c r="D5388" s="1" t="str">
        <f>"512733601"</f>
        <v>512733601</v>
      </c>
      <c r="E5388" s="1">
        <v>0</v>
      </c>
      <c r="F5388" s="1">
        <v>0</v>
      </c>
      <c r="H5388" s="1">
        <v>0</v>
      </c>
    </row>
    <row r="5389" s="1" customFormat="1" spans="1:8">
      <c r="A5389" s="1" t="s">
        <v>32</v>
      </c>
      <c r="B5389" s="1" t="s">
        <v>59</v>
      </c>
      <c r="C5389" s="1" t="str">
        <f t="shared" si="131"/>
        <v>020023</v>
      </c>
      <c r="D5389" s="1" t="str">
        <f>"512733602"</f>
        <v>512733602</v>
      </c>
      <c r="E5389" s="1">
        <v>0</v>
      </c>
      <c r="F5389" s="1">
        <v>0</v>
      </c>
      <c r="H5389" s="1">
        <v>0</v>
      </c>
    </row>
    <row r="5390" s="1" customFormat="1" spans="1:8">
      <c r="A5390" s="1" t="s">
        <v>32</v>
      </c>
      <c r="B5390" s="1" t="s">
        <v>59</v>
      </c>
      <c r="C5390" s="1" t="str">
        <f t="shared" si="131"/>
        <v>020023</v>
      </c>
      <c r="D5390" s="1" t="str">
        <f>"512733603"</f>
        <v>512733603</v>
      </c>
      <c r="E5390" s="1">
        <v>0</v>
      </c>
      <c r="F5390" s="1">
        <v>0</v>
      </c>
      <c r="H5390" s="1">
        <v>0</v>
      </c>
    </row>
    <row r="5391" s="1" customFormat="1" spans="1:8">
      <c r="A5391" s="1" t="s">
        <v>32</v>
      </c>
      <c r="B5391" s="1" t="s">
        <v>59</v>
      </c>
      <c r="C5391" s="1" t="str">
        <f t="shared" si="131"/>
        <v>020023</v>
      </c>
      <c r="D5391" s="1" t="str">
        <f>"512733604"</f>
        <v>512733604</v>
      </c>
      <c r="E5391" s="1">
        <v>55.5</v>
      </c>
      <c r="F5391" s="1">
        <v>40</v>
      </c>
      <c r="H5391" s="1">
        <v>49.3</v>
      </c>
    </row>
    <row r="5392" s="1" customFormat="1" spans="1:8">
      <c r="A5392" s="1" t="s">
        <v>32</v>
      </c>
      <c r="B5392" s="1" t="s">
        <v>59</v>
      </c>
      <c r="C5392" s="1" t="str">
        <f t="shared" ref="C5392:C5396" si="132">"020023"</f>
        <v>020023</v>
      </c>
      <c r="D5392" s="1" t="str">
        <f>"512733605"</f>
        <v>512733605</v>
      </c>
      <c r="E5392" s="1">
        <v>0</v>
      </c>
      <c r="F5392" s="1">
        <v>0</v>
      </c>
      <c r="H5392" s="1">
        <v>0</v>
      </c>
    </row>
    <row r="5393" s="1" customFormat="1" spans="1:8">
      <c r="A5393" s="1" t="s">
        <v>32</v>
      </c>
      <c r="B5393" s="1" t="s">
        <v>59</v>
      </c>
      <c r="C5393" s="1" t="str">
        <f t="shared" si="132"/>
        <v>020023</v>
      </c>
      <c r="D5393" s="1" t="str">
        <f>"512733606"</f>
        <v>512733606</v>
      </c>
      <c r="E5393" s="1">
        <v>51</v>
      </c>
      <c r="F5393" s="1">
        <v>0</v>
      </c>
      <c r="H5393" s="1">
        <v>30.6</v>
      </c>
    </row>
    <row r="5394" s="1" customFormat="1" spans="1:8">
      <c r="A5394" s="1" t="s">
        <v>32</v>
      </c>
      <c r="B5394" s="1" t="s">
        <v>59</v>
      </c>
      <c r="C5394" s="1" t="str">
        <f t="shared" si="132"/>
        <v>020023</v>
      </c>
      <c r="D5394" s="1" t="str">
        <f>"512733607"</f>
        <v>512733607</v>
      </c>
      <c r="E5394" s="1">
        <v>78.5</v>
      </c>
      <c r="F5394" s="1">
        <v>60.5</v>
      </c>
      <c r="H5394" s="1">
        <v>71.3</v>
      </c>
    </row>
    <row r="5395" s="1" customFormat="1" spans="1:8">
      <c r="A5395" s="1" t="s">
        <v>32</v>
      </c>
      <c r="B5395" s="1" t="s">
        <v>59</v>
      </c>
      <c r="C5395" s="1" t="str">
        <f t="shared" si="132"/>
        <v>020023</v>
      </c>
      <c r="D5395" s="1" t="str">
        <f>"512733608"</f>
        <v>512733608</v>
      </c>
      <c r="E5395" s="1">
        <v>99</v>
      </c>
      <c r="F5395" s="1">
        <v>95.5</v>
      </c>
      <c r="H5395" s="1">
        <v>97.6</v>
      </c>
    </row>
    <row r="5396" s="1" customFormat="1" spans="1:8">
      <c r="A5396" s="1" t="s">
        <v>32</v>
      </c>
      <c r="B5396" s="1" t="s">
        <v>59</v>
      </c>
      <c r="C5396" s="1" t="str">
        <f t="shared" si="132"/>
        <v>020023</v>
      </c>
      <c r="D5396" s="1" t="str">
        <f>"512733609"</f>
        <v>512733609</v>
      </c>
      <c r="E5396" s="1">
        <v>48.5</v>
      </c>
      <c r="F5396" s="1">
        <v>70.5</v>
      </c>
      <c r="H5396" s="1">
        <v>57.3</v>
      </c>
    </row>
    <row r="5397" s="1" customFormat="1" spans="1:8">
      <c r="A5397" s="1" t="s">
        <v>29</v>
      </c>
      <c r="B5397" s="1" t="s">
        <v>60</v>
      </c>
      <c r="C5397" s="1" t="str">
        <f t="shared" ref="C5397:C5426" si="133">"020010"</f>
        <v>020010</v>
      </c>
      <c r="D5397" s="1" t="str">
        <f>"512734114"</f>
        <v>512734114</v>
      </c>
      <c r="E5397" s="1">
        <v>61.5</v>
      </c>
      <c r="F5397" s="1">
        <v>67</v>
      </c>
      <c r="H5397" s="1">
        <v>63.7</v>
      </c>
    </row>
    <row r="5398" s="1" customFormat="1" spans="1:8">
      <c r="A5398" s="1" t="s">
        <v>29</v>
      </c>
      <c r="B5398" s="1" t="s">
        <v>60</v>
      </c>
      <c r="C5398" s="1" t="str">
        <f t="shared" si="133"/>
        <v>020010</v>
      </c>
      <c r="D5398" s="1" t="str">
        <f>"512734115"</f>
        <v>512734115</v>
      </c>
      <c r="E5398" s="1">
        <v>0</v>
      </c>
      <c r="F5398" s="1">
        <v>0</v>
      </c>
      <c r="H5398" s="1">
        <v>0</v>
      </c>
    </row>
    <row r="5399" s="1" customFormat="1" spans="1:8">
      <c r="A5399" s="1" t="s">
        <v>29</v>
      </c>
      <c r="B5399" s="1" t="s">
        <v>60</v>
      </c>
      <c r="C5399" s="1" t="str">
        <f t="shared" si="133"/>
        <v>020010</v>
      </c>
      <c r="D5399" s="1" t="str">
        <f>"512734116"</f>
        <v>512734116</v>
      </c>
      <c r="E5399" s="1">
        <v>0</v>
      </c>
      <c r="F5399" s="1">
        <v>0</v>
      </c>
      <c r="H5399" s="1">
        <v>0</v>
      </c>
    </row>
    <row r="5400" s="1" customFormat="1" spans="1:8">
      <c r="A5400" s="1" t="s">
        <v>29</v>
      </c>
      <c r="B5400" s="1" t="s">
        <v>60</v>
      </c>
      <c r="C5400" s="1" t="str">
        <f t="shared" si="133"/>
        <v>020010</v>
      </c>
      <c r="D5400" s="1" t="str">
        <f>"512734117"</f>
        <v>512734117</v>
      </c>
      <c r="E5400" s="1">
        <v>75</v>
      </c>
      <c r="F5400" s="1">
        <v>83</v>
      </c>
      <c r="H5400" s="1">
        <v>78.2</v>
      </c>
    </row>
    <row r="5401" s="1" customFormat="1" spans="1:8">
      <c r="A5401" s="1" t="s">
        <v>29</v>
      </c>
      <c r="B5401" s="1" t="s">
        <v>60</v>
      </c>
      <c r="C5401" s="1" t="str">
        <f t="shared" si="133"/>
        <v>020010</v>
      </c>
      <c r="D5401" s="1" t="str">
        <f>"512734118"</f>
        <v>512734118</v>
      </c>
      <c r="E5401" s="1">
        <v>0</v>
      </c>
      <c r="F5401" s="1">
        <v>0</v>
      </c>
      <c r="H5401" s="1">
        <v>0</v>
      </c>
    </row>
    <row r="5402" s="1" customFormat="1" spans="1:8">
      <c r="A5402" s="1" t="s">
        <v>29</v>
      </c>
      <c r="B5402" s="1" t="s">
        <v>60</v>
      </c>
      <c r="C5402" s="1" t="str">
        <f t="shared" si="133"/>
        <v>020010</v>
      </c>
      <c r="D5402" s="1" t="str">
        <f>"512734119"</f>
        <v>512734119</v>
      </c>
      <c r="E5402" s="1">
        <v>0</v>
      </c>
      <c r="F5402" s="1">
        <v>0</v>
      </c>
      <c r="H5402" s="1">
        <v>0</v>
      </c>
    </row>
    <row r="5403" s="1" customFormat="1" spans="1:8">
      <c r="A5403" s="1" t="s">
        <v>29</v>
      </c>
      <c r="B5403" s="1" t="s">
        <v>60</v>
      </c>
      <c r="C5403" s="1" t="str">
        <f t="shared" si="133"/>
        <v>020010</v>
      </c>
      <c r="D5403" s="1" t="str">
        <f>"512734120"</f>
        <v>512734120</v>
      </c>
      <c r="E5403" s="1">
        <v>0</v>
      </c>
      <c r="F5403" s="1">
        <v>0</v>
      </c>
      <c r="H5403" s="1">
        <v>0</v>
      </c>
    </row>
    <row r="5404" s="1" customFormat="1" spans="1:8">
      <c r="A5404" s="1" t="s">
        <v>29</v>
      </c>
      <c r="B5404" s="1" t="s">
        <v>60</v>
      </c>
      <c r="C5404" s="1" t="str">
        <f t="shared" si="133"/>
        <v>020010</v>
      </c>
      <c r="D5404" s="1" t="str">
        <f>"512734121"</f>
        <v>512734121</v>
      </c>
      <c r="E5404" s="1">
        <v>0</v>
      </c>
      <c r="F5404" s="1">
        <v>0</v>
      </c>
      <c r="H5404" s="1">
        <v>0</v>
      </c>
    </row>
    <row r="5405" s="1" customFormat="1" spans="1:8">
      <c r="A5405" s="1" t="s">
        <v>29</v>
      </c>
      <c r="B5405" s="1" t="s">
        <v>60</v>
      </c>
      <c r="C5405" s="1" t="str">
        <f t="shared" si="133"/>
        <v>020010</v>
      </c>
      <c r="D5405" s="1" t="str">
        <f>"512734122"</f>
        <v>512734122</v>
      </c>
      <c r="E5405" s="1">
        <v>0</v>
      </c>
      <c r="F5405" s="1">
        <v>0</v>
      </c>
      <c r="H5405" s="1">
        <v>0</v>
      </c>
    </row>
    <row r="5406" s="1" customFormat="1" spans="1:8">
      <c r="A5406" s="1" t="s">
        <v>29</v>
      </c>
      <c r="B5406" s="1" t="s">
        <v>60</v>
      </c>
      <c r="C5406" s="1" t="str">
        <f t="shared" si="133"/>
        <v>020010</v>
      </c>
      <c r="D5406" s="1" t="str">
        <f>"512734123"</f>
        <v>512734123</v>
      </c>
      <c r="E5406" s="1">
        <v>0</v>
      </c>
      <c r="F5406" s="1">
        <v>0</v>
      </c>
      <c r="H5406" s="1">
        <v>0</v>
      </c>
    </row>
    <row r="5407" s="1" customFormat="1" spans="1:8">
      <c r="A5407" s="1" t="s">
        <v>29</v>
      </c>
      <c r="B5407" s="1" t="s">
        <v>60</v>
      </c>
      <c r="C5407" s="1" t="str">
        <f t="shared" si="133"/>
        <v>020010</v>
      </c>
      <c r="D5407" s="1" t="str">
        <f>"512734124"</f>
        <v>512734124</v>
      </c>
      <c r="E5407" s="1">
        <v>0</v>
      </c>
      <c r="F5407" s="1">
        <v>0</v>
      </c>
      <c r="H5407" s="1">
        <v>0</v>
      </c>
    </row>
    <row r="5408" s="1" customFormat="1" spans="1:8">
      <c r="A5408" s="1" t="s">
        <v>29</v>
      </c>
      <c r="B5408" s="1" t="s">
        <v>60</v>
      </c>
      <c r="C5408" s="1" t="str">
        <f t="shared" si="133"/>
        <v>020010</v>
      </c>
      <c r="D5408" s="1" t="str">
        <f>"512734125"</f>
        <v>512734125</v>
      </c>
      <c r="E5408" s="1">
        <v>0</v>
      </c>
      <c r="F5408" s="1">
        <v>0</v>
      </c>
      <c r="H5408" s="1">
        <v>0</v>
      </c>
    </row>
    <row r="5409" s="1" customFormat="1" spans="1:8">
      <c r="A5409" s="1" t="s">
        <v>29</v>
      </c>
      <c r="B5409" s="1" t="s">
        <v>60</v>
      </c>
      <c r="C5409" s="1" t="str">
        <f t="shared" si="133"/>
        <v>020010</v>
      </c>
      <c r="D5409" s="1" t="str">
        <f>"512734126"</f>
        <v>512734126</v>
      </c>
      <c r="E5409" s="1">
        <v>63.5</v>
      </c>
      <c r="F5409" s="1">
        <v>48.5</v>
      </c>
      <c r="H5409" s="1">
        <v>57.5</v>
      </c>
    </row>
    <row r="5410" s="1" customFormat="1" spans="1:8">
      <c r="A5410" s="1" t="s">
        <v>29</v>
      </c>
      <c r="B5410" s="1" t="s">
        <v>60</v>
      </c>
      <c r="C5410" s="1" t="str">
        <f t="shared" si="133"/>
        <v>020010</v>
      </c>
      <c r="D5410" s="1" t="str">
        <f>"512734127"</f>
        <v>512734127</v>
      </c>
      <c r="E5410" s="1">
        <v>0</v>
      </c>
      <c r="F5410" s="1">
        <v>0</v>
      </c>
      <c r="H5410" s="1">
        <v>0</v>
      </c>
    </row>
    <row r="5411" s="1" customFormat="1" spans="1:8">
      <c r="A5411" s="1" t="s">
        <v>29</v>
      </c>
      <c r="B5411" s="1" t="s">
        <v>60</v>
      </c>
      <c r="C5411" s="1" t="str">
        <f t="shared" si="133"/>
        <v>020010</v>
      </c>
      <c r="D5411" s="1" t="str">
        <f>"512734128"</f>
        <v>512734128</v>
      </c>
      <c r="E5411" s="1">
        <v>0</v>
      </c>
      <c r="F5411" s="1">
        <v>0</v>
      </c>
      <c r="H5411" s="1">
        <v>0</v>
      </c>
    </row>
    <row r="5412" s="1" customFormat="1" spans="1:8">
      <c r="A5412" s="1" t="s">
        <v>29</v>
      </c>
      <c r="B5412" s="1" t="s">
        <v>60</v>
      </c>
      <c r="C5412" s="1" t="str">
        <f t="shared" si="133"/>
        <v>020010</v>
      </c>
      <c r="D5412" s="1" t="str">
        <f>"512734129"</f>
        <v>512734129</v>
      </c>
      <c r="E5412" s="1">
        <v>0</v>
      </c>
      <c r="F5412" s="1">
        <v>0</v>
      </c>
      <c r="H5412" s="1">
        <v>0</v>
      </c>
    </row>
    <row r="5413" s="1" customFormat="1" spans="1:8">
      <c r="A5413" s="1" t="s">
        <v>29</v>
      </c>
      <c r="B5413" s="1" t="s">
        <v>60</v>
      </c>
      <c r="C5413" s="1" t="str">
        <f t="shared" si="133"/>
        <v>020010</v>
      </c>
      <c r="D5413" s="1" t="str">
        <f>"512734130"</f>
        <v>512734130</v>
      </c>
      <c r="E5413" s="1">
        <v>0</v>
      </c>
      <c r="F5413" s="1">
        <v>0</v>
      </c>
      <c r="H5413" s="1">
        <v>0</v>
      </c>
    </row>
    <row r="5414" s="1" customFormat="1" spans="1:8">
      <c r="A5414" s="1" t="s">
        <v>29</v>
      </c>
      <c r="B5414" s="1" t="s">
        <v>60</v>
      </c>
      <c r="C5414" s="1" t="str">
        <f t="shared" si="133"/>
        <v>020010</v>
      </c>
      <c r="D5414" s="1" t="str">
        <f>"512734201"</f>
        <v>512734201</v>
      </c>
      <c r="E5414" s="1">
        <v>0</v>
      </c>
      <c r="F5414" s="1">
        <v>0</v>
      </c>
      <c r="H5414" s="1">
        <v>0</v>
      </c>
    </row>
    <row r="5415" s="1" customFormat="1" spans="1:8">
      <c r="A5415" s="1" t="s">
        <v>29</v>
      </c>
      <c r="B5415" s="1" t="s">
        <v>60</v>
      </c>
      <c r="C5415" s="1" t="str">
        <f t="shared" si="133"/>
        <v>020010</v>
      </c>
      <c r="D5415" s="1" t="str">
        <f>"512734202"</f>
        <v>512734202</v>
      </c>
      <c r="E5415" s="1">
        <v>65</v>
      </c>
      <c r="F5415" s="1">
        <v>70.5</v>
      </c>
      <c r="H5415" s="1">
        <v>67.2</v>
      </c>
    </row>
    <row r="5416" s="1" customFormat="1" spans="1:8">
      <c r="A5416" s="1" t="s">
        <v>29</v>
      </c>
      <c r="B5416" s="1" t="s">
        <v>60</v>
      </c>
      <c r="C5416" s="1" t="str">
        <f t="shared" si="133"/>
        <v>020010</v>
      </c>
      <c r="D5416" s="1" t="str">
        <f>"512734203"</f>
        <v>512734203</v>
      </c>
      <c r="E5416" s="1">
        <v>0</v>
      </c>
      <c r="F5416" s="1">
        <v>0</v>
      </c>
      <c r="H5416" s="1">
        <v>0</v>
      </c>
    </row>
    <row r="5417" s="1" customFormat="1" spans="1:8">
      <c r="A5417" s="1" t="s">
        <v>29</v>
      </c>
      <c r="B5417" s="1" t="s">
        <v>60</v>
      </c>
      <c r="C5417" s="1" t="str">
        <f t="shared" si="133"/>
        <v>020010</v>
      </c>
      <c r="D5417" s="1" t="str">
        <f>"512734204"</f>
        <v>512734204</v>
      </c>
      <c r="E5417" s="1">
        <v>0</v>
      </c>
      <c r="F5417" s="1">
        <v>0</v>
      </c>
      <c r="H5417" s="1">
        <v>0</v>
      </c>
    </row>
    <row r="5418" s="1" customFormat="1" spans="1:8">
      <c r="A5418" s="1" t="s">
        <v>29</v>
      </c>
      <c r="B5418" s="1" t="s">
        <v>60</v>
      </c>
      <c r="C5418" s="1" t="str">
        <f t="shared" si="133"/>
        <v>020010</v>
      </c>
      <c r="D5418" s="1" t="str">
        <f>"512734205"</f>
        <v>512734205</v>
      </c>
      <c r="E5418" s="1">
        <v>0</v>
      </c>
      <c r="F5418" s="1">
        <v>0</v>
      </c>
      <c r="H5418" s="1">
        <v>0</v>
      </c>
    </row>
    <row r="5419" s="1" customFormat="1" spans="1:8">
      <c r="A5419" s="1" t="s">
        <v>29</v>
      </c>
      <c r="B5419" s="1" t="s">
        <v>60</v>
      </c>
      <c r="C5419" s="1" t="str">
        <f t="shared" si="133"/>
        <v>020010</v>
      </c>
      <c r="D5419" s="1" t="str">
        <f>"512734206"</f>
        <v>512734206</v>
      </c>
      <c r="E5419" s="1">
        <v>71</v>
      </c>
      <c r="F5419" s="1">
        <v>61.5</v>
      </c>
      <c r="H5419" s="1">
        <v>67.2</v>
      </c>
    </row>
    <row r="5420" s="1" customFormat="1" spans="1:8">
      <c r="A5420" s="1" t="s">
        <v>29</v>
      </c>
      <c r="B5420" s="1" t="s">
        <v>60</v>
      </c>
      <c r="C5420" s="1" t="str">
        <f t="shared" si="133"/>
        <v>020010</v>
      </c>
      <c r="D5420" s="1" t="str">
        <f>"512734207"</f>
        <v>512734207</v>
      </c>
      <c r="E5420" s="1">
        <v>0</v>
      </c>
      <c r="F5420" s="1">
        <v>0</v>
      </c>
      <c r="H5420" s="1">
        <v>0</v>
      </c>
    </row>
    <row r="5421" s="1" customFormat="1" spans="1:8">
      <c r="A5421" s="1" t="s">
        <v>29</v>
      </c>
      <c r="B5421" s="1" t="s">
        <v>60</v>
      </c>
      <c r="C5421" s="1" t="str">
        <f t="shared" si="133"/>
        <v>020010</v>
      </c>
      <c r="D5421" s="1" t="str">
        <f>"512734208"</f>
        <v>512734208</v>
      </c>
      <c r="E5421" s="1">
        <v>0</v>
      </c>
      <c r="F5421" s="1">
        <v>0</v>
      </c>
      <c r="H5421" s="1">
        <v>0</v>
      </c>
    </row>
    <row r="5422" s="1" customFormat="1" spans="1:8">
      <c r="A5422" s="1" t="s">
        <v>29</v>
      </c>
      <c r="B5422" s="1" t="s">
        <v>60</v>
      </c>
      <c r="C5422" s="1" t="str">
        <f t="shared" si="133"/>
        <v>020010</v>
      </c>
      <c r="D5422" s="1" t="str">
        <f>"512734209"</f>
        <v>512734209</v>
      </c>
      <c r="E5422" s="1">
        <v>0</v>
      </c>
      <c r="F5422" s="1">
        <v>0</v>
      </c>
      <c r="H5422" s="1">
        <v>0</v>
      </c>
    </row>
    <row r="5423" s="1" customFormat="1" spans="1:8">
      <c r="A5423" s="1" t="s">
        <v>29</v>
      </c>
      <c r="B5423" s="1" t="s">
        <v>60</v>
      </c>
      <c r="C5423" s="1" t="str">
        <f t="shared" si="133"/>
        <v>020010</v>
      </c>
      <c r="D5423" s="1" t="str">
        <f>"512734210"</f>
        <v>512734210</v>
      </c>
      <c r="E5423" s="1">
        <v>0</v>
      </c>
      <c r="F5423" s="1">
        <v>0</v>
      </c>
      <c r="H5423" s="1">
        <v>0</v>
      </c>
    </row>
    <row r="5424" s="1" customFormat="1" spans="1:8">
      <c r="A5424" s="1" t="s">
        <v>29</v>
      </c>
      <c r="B5424" s="1" t="s">
        <v>60</v>
      </c>
      <c r="C5424" s="1" t="str">
        <f t="shared" si="133"/>
        <v>020010</v>
      </c>
      <c r="D5424" s="1" t="str">
        <f>"512734211"</f>
        <v>512734211</v>
      </c>
      <c r="E5424" s="1">
        <v>0</v>
      </c>
      <c r="F5424" s="1">
        <v>0</v>
      </c>
      <c r="H5424" s="1">
        <v>0</v>
      </c>
    </row>
    <row r="5425" s="1" customFormat="1" spans="1:8">
      <c r="A5425" s="1" t="s">
        <v>29</v>
      </c>
      <c r="B5425" s="1" t="s">
        <v>60</v>
      </c>
      <c r="C5425" s="1" t="str">
        <f t="shared" si="133"/>
        <v>020010</v>
      </c>
      <c r="D5425" s="1" t="str">
        <f>"512734212"</f>
        <v>512734212</v>
      </c>
      <c r="E5425" s="1">
        <v>0</v>
      </c>
      <c r="F5425" s="1">
        <v>0</v>
      </c>
      <c r="H5425" s="1">
        <v>0</v>
      </c>
    </row>
    <row r="5426" s="1" customFormat="1" spans="1:8">
      <c r="A5426" s="1" t="s">
        <v>29</v>
      </c>
      <c r="B5426" s="1" t="s">
        <v>60</v>
      </c>
      <c r="C5426" s="1" t="str">
        <f t="shared" si="133"/>
        <v>020010</v>
      </c>
      <c r="D5426" s="1" t="str">
        <f>"512734213"</f>
        <v>512734213</v>
      </c>
      <c r="E5426" s="1">
        <v>0</v>
      </c>
      <c r="F5426" s="1">
        <v>0</v>
      </c>
      <c r="H5426" s="1">
        <v>0</v>
      </c>
    </row>
    <row r="5427" s="1" customFormat="1" spans="1:8">
      <c r="A5427" s="1" t="s">
        <v>32</v>
      </c>
      <c r="B5427" s="1" t="s">
        <v>60</v>
      </c>
      <c r="C5427" s="1" t="str">
        <f t="shared" ref="C5427:C5462" si="134">"020024"</f>
        <v>020024</v>
      </c>
      <c r="D5427" s="1" t="str">
        <f>"512734214"</f>
        <v>512734214</v>
      </c>
      <c r="E5427" s="1">
        <v>63</v>
      </c>
      <c r="F5427" s="1">
        <v>69.5</v>
      </c>
      <c r="H5427" s="1">
        <v>65.6</v>
      </c>
    </row>
    <row r="5428" s="1" customFormat="1" spans="1:8">
      <c r="A5428" s="1" t="s">
        <v>32</v>
      </c>
      <c r="B5428" s="1" t="s">
        <v>60</v>
      </c>
      <c r="C5428" s="1" t="str">
        <f t="shared" si="134"/>
        <v>020024</v>
      </c>
      <c r="D5428" s="1" t="str">
        <f>"512734215"</f>
        <v>512734215</v>
      </c>
      <c r="E5428" s="1">
        <v>0</v>
      </c>
      <c r="F5428" s="1">
        <v>0</v>
      </c>
      <c r="H5428" s="1">
        <v>0</v>
      </c>
    </row>
    <row r="5429" s="1" customFormat="1" spans="1:8">
      <c r="A5429" s="1" t="s">
        <v>32</v>
      </c>
      <c r="B5429" s="1" t="s">
        <v>60</v>
      </c>
      <c r="C5429" s="1" t="str">
        <f t="shared" si="134"/>
        <v>020024</v>
      </c>
      <c r="D5429" s="1" t="str">
        <f>"512734216"</f>
        <v>512734216</v>
      </c>
      <c r="E5429" s="1">
        <v>55</v>
      </c>
      <c r="F5429" s="1">
        <v>61</v>
      </c>
      <c r="H5429" s="1">
        <v>57.4</v>
      </c>
    </row>
    <row r="5430" s="1" customFormat="1" spans="1:8">
      <c r="A5430" s="1" t="s">
        <v>32</v>
      </c>
      <c r="B5430" s="1" t="s">
        <v>60</v>
      </c>
      <c r="C5430" s="1" t="str">
        <f t="shared" si="134"/>
        <v>020024</v>
      </c>
      <c r="D5430" s="1" t="str">
        <f>"512734217"</f>
        <v>512734217</v>
      </c>
      <c r="E5430" s="1">
        <v>0</v>
      </c>
      <c r="F5430" s="1">
        <v>0</v>
      </c>
      <c r="H5430" s="1">
        <v>0</v>
      </c>
    </row>
    <row r="5431" s="1" customFormat="1" spans="1:8">
      <c r="A5431" s="1" t="s">
        <v>32</v>
      </c>
      <c r="B5431" s="1" t="s">
        <v>60</v>
      </c>
      <c r="C5431" s="1" t="str">
        <f t="shared" si="134"/>
        <v>020024</v>
      </c>
      <c r="D5431" s="1" t="str">
        <f>"512734218"</f>
        <v>512734218</v>
      </c>
      <c r="E5431" s="1">
        <v>66.5</v>
      </c>
      <c r="F5431" s="1">
        <v>66.5</v>
      </c>
      <c r="H5431" s="1">
        <v>66.5</v>
      </c>
    </row>
    <row r="5432" s="1" customFormat="1" spans="1:8">
      <c r="A5432" s="1" t="s">
        <v>32</v>
      </c>
      <c r="B5432" s="1" t="s">
        <v>60</v>
      </c>
      <c r="C5432" s="1" t="str">
        <f t="shared" si="134"/>
        <v>020024</v>
      </c>
      <c r="D5432" s="1" t="str">
        <f>"512734219"</f>
        <v>512734219</v>
      </c>
      <c r="E5432" s="1">
        <v>0</v>
      </c>
      <c r="F5432" s="1">
        <v>0</v>
      </c>
      <c r="H5432" s="1">
        <v>0</v>
      </c>
    </row>
    <row r="5433" s="1" customFormat="1" spans="1:8">
      <c r="A5433" s="1" t="s">
        <v>32</v>
      </c>
      <c r="B5433" s="1" t="s">
        <v>60</v>
      </c>
      <c r="C5433" s="1" t="str">
        <f t="shared" si="134"/>
        <v>020024</v>
      </c>
      <c r="D5433" s="1" t="str">
        <f>"512734220"</f>
        <v>512734220</v>
      </c>
      <c r="E5433" s="1">
        <v>0</v>
      </c>
      <c r="F5433" s="1">
        <v>0</v>
      </c>
      <c r="H5433" s="1">
        <v>0</v>
      </c>
    </row>
    <row r="5434" s="1" customFormat="1" spans="1:8">
      <c r="A5434" s="1" t="s">
        <v>32</v>
      </c>
      <c r="B5434" s="1" t="s">
        <v>60</v>
      </c>
      <c r="C5434" s="1" t="str">
        <f t="shared" si="134"/>
        <v>020024</v>
      </c>
      <c r="D5434" s="1" t="str">
        <f>"512734221"</f>
        <v>512734221</v>
      </c>
      <c r="E5434" s="1">
        <v>0</v>
      </c>
      <c r="F5434" s="1">
        <v>0</v>
      </c>
      <c r="H5434" s="1">
        <v>0</v>
      </c>
    </row>
    <row r="5435" s="1" customFormat="1" spans="1:8">
      <c r="A5435" s="1" t="s">
        <v>32</v>
      </c>
      <c r="B5435" s="1" t="s">
        <v>60</v>
      </c>
      <c r="C5435" s="1" t="str">
        <f t="shared" si="134"/>
        <v>020024</v>
      </c>
      <c r="D5435" s="1" t="str">
        <f>"512734222"</f>
        <v>512734222</v>
      </c>
      <c r="E5435" s="1">
        <v>51.5</v>
      </c>
      <c r="F5435" s="1">
        <v>61</v>
      </c>
      <c r="H5435" s="1">
        <v>55.3</v>
      </c>
    </row>
    <row r="5436" s="1" customFormat="1" spans="1:8">
      <c r="A5436" s="1" t="s">
        <v>32</v>
      </c>
      <c r="B5436" s="1" t="s">
        <v>60</v>
      </c>
      <c r="C5436" s="1" t="str">
        <f t="shared" si="134"/>
        <v>020024</v>
      </c>
      <c r="D5436" s="1" t="str">
        <f>"512734223"</f>
        <v>512734223</v>
      </c>
      <c r="E5436" s="1">
        <v>82.5</v>
      </c>
      <c r="F5436" s="1">
        <v>90</v>
      </c>
      <c r="H5436" s="1">
        <v>85.5</v>
      </c>
    </row>
    <row r="5437" s="1" customFormat="1" spans="1:8">
      <c r="A5437" s="1" t="s">
        <v>32</v>
      </c>
      <c r="B5437" s="1" t="s">
        <v>60</v>
      </c>
      <c r="C5437" s="1" t="str">
        <f t="shared" si="134"/>
        <v>020024</v>
      </c>
      <c r="D5437" s="1" t="str">
        <f>"512734224"</f>
        <v>512734224</v>
      </c>
      <c r="E5437" s="1">
        <v>72</v>
      </c>
      <c r="F5437" s="1">
        <v>64</v>
      </c>
      <c r="H5437" s="1">
        <v>68.8</v>
      </c>
    </row>
    <row r="5438" s="1" customFormat="1" spans="1:8">
      <c r="A5438" s="1" t="s">
        <v>32</v>
      </c>
      <c r="B5438" s="1" t="s">
        <v>60</v>
      </c>
      <c r="C5438" s="1" t="str">
        <f t="shared" si="134"/>
        <v>020024</v>
      </c>
      <c r="D5438" s="1" t="str">
        <f>"512734225"</f>
        <v>512734225</v>
      </c>
      <c r="E5438" s="1">
        <v>0</v>
      </c>
      <c r="F5438" s="1">
        <v>0</v>
      </c>
      <c r="H5438" s="1">
        <v>0</v>
      </c>
    </row>
    <row r="5439" s="1" customFormat="1" spans="1:8">
      <c r="A5439" s="1" t="s">
        <v>32</v>
      </c>
      <c r="B5439" s="1" t="s">
        <v>60</v>
      </c>
      <c r="C5439" s="1" t="str">
        <f t="shared" si="134"/>
        <v>020024</v>
      </c>
      <c r="D5439" s="1" t="str">
        <f>"512734226"</f>
        <v>512734226</v>
      </c>
      <c r="E5439" s="1">
        <v>73.5</v>
      </c>
      <c r="F5439" s="1">
        <v>61.5</v>
      </c>
      <c r="H5439" s="1">
        <v>68.7</v>
      </c>
    </row>
    <row r="5440" s="1" customFormat="1" spans="1:8">
      <c r="A5440" s="1" t="s">
        <v>32</v>
      </c>
      <c r="B5440" s="1" t="s">
        <v>60</v>
      </c>
      <c r="C5440" s="1" t="str">
        <f t="shared" si="134"/>
        <v>020024</v>
      </c>
      <c r="D5440" s="1" t="str">
        <f>"512734227"</f>
        <v>512734227</v>
      </c>
      <c r="E5440" s="1">
        <v>0</v>
      </c>
      <c r="F5440" s="1">
        <v>0</v>
      </c>
      <c r="H5440" s="1">
        <v>0</v>
      </c>
    </row>
    <row r="5441" s="1" customFormat="1" spans="1:8">
      <c r="A5441" s="1" t="s">
        <v>32</v>
      </c>
      <c r="B5441" s="1" t="s">
        <v>60</v>
      </c>
      <c r="C5441" s="1" t="str">
        <f t="shared" si="134"/>
        <v>020024</v>
      </c>
      <c r="D5441" s="1" t="str">
        <f>"512734228"</f>
        <v>512734228</v>
      </c>
      <c r="E5441" s="1">
        <v>81</v>
      </c>
      <c r="F5441" s="1">
        <v>83.5</v>
      </c>
      <c r="H5441" s="1">
        <v>82</v>
      </c>
    </row>
    <row r="5442" s="1" customFormat="1" spans="1:8">
      <c r="A5442" s="1" t="s">
        <v>32</v>
      </c>
      <c r="B5442" s="1" t="s">
        <v>60</v>
      </c>
      <c r="C5442" s="1" t="str">
        <f t="shared" si="134"/>
        <v>020024</v>
      </c>
      <c r="D5442" s="1" t="str">
        <f>"512734229"</f>
        <v>512734229</v>
      </c>
      <c r="E5442" s="1">
        <v>91</v>
      </c>
      <c r="F5442" s="1">
        <v>78</v>
      </c>
      <c r="H5442" s="1">
        <v>85.8</v>
      </c>
    </row>
    <row r="5443" s="1" customFormat="1" spans="1:8">
      <c r="A5443" s="1" t="s">
        <v>32</v>
      </c>
      <c r="B5443" s="1" t="s">
        <v>60</v>
      </c>
      <c r="C5443" s="1" t="str">
        <f t="shared" si="134"/>
        <v>020024</v>
      </c>
      <c r="D5443" s="1" t="str">
        <f>"512734230"</f>
        <v>512734230</v>
      </c>
      <c r="E5443" s="1">
        <v>0</v>
      </c>
      <c r="F5443" s="1">
        <v>0</v>
      </c>
      <c r="H5443" s="1">
        <v>0</v>
      </c>
    </row>
    <row r="5444" s="1" customFormat="1" spans="1:8">
      <c r="A5444" s="1" t="s">
        <v>32</v>
      </c>
      <c r="B5444" s="1" t="s">
        <v>60</v>
      </c>
      <c r="C5444" s="1" t="str">
        <f t="shared" si="134"/>
        <v>020024</v>
      </c>
      <c r="D5444" s="1" t="str">
        <f>"512734301"</f>
        <v>512734301</v>
      </c>
      <c r="E5444" s="1">
        <v>74</v>
      </c>
      <c r="F5444" s="1">
        <v>76</v>
      </c>
      <c r="H5444" s="1">
        <v>74.8</v>
      </c>
    </row>
    <row r="5445" s="1" customFormat="1" spans="1:8">
      <c r="A5445" s="1" t="s">
        <v>32</v>
      </c>
      <c r="B5445" s="1" t="s">
        <v>60</v>
      </c>
      <c r="C5445" s="1" t="str">
        <f t="shared" si="134"/>
        <v>020024</v>
      </c>
      <c r="D5445" s="1" t="str">
        <f>"512734302"</f>
        <v>512734302</v>
      </c>
      <c r="E5445" s="1">
        <v>77.5</v>
      </c>
      <c r="F5445" s="1">
        <v>65.5</v>
      </c>
      <c r="H5445" s="1">
        <v>72.7</v>
      </c>
    </row>
    <row r="5446" s="1" customFormat="1" spans="1:8">
      <c r="A5446" s="1" t="s">
        <v>32</v>
      </c>
      <c r="B5446" s="1" t="s">
        <v>60</v>
      </c>
      <c r="C5446" s="1" t="str">
        <f t="shared" si="134"/>
        <v>020024</v>
      </c>
      <c r="D5446" s="1" t="str">
        <f>"512734303"</f>
        <v>512734303</v>
      </c>
      <c r="E5446" s="1">
        <v>0</v>
      </c>
      <c r="F5446" s="1">
        <v>0</v>
      </c>
      <c r="H5446" s="1">
        <v>0</v>
      </c>
    </row>
    <row r="5447" s="1" customFormat="1" spans="1:8">
      <c r="A5447" s="1" t="s">
        <v>32</v>
      </c>
      <c r="B5447" s="1" t="s">
        <v>60</v>
      </c>
      <c r="C5447" s="1" t="str">
        <f t="shared" si="134"/>
        <v>020024</v>
      </c>
      <c r="D5447" s="1" t="str">
        <f>"512734304"</f>
        <v>512734304</v>
      </c>
      <c r="E5447" s="1">
        <v>0</v>
      </c>
      <c r="F5447" s="1">
        <v>0</v>
      </c>
      <c r="H5447" s="1">
        <v>0</v>
      </c>
    </row>
    <row r="5448" s="1" customFormat="1" spans="1:8">
      <c r="A5448" s="1" t="s">
        <v>32</v>
      </c>
      <c r="B5448" s="1" t="s">
        <v>60</v>
      </c>
      <c r="C5448" s="1" t="str">
        <f t="shared" si="134"/>
        <v>020024</v>
      </c>
      <c r="D5448" s="1" t="str">
        <f>"512734305"</f>
        <v>512734305</v>
      </c>
      <c r="E5448" s="1">
        <v>0</v>
      </c>
      <c r="F5448" s="1">
        <v>0</v>
      </c>
      <c r="H5448" s="1">
        <v>0</v>
      </c>
    </row>
    <row r="5449" s="1" customFormat="1" spans="1:8">
      <c r="A5449" s="1" t="s">
        <v>32</v>
      </c>
      <c r="B5449" s="1" t="s">
        <v>60</v>
      </c>
      <c r="C5449" s="1" t="str">
        <f t="shared" si="134"/>
        <v>020024</v>
      </c>
      <c r="D5449" s="1" t="str">
        <f>"512734306"</f>
        <v>512734306</v>
      </c>
      <c r="E5449" s="1">
        <v>76.5</v>
      </c>
      <c r="F5449" s="1">
        <v>76.5</v>
      </c>
      <c r="H5449" s="1">
        <v>76.5</v>
      </c>
    </row>
    <row r="5450" s="1" customFormat="1" spans="1:8">
      <c r="A5450" s="1" t="s">
        <v>32</v>
      </c>
      <c r="B5450" s="1" t="s">
        <v>60</v>
      </c>
      <c r="C5450" s="1" t="str">
        <f t="shared" si="134"/>
        <v>020024</v>
      </c>
      <c r="D5450" s="1" t="str">
        <f>"512734307"</f>
        <v>512734307</v>
      </c>
      <c r="E5450" s="1">
        <v>69</v>
      </c>
      <c r="F5450" s="1">
        <v>63</v>
      </c>
      <c r="H5450" s="1">
        <v>66.6</v>
      </c>
    </row>
    <row r="5451" s="1" customFormat="1" spans="1:8">
      <c r="A5451" s="1" t="s">
        <v>32</v>
      </c>
      <c r="B5451" s="1" t="s">
        <v>60</v>
      </c>
      <c r="C5451" s="1" t="str">
        <f t="shared" si="134"/>
        <v>020024</v>
      </c>
      <c r="D5451" s="1" t="str">
        <f>"512734308"</f>
        <v>512734308</v>
      </c>
      <c r="E5451" s="1">
        <v>0</v>
      </c>
      <c r="F5451" s="1">
        <v>0</v>
      </c>
      <c r="H5451" s="1">
        <v>0</v>
      </c>
    </row>
    <row r="5452" s="1" customFormat="1" spans="1:8">
      <c r="A5452" s="1" t="s">
        <v>32</v>
      </c>
      <c r="B5452" s="1" t="s">
        <v>60</v>
      </c>
      <c r="C5452" s="1" t="str">
        <f t="shared" si="134"/>
        <v>020024</v>
      </c>
      <c r="D5452" s="1" t="str">
        <f>"512734309"</f>
        <v>512734309</v>
      </c>
      <c r="E5452" s="1">
        <v>0</v>
      </c>
      <c r="F5452" s="1">
        <v>0</v>
      </c>
      <c r="H5452" s="1">
        <v>0</v>
      </c>
    </row>
    <row r="5453" s="1" customFormat="1" spans="1:8">
      <c r="A5453" s="1" t="s">
        <v>32</v>
      </c>
      <c r="B5453" s="1" t="s">
        <v>60</v>
      </c>
      <c r="C5453" s="1" t="str">
        <f t="shared" si="134"/>
        <v>020024</v>
      </c>
      <c r="D5453" s="1" t="str">
        <f>"512734310"</f>
        <v>512734310</v>
      </c>
      <c r="E5453" s="1">
        <v>51</v>
      </c>
      <c r="F5453" s="1">
        <v>50.5</v>
      </c>
      <c r="H5453" s="1">
        <v>50.8</v>
      </c>
    </row>
    <row r="5454" s="1" customFormat="1" spans="1:8">
      <c r="A5454" s="1" t="s">
        <v>32</v>
      </c>
      <c r="B5454" s="1" t="s">
        <v>60</v>
      </c>
      <c r="C5454" s="1" t="str">
        <f t="shared" si="134"/>
        <v>020024</v>
      </c>
      <c r="D5454" s="1" t="str">
        <f>"512734311"</f>
        <v>512734311</v>
      </c>
      <c r="E5454" s="1">
        <v>67</v>
      </c>
      <c r="F5454" s="1">
        <v>72</v>
      </c>
      <c r="H5454" s="1">
        <v>69</v>
      </c>
    </row>
    <row r="5455" s="1" customFormat="1" spans="1:8">
      <c r="A5455" s="1" t="s">
        <v>32</v>
      </c>
      <c r="B5455" s="1" t="s">
        <v>60</v>
      </c>
      <c r="C5455" s="1" t="str">
        <f t="shared" si="134"/>
        <v>020024</v>
      </c>
      <c r="D5455" s="1" t="str">
        <f>"512734312"</f>
        <v>512734312</v>
      </c>
      <c r="E5455" s="1">
        <v>0</v>
      </c>
      <c r="F5455" s="1">
        <v>0</v>
      </c>
      <c r="H5455" s="1">
        <v>0</v>
      </c>
    </row>
    <row r="5456" s="1" customFormat="1" spans="1:8">
      <c r="A5456" s="1" t="s">
        <v>32</v>
      </c>
      <c r="B5456" s="1" t="s">
        <v>60</v>
      </c>
      <c r="C5456" s="1" t="str">
        <f t="shared" si="134"/>
        <v>020024</v>
      </c>
      <c r="D5456" s="1" t="str">
        <f>"512734313"</f>
        <v>512734313</v>
      </c>
      <c r="E5456" s="1">
        <v>0</v>
      </c>
      <c r="F5456" s="1">
        <v>0</v>
      </c>
      <c r="H5456" s="1">
        <v>0</v>
      </c>
    </row>
    <row r="5457" s="1" customFormat="1" spans="1:8">
      <c r="A5457" s="1" t="s">
        <v>32</v>
      </c>
      <c r="B5457" s="1" t="s">
        <v>60</v>
      </c>
      <c r="C5457" s="1" t="str">
        <f t="shared" si="134"/>
        <v>020024</v>
      </c>
      <c r="D5457" s="1" t="str">
        <f>"512734314"</f>
        <v>512734314</v>
      </c>
      <c r="E5457" s="1">
        <v>0</v>
      </c>
      <c r="F5457" s="1">
        <v>0</v>
      </c>
      <c r="H5457" s="1">
        <v>0</v>
      </c>
    </row>
    <row r="5458" s="1" customFormat="1" spans="1:8">
      <c r="A5458" s="1" t="s">
        <v>32</v>
      </c>
      <c r="B5458" s="1" t="s">
        <v>60</v>
      </c>
      <c r="C5458" s="1" t="str">
        <f t="shared" si="134"/>
        <v>020024</v>
      </c>
      <c r="D5458" s="1" t="str">
        <f>"512734315"</f>
        <v>512734315</v>
      </c>
      <c r="E5458" s="1">
        <v>65.5</v>
      </c>
      <c r="F5458" s="1">
        <v>67.5</v>
      </c>
      <c r="H5458" s="1">
        <v>66.3</v>
      </c>
    </row>
    <row r="5459" s="1" customFormat="1" spans="1:8">
      <c r="A5459" s="1" t="s">
        <v>32</v>
      </c>
      <c r="B5459" s="1" t="s">
        <v>60</v>
      </c>
      <c r="C5459" s="1" t="str">
        <f t="shared" si="134"/>
        <v>020024</v>
      </c>
      <c r="D5459" s="1" t="str">
        <f>"512734316"</f>
        <v>512734316</v>
      </c>
      <c r="E5459" s="1">
        <v>0</v>
      </c>
      <c r="F5459" s="1">
        <v>0</v>
      </c>
      <c r="H5459" s="1">
        <v>0</v>
      </c>
    </row>
    <row r="5460" s="1" customFormat="1" spans="1:8">
      <c r="A5460" s="1" t="s">
        <v>32</v>
      </c>
      <c r="B5460" s="1" t="s">
        <v>60</v>
      </c>
      <c r="C5460" s="1" t="str">
        <f t="shared" si="134"/>
        <v>020024</v>
      </c>
      <c r="D5460" s="1" t="str">
        <f>"512734317"</f>
        <v>512734317</v>
      </c>
      <c r="E5460" s="1">
        <v>60</v>
      </c>
      <c r="F5460" s="1">
        <v>55</v>
      </c>
      <c r="H5460" s="1">
        <v>58</v>
      </c>
    </row>
    <row r="5461" s="1" customFormat="1" spans="1:8">
      <c r="A5461" s="1" t="s">
        <v>32</v>
      </c>
      <c r="B5461" s="1" t="s">
        <v>60</v>
      </c>
      <c r="C5461" s="1" t="str">
        <f t="shared" si="134"/>
        <v>020024</v>
      </c>
      <c r="D5461" s="1" t="str">
        <f>"512734318"</f>
        <v>512734318</v>
      </c>
      <c r="E5461" s="1">
        <v>53</v>
      </c>
      <c r="F5461" s="1">
        <v>60.5</v>
      </c>
      <c r="H5461" s="1">
        <v>56</v>
      </c>
    </row>
    <row r="5462" s="1" customFormat="1" spans="1:8">
      <c r="A5462" s="1" t="s">
        <v>32</v>
      </c>
      <c r="B5462" s="1" t="s">
        <v>60</v>
      </c>
      <c r="C5462" s="1" t="str">
        <f t="shared" si="134"/>
        <v>020024</v>
      </c>
      <c r="D5462" s="1" t="str">
        <f>"512734319"</f>
        <v>512734319</v>
      </c>
      <c r="E5462" s="1">
        <v>0</v>
      </c>
      <c r="F5462" s="1">
        <v>0</v>
      </c>
      <c r="H5462" s="1">
        <v>0</v>
      </c>
    </row>
    <row r="5463" s="1" customFormat="1" spans="1:8">
      <c r="A5463" s="1" t="s">
        <v>34</v>
      </c>
      <c r="B5463" s="1" t="s">
        <v>60</v>
      </c>
      <c r="C5463" s="1" t="str">
        <f t="shared" ref="C5463:C5471" si="135">"020039"</f>
        <v>020039</v>
      </c>
      <c r="D5463" s="1" t="str">
        <f>"512734320"</f>
        <v>512734320</v>
      </c>
      <c r="E5463" s="1">
        <v>68.5</v>
      </c>
      <c r="F5463" s="1">
        <v>57.5</v>
      </c>
      <c r="H5463" s="1">
        <v>64.1</v>
      </c>
    </row>
    <row r="5464" s="1" customFormat="1" spans="1:8">
      <c r="A5464" s="1" t="s">
        <v>34</v>
      </c>
      <c r="B5464" s="1" t="s">
        <v>60</v>
      </c>
      <c r="C5464" s="1" t="str">
        <f t="shared" si="135"/>
        <v>020039</v>
      </c>
      <c r="D5464" s="1" t="str">
        <f>"512734321"</f>
        <v>512734321</v>
      </c>
      <c r="E5464" s="1">
        <v>53</v>
      </c>
      <c r="F5464" s="1">
        <v>63</v>
      </c>
      <c r="H5464" s="1">
        <v>57</v>
      </c>
    </row>
    <row r="5465" s="1" customFormat="1" spans="1:8">
      <c r="A5465" s="1" t="s">
        <v>34</v>
      </c>
      <c r="B5465" s="1" t="s">
        <v>60</v>
      </c>
      <c r="C5465" s="1" t="str">
        <f t="shared" si="135"/>
        <v>020039</v>
      </c>
      <c r="D5465" s="1" t="str">
        <f>"512734322"</f>
        <v>512734322</v>
      </c>
      <c r="E5465" s="1">
        <v>0</v>
      </c>
      <c r="F5465" s="1">
        <v>0</v>
      </c>
      <c r="H5465" s="1">
        <v>0</v>
      </c>
    </row>
    <row r="5466" s="1" customFormat="1" spans="1:8">
      <c r="A5466" s="1" t="s">
        <v>34</v>
      </c>
      <c r="B5466" s="1" t="s">
        <v>60</v>
      </c>
      <c r="C5466" s="1" t="str">
        <f t="shared" si="135"/>
        <v>020039</v>
      </c>
      <c r="D5466" s="1" t="str">
        <f>"512734323"</f>
        <v>512734323</v>
      </c>
      <c r="E5466" s="1">
        <v>77</v>
      </c>
      <c r="F5466" s="1">
        <v>70</v>
      </c>
      <c r="H5466" s="1">
        <v>74.2</v>
      </c>
    </row>
    <row r="5467" s="1" customFormat="1" spans="1:8">
      <c r="A5467" s="1" t="s">
        <v>34</v>
      </c>
      <c r="B5467" s="1" t="s">
        <v>60</v>
      </c>
      <c r="C5467" s="1" t="str">
        <f t="shared" si="135"/>
        <v>020039</v>
      </c>
      <c r="D5467" s="1" t="str">
        <f>"512734324"</f>
        <v>512734324</v>
      </c>
      <c r="E5467" s="1">
        <v>73</v>
      </c>
      <c r="F5467" s="1">
        <v>84</v>
      </c>
      <c r="H5467" s="1">
        <v>77.4</v>
      </c>
    </row>
    <row r="5468" s="1" customFormat="1" spans="1:8">
      <c r="A5468" s="1" t="s">
        <v>34</v>
      </c>
      <c r="B5468" s="1" t="s">
        <v>60</v>
      </c>
      <c r="C5468" s="1" t="str">
        <f t="shared" si="135"/>
        <v>020039</v>
      </c>
      <c r="D5468" s="1" t="str">
        <f>"512734325"</f>
        <v>512734325</v>
      </c>
      <c r="E5468" s="1">
        <v>0</v>
      </c>
      <c r="F5468" s="1">
        <v>0</v>
      </c>
      <c r="H5468" s="1">
        <v>0</v>
      </c>
    </row>
    <row r="5469" s="1" customFormat="1" spans="1:8">
      <c r="A5469" s="1" t="s">
        <v>34</v>
      </c>
      <c r="B5469" s="1" t="s">
        <v>60</v>
      </c>
      <c r="C5469" s="1" t="str">
        <f t="shared" si="135"/>
        <v>020039</v>
      </c>
      <c r="D5469" s="1" t="str">
        <f>"512734326"</f>
        <v>512734326</v>
      </c>
      <c r="E5469" s="1">
        <v>0</v>
      </c>
      <c r="F5469" s="1">
        <v>0</v>
      </c>
      <c r="H5469" s="1">
        <v>0</v>
      </c>
    </row>
    <row r="5470" s="1" customFormat="1" spans="1:8">
      <c r="A5470" s="1" t="s">
        <v>34</v>
      </c>
      <c r="B5470" s="1" t="s">
        <v>60</v>
      </c>
      <c r="C5470" s="1" t="str">
        <f t="shared" si="135"/>
        <v>020039</v>
      </c>
      <c r="D5470" s="1" t="str">
        <f>"512734327"</f>
        <v>512734327</v>
      </c>
      <c r="E5470" s="1">
        <v>75</v>
      </c>
      <c r="F5470" s="1">
        <v>65.5</v>
      </c>
      <c r="H5470" s="1">
        <v>71.2</v>
      </c>
    </row>
    <row r="5471" s="1" customFormat="1" spans="1:8">
      <c r="A5471" s="1" t="s">
        <v>34</v>
      </c>
      <c r="B5471" s="1" t="s">
        <v>60</v>
      </c>
      <c r="C5471" s="1" t="str">
        <f t="shared" si="135"/>
        <v>020039</v>
      </c>
      <c r="D5471" s="1" t="str">
        <f>"512734328"</f>
        <v>512734328</v>
      </c>
      <c r="E5471" s="1">
        <v>66.5</v>
      </c>
      <c r="F5471" s="1">
        <v>64.5</v>
      </c>
      <c r="H5471" s="1">
        <v>65.7</v>
      </c>
    </row>
    <row r="5472" s="1" customFormat="1" spans="1:8">
      <c r="A5472" s="1" t="s">
        <v>38</v>
      </c>
      <c r="B5472" s="1" t="s">
        <v>60</v>
      </c>
      <c r="C5472" s="1" t="str">
        <f t="shared" ref="C5472:C5479" si="136">"020042"</f>
        <v>020042</v>
      </c>
      <c r="D5472" s="1" t="str">
        <f>"512734329"</f>
        <v>512734329</v>
      </c>
      <c r="E5472" s="1">
        <v>0</v>
      </c>
      <c r="F5472" s="1">
        <v>0</v>
      </c>
      <c r="H5472" s="1">
        <v>0</v>
      </c>
    </row>
    <row r="5473" s="1" customFormat="1" spans="1:8">
      <c r="A5473" s="1" t="s">
        <v>38</v>
      </c>
      <c r="B5473" s="1" t="s">
        <v>60</v>
      </c>
      <c r="C5473" s="1" t="str">
        <f t="shared" si="136"/>
        <v>020042</v>
      </c>
      <c r="D5473" s="1" t="str">
        <f>"512734330"</f>
        <v>512734330</v>
      </c>
      <c r="E5473" s="1">
        <v>83.5</v>
      </c>
      <c r="F5473" s="1">
        <v>89.5</v>
      </c>
      <c r="H5473" s="1">
        <v>85.9</v>
      </c>
    </row>
    <row r="5474" s="1" customFormat="1" spans="1:8">
      <c r="A5474" s="1" t="s">
        <v>38</v>
      </c>
      <c r="B5474" s="1" t="s">
        <v>60</v>
      </c>
      <c r="C5474" s="1" t="str">
        <f t="shared" si="136"/>
        <v>020042</v>
      </c>
      <c r="D5474" s="1" t="str">
        <f>"512734401"</f>
        <v>512734401</v>
      </c>
      <c r="E5474" s="1">
        <v>71</v>
      </c>
      <c r="F5474" s="1">
        <v>69.5</v>
      </c>
      <c r="H5474" s="1">
        <v>70.4</v>
      </c>
    </row>
    <row r="5475" s="1" customFormat="1" spans="1:8">
      <c r="A5475" s="1" t="s">
        <v>38</v>
      </c>
      <c r="B5475" s="1" t="s">
        <v>60</v>
      </c>
      <c r="C5475" s="1" t="str">
        <f t="shared" si="136"/>
        <v>020042</v>
      </c>
      <c r="D5475" s="1" t="str">
        <f>"512734402"</f>
        <v>512734402</v>
      </c>
      <c r="E5475" s="1">
        <v>74.5</v>
      </c>
      <c r="F5475" s="1">
        <v>79</v>
      </c>
      <c r="H5475" s="1">
        <v>76.3</v>
      </c>
    </row>
    <row r="5476" s="1" customFormat="1" spans="1:8">
      <c r="A5476" s="1" t="s">
        <v>38</v>
      </c>
      <c r="B5476" s="1" t="s">
        <v>60</v>
      </c>
      <c r="C5476" s="1" t="str">
        <f t="shared" si="136"/>
        <v>020042</v>
      </c>
      <c r="D5476" s="1" t="str">
        <f>"512734403"</f>
        <v>512734403</v>
      </c>
      <c r="E5476" s="1">
        <v>0</v>
      </c>
      <c r="F5476" s="1">
        <v>0</v>
      </c>
      <c r="H5476" s="1">
        <v>0</v>
      </c>
    </row>
    <row r="5477" s="1" customFormat="1" spans="1:8">
      <c r="A5477" s="1" t="s">
        <v>38</v>
      </c>
      <c r="B5477" s="1" t="s">
        <v>60</v>
      </c>
      <c r="C5477" s="1" t="str">
        <f t="shared" si="136"/>
        <v>020042</v>
      </c>
      <c r="D5477" s="1" t="str">
        <f>"512734404"</f>
        <v>512734404</v>
      </c>
      <c r="E5477" s="1">
        <v>66.5</v>
      </c>
      <c r="F5477" s="1">
        <v>65.5</v>
      </c>
      <c r="H5477" s="1">
        <v>66.1</v>
      </c>
    </row>
    <row r="5478" s="1" customFormat="1" spans="1:8">
      <c r="A5478" s="1" t="s">
        <v>38</v>
      </c>
      <c r="B5478" s="1" t="s">
        <v>60</v>
      </c>
      <c r="C5478" s="1" t="str">
        <f t="shared" si="136"/>
        <v>020042</v>
      </c>
      <c r="D5478" s="1" t="str">
        <f>"512734405"</f>
        <v>512734405</v>
      </c>
      <c r="E5478" s="1">
        <v>75</v>
      </c>
      <c r="F5478" s="1">
        <v>62</v>
      </c>
      <c r="H5478" s="1">
        <v>69.8</v>
      </c>
    </row>
    <row r="5479" s="1" customFormat="1" spans="1:8">
      <c r="A5479" s="1" t="s">
        <v>38</v>
      </c>
      <c r="B5479" s="1" t="s">
        <v>60</v>
      </c>
      <c r="C5479" s="1" t="str">
        <f t="shared" si="136"/>
        <v>020042</v>
      </c>
      <c r="D5479" s="1" t="str">
        <f>"512734406"</f>
        <v>512734406</v>
      </c>
      <c r="E5479" s="1">
        <v>0</v>
      </c>
      <c r="F5479" s="1">
        <v>0</v>
      </c>
      <c r="H5479" s="1">
        <v>0</v>
      </c>
    </row>
    <row r="5480" s="1" customFormat="1" spans="1:8">
      <c r="A5480" s="1" t="s">
        <v>38</v>
      </c>
      <c r="B5480" s="1" t="s">
        <v>60</v>
      </c>
      <c r="C5480" s="1" t="str">
        <f t="shared" ref="C5480:C5489" si="137">"020043"</f>
        <v>020043</v>
      </c>
      <c r="D5480" s="1" t="str">
        <f>"512734407"</f>
        <v>512734407</v>
      </c>
      <c r="E5480" s="1">
        <v>62.5</v>
      </c>
      <c r="F5480" s="1">
        <v>70</v>
      </c>
      <c r="H5480" s="1">
        <v>65.5</v>
      </c>
    </row>
    <row r="5481" s="1" customFormat="1" spans="1:8">
      <c r="A5481" s="1" t="s">
        <v>38</v>
      </c>
      <c r="B5481" s="1" t="s">
        <v>60</v>
      </c>
      <c r="C5481" s="1" t="str">
        <f t="shared" si="137"/>
        <v>020043</v>
      </c>
      <c r="D5481" s="1" t="str">
        <f>"512734408"</f>
        <v>512734408</v>
      </c>
      <c r="E5481" s="1">
        <v>57</v>
      </c>
      <c r="F5481" s="1">
        <v>53.5</v>
      </c>
      <c r="H5481" s="1">
        <v>55.6</v>
      </c>
    </row>
    <row r="5482" s="1" customFormat="1" spans="1:8">
      <c r="A5482" s="1" t="s">
        <v>38</v>
      </c>
      <c r="B5482" s="1" t="s">
        <v>60</v>
      </c>
      <c r="C5482" s="1" t="str">
        <f t="shared" si="137"/>
        <v>020043</v>
      </c>
      <c r="D5482" s="1" t="str">
        <f>"512734409"</f>
        <v>512734409</v>
      </c>
      <c r="E5482" s="1">
        <v>71</v>
      </c>
      <c r="F5482" s="1">
        <v>75.5</v>
      </c>
      <c r="H5482" s="1">
        <v>72.8</v>
      </c>
    </row>
    <row r="5483" s="1" customFormat="1" spans="1:8">
      <c r="A5483" s="1" t="s">
        <v>38</v>
      </c>
      <c r="B5483" s="1" t="s">
        <v>60</v>
      </c>
      <c r="C5483" s="1" t="str">
        <f t="shared" si="137"/>
        <v>020043</v>
      </c>
      <c r="D5483" s="1" t="str">
        <f>"512734410"</f>
        <v>512734410</v>
      </c>
      <c r="E5483" s="1">
        <v>68.5</v>
      </c>
      <c r="F5483" s="1">
        <v>77</v>
      </c>
      <c r="H5483" s="1">
        <v>71.9</v>
      </c>
    </row>
    <row r="5484" s="1" customFormat="1" spans="1:8">
      <c r="A5484" s="1" t="s">
        <v>38</v>
      </c>
      <c r="B5484" s="1" t="s">
        <v>60</v>
      </c>
      <c r="C5484" s="1" t="str">
        <f t="shared" si="137"/>
        <v>020043</v>
      </c>
      <c r="D5484" s="1" t="str">
        <f>"512734411"</f>
        <v>512734411</v>
      </c>
      <c r="E5484" s="1">
        <v>74</v>
      </c>
      <c r="F5484" s="1">
        <v>73.5</v>
      </c>
      <c r="H5484" s="1">
        <v>73.8</v>
      </c>
    </row>
    <row r="5485" s="1" customFormat="1" spans="1:8">
      <c r="A5485" s="1" t="s">
        <v>38</v>
      </c>
      <c r="B5485" s="1" t="s">
        <v>60</v>
      </c>
      <c r="C5485" s="1" t="str">
        <f t="shared" si="137"/>
        <v>020043</v>
      </c>
      <c r="D5485" s="1" t="str">
        <f>"512734412"</f>
        <v>512734412</v>
      </c>
      <c r="E5485" s="1">
        <v>61.5</v>
      </c>
      <c r="F5485" s="1">
        <v>61</v>
      </c>
      <c r="H5485" s="1">
        <v>61.3</v>
      </c>
    </row>
    <row r="5486" s="1" customFormat="1" spans="1:8">
      <c r="A5486" s="1" t="s">
        <v>38</v>
      </c>
      <c r="B5486" s="1" t="s">
        <v>60</v>
      </c>
      <c r="C5486" s="1" t="str">
        <f t="shared" si="137"/>
        <v>020043</v>
      </c>
      <c r="D5486" s="1" t="str">
        <f>"512734413"</f>
        <v>512734413</v>
      </c>
      <c r="E5486" s="1">
        <v>68</v>
      </c>
      <c r="F5486" s="1">
        <v>54</v>
      </c>
      <c r="H5486" s="1">
        <v>62.4</v>
      </c>
    </row>
    <row r="5487" s="1" customFormat="1" spans="1:8">
      <c r="A5487" s="1" t="s">
        <v>38</v>
      </c>
      <c r="B5487" s="1" t="s">
        <v>60</v>
      </c>
      <c r="C5487" s="1" t="str">
        <f t="shared" si="137"/>
        <v>020043</v>
      </c>
      <c r="D5487" s="1" t="str">
        <f>"512734414"</f>
        <v>512734414</v>
      </c>
      <c r="E5487" s="1">
        <v>69.5</v>
      </c>
      <c r="F5487" s="1">
        <v>63</v>
      </c>
      <c r="H5487" s="1">
        <v>66.9</v>
      </c>
    </row>
    <row r="5488" s="1" customFormat="1" spans="1:8">
      <c r="A5488" s="1" t="s">
        <v>38</v>
      </c>
      <c r="B5488" s="1" t="s">
        <v>60</v>
      </c>
      <c r="C5488" s="1" t="str">
        <f t="shared" si="137"/>
        <v>020043</v>
      </c>
      <c r="D5488" s="1" t="str">
        <f>"512734415"</f>
        <v>512734415</v>
      </c>
      <c r="E5488" s="1">
        <v>0</v>
      </c>
      <c r="F5488" s="1">
        <v>0</v>
      </c>
      <c r="H5488" s="1">
        <v>0</v>
      </c>
    </row>
    <row r="5489" s="1" customFormat="1" spans="1:8">
      <c r="A5489" s="1" t="s">
        <v>38</v>
      </c>
      <c r="B5489" s="1" t="s">
        <v>60</v>
      </c>
      <c r="C5489" s="1" t="str">
        <f t="shared" si="137"/>
        <v>020043</v>
      </c>
      <c r="D5489" s="1" t="str">
        <f>"512734416"</f>
        <v>512734416</v>
      </c>
      <c r="E5489" s="1">
        <v>55</v>
      </c>
      <c r="F5489" s="1">
        <v>54.5</v>
      </c>
      <c r="H5489" s="1">
        <v>54.8</v>
      </c>
    </row>
    <row r="5490" s="1" customFormat="1" spans="1:8">
      <c r="A5490" s="1" t="s">
        <v>37</v>
      </c>
      <c r="B5490" s="1" t="s">
        <v>61</v>
      </c>
      <c r="C5490" s="1" t="str">
        <f t="shared" ref="C5490:C5528" si="138">"020053"</f>
        <v>020053</v>
      </c>
      <c r="D5490" s="1" t="str">
        <f>"512734417"</f>
        <v>512734417</v>
      </c>
      <c r="E5490" s="1">
        <v>58</v>
      </c>
      <c r="F5490" s="1">
        <v>62.5</v>
      </c>
      <c r="H5490" s="1">
        <v>59.8</v>
      </c>
    </row>
    <row r="5491" s="1" customFormat="1" spans="1:8">
      <c r="A5491" s="1" t="s">
        <v>37</v>
      </c>
      <c r="B5491" s="1" t="s">
        <v>61</v>
      </c>
      <c r="C5491" s="1" t="str">
        <f t="shared" si="138"/>
        <v>020053</v>
      </c>
      <c r="D5491" s="1" t="str">
        <f>"512734418"</f>
        <v>512734418</v>
      </c>
      <c r="E5491" s="1">
        <v>57</v>
      </c>
      <c r="F5491" s="1">
        <v>67</v>
      </c>
      <c r="H5491" s="1">
        <v>61</v>
      </c>
    </row>
    <row r="5492" s="1" customFormat="1" spans="1:8">
      <c r="A5492" s="1" t="s">
        <v>37</v>
      </c>
      <c r="B5492" s="1" t="s">
        <v>61</v>
      </c>
      <c r="C5492" s="1" t="str">
        <f t="shared" si="138"/>
        <v>020053</v>
      </c>
      <c r="D5492" s="1" t="str">
        <f>"512734419"</f>
        <v>512734419</v>
      </c>
      <c r="E5492" s="1">
        <v>75.5</v>
      </c>
      <c r="F5492" s="1">
        <v>74.5</v>
      </c>
      <c r="G5492" s="1">
        <v>2</v>
      </c>
      <c r="H5492" s="1">
        <v>77.1</v>
      </c>
    </row>
    <row r="5493" s="1" customFormat="1" spans="1:8">
      <c r="A5493" s="1" t="s">
        <v>37</v>
      </c>
      <c r="B5493" s="1" t="s">
        <v>61</v>
      </c>
      <c r="C5493" s="1" t="str">
        <f t="shared" si="138"/>
        <v>020053</v>
      </c>
      <c r="D5493" s="1" t="str">
        <f>"512734420"</f>
        <v>512734420</v>
      </c>
      <c r="E5493" s="1">
        <v>61.5</v>
      </c>
      <c r="F5493" s="1">
        <v>57.5</v>
      </c>
      <c r="H5493" s="1">
        <v>59.9</v>
      </c>
    </row>
    <row r="5494" s="1" customFormat="1" spans="1:8">
      <c r="A5494" s="1" t="s">
        <v>37</v>
      </c>
      <c r="B5494" s="1" t="s">
        <v>61</v>
      </c>
      <c r="C5494" s="1" t="str">
        <f t="shared" si="138"/>
        <v>020053</v>
      </c>
      <c r="D5494" s="1" t="str">
        <f>"512734421"</f>
        <v>512734421</v>
      </c>
      <c r="E5494" s="1">
        <v>0</v>
      </c>
      <c r="F5494" s="1">
        <v>0</v>
      </c>
      <c r="H5494" s="1">
        <v>0</v>
      </c>
    </row>
    <row r="5495" s="1" customFormat="1" spans="1:8">
      <c r="A5495" s="1" t="s">
        <v>37</v>
      </c>
      <c r="B5495" s="1" t="s">
        <v>61</v>
      </c>
      <c r="C5495" s="1" t="str">
        <f t="shared" si="138"/>
        <v>020053</v>
      </c>
      <c r="D5495" s="1" t="str">
        <f>"512734422"</f>
        <v>512734422</v>
      </c>
      <c r="E5495" s="1">
        <v>67.5</v>
      </c>
      <c r="F5495" s="1">
        <v>59.5</v>
      </c>
      <c r="H5495" s="1">
        <v>64.3</v>
      </c>
    </row>
    <row r="5496" s="1" customFormat="1" spans="1:8">
      <c r="A5496" s="1" t="s">
        <v>37</v>
      </c>
      <c r="B5496" s="1" t="s">
        <v>61</v>
      </c>
      <c r="C5496" s="1" t="str">
        <f t="shared" si="138"/>
        <v>020053</v>
      </c>
      <c r="D5496" s="1" t="str">
        <f>"512734423"</f>
        <v>512734423</v>
      </c>
      <c r="E5496" s="1">
        <v>84.5</v>
      </c>
      <c r="F5496" s="1">
        <v>80</v>
      </c>
      <c r="H5496" s="1">
        <v>82.7</v>
      </c>
    </row>
    <row r="5497" s="1" customFormat="1" spans="1:8">
      <c r="A5497" s="1" t="s">
        <v>37</v>
      </c>
      <c r="B5497" s="1" t="s">
        <v>61</v>
      </c>
      <c r="C5497" s="1" t="str">
        <f t="shared" si="138"/>
        <v>020053</v>
      </c>
      <c r="D5497" s="1" t="str">
        <f>"512734424"</f>
        <v>512734424</v>
      </c>
      <c r="E5497" s="1">
        <v>48.5</v>
      </c>
      <c r="F5497" s="1">
        <v>54.5</v>
      </c>
      <c r="H5497" s="1">
        <v>50.9</v>
      </c>
    </row>
    <row r="5498" s="1" customFormat="1" spans="1:8">
      <c r="A5498" s="1" t="s">
        <v>37</v>
      </c>
      <c r="B5498" s="1" t="s">
        <v>61</v>
      </c>
      <c r="C5498" s="1" t="str">
        <f t="shared" si="138"/>
        <v>020053</v>
      </c>
      <c r="D5498" s="1" t="str">
        <f>"512734425"</f>
        <v>512734425</v>
      </c>
      <c r="E5498" s="1">
        <v>0</v>
      </c>
      <c r="F5498" s="1">
        <v>0</v>
      </c>
      <c r="H5498" s="1">
        <v>0</v>
      </c>
    </row>
    <row r="5499" s="1" customFormat="1" spans="1:8">
      <c r="A5499" s="1" t="s">
        <v>37</v>
      </c>
      <c r="B5499" s="1" t="s">
        <v>61</v>
      </c>
      <c r="C5499" s="1" t="str">
        <f t="shared" si="138"/>
        <v>020053</v>
      </c>
      <c r="D5499" s="1" t="str">
        <f>"512734426"</f>
        <v>512734426</v>
      </c>
      <c r="E5499" s="1">
        <v>89</v>
      </c>
      <c r="F5499" s="1">
        <v>87.5</v>
      </c>
      <c r="H5499" s="1">
        <v>88.4</v>
      </c>
    </row>
    <row r="5500" s="1" customFormat="1" spans="1:8">
      <c r="A5500" s="1" t="s">
        <v>37</v>
      </c>
      <c r="B5500" s="1" t="s">
        <v>61</v>
      </c>
      <c r="C5500" s="1" t="str">
        <f t="shared" si="138"/>
        <v>020053</v>
      </c>
      <c r="D5500" s="1" t="str">
        <f>"512734427"</f>
        <v>512734427</v>
      </c>
      <c r="E5500" s="1">
        <v>69</v>
      </c>
      <c r="F5500" s="1">
        <v>61.5</v>
      </c>
      <c r="H5500" s="1">
        <v>66</v>
      </c>
    </row>
    <row r="5501" s="1" customFormat="1" spans="1:8">
      <c r="A5501" s="1" t="s">
        <v>37</v>
      </c>
      <c r="B5501" s="1" t="s">
        <v>61</v>
      </c>
      <c r="C5501" s="1" t="str">
        <f t="shared" si="138"/>
        <v>020053</v>
      </c>
      <c r="D5501" s="1" t="str">
        <f>"512734428"</f>
        <v>512734428</v>
      </c>
      <c r="E5501" s="1">
        <v>54</v>
      </c>
      <c r="F5501" s="1">
        <v>55.5</v>
      </c>
      <c r="H5501" s="1">
        <v>54.6</v>
      </c>
    </row>
    <row r="5502" s="1" customFormat="1" spans="1:8">
      <c r="A5502" s="1" t="s">
        <v>37</v>
      </c>
      <c r="B5502" s="1" t="s">
        <v>61</v>
      </c>
      <c r="C5502" s="1" t="str">
        <f t="shared" si="138"/>
        <v>020053</v>
      </c>
      <c r="D5502" s="1" t="str">
        <f>"512734429"</f>
        <v>512734429</v>
      </c>
      <c r="E5502" s="1">
        <v>66.5</v>
      </c>
      <c r="F5502" s="1">
        <v>61</v>
      </c>
      <c r="H5502" s="1">
        <v>64.3</v>
      </c>
    </row>
    <row r="5503" s="1" customFormat="1" spans="1:8">
      <c r="A5503" s="1" t="s">
        <v>37</v>
      </c>
      <c r="B5503" s="1" t="s">
        <v>61</v>
      </c>
      <c r="C5503" s="1" t="str">
        <f t="shared" si="138"/>
        <v>020053</v>
      </c>
      <c r="D5503" s="1" t="str">
        <f>"512734430"</f>
        <v>512734430</v>
      </c>
      <c r="E5503" s="1">
        <v>39</v>
      </c>
      <c r="F5503" s="1">
        <v>0</v>
      </c>
      <c r="H5503" s="1">
        <v>23.4</v>
      </c>
    </row>
    <row r="5504" s="1" customFormat="1" spans="1:8">
      <c r="A5504" s="1" t="s">
        <v>37</v>
      </c>
      <c r="B5504" s="1" t="s">
        <v>61</v>
      </c>
      <c r="C5504" s="1" t="str">
        <f t="shared" si="138"/>
        <v>020053</v>
      </c>
      <c r="D5504" s="1" t="str">
        <f>"512734501"</f>
        <v>512734501</v>
      </c>
      <c r="E5504" s="1">
        <v>0</v>
      </c>
      <c r="F5504" s="1">
        <v>0</v>
      </c>
      <c r="H5504" s="1">
        <v>0</v>
      </c>
    </row>
    <row r="5505" s="1" customFormat="1" spans="1:8">
      <c r="A5505" s="1" t="s">
        <v>37</v>
      </c>
      <c r="B5505" s="1" t="s">
        <v>61</v>
      </c>
      <c r="C5505" s="1" t="str">
        <f t="shared" si="138"/>
        <v>020053</v>
      </c>
      <c r="D5505" s="1" t="str">
        <f>"512734502"</f>
        <v>512734502</v>
      </c>
      <c r="E5505" s="1">
        <v>0</v>
      </c>
      <c r="F5505" s="1">
        <v>0</v>
      </c>
      <c r="H5505" s="1">
        <v>0</v>
      </c>
    </row>
    <row r="5506" s="1" customFormat="1" spans="1:8">
      <c r="A5506" s="1" t="s">
        <v>37</v>
      </c>
      <c r="B5506" s="1" t="s">
        <v>61</v>
      </c>
      <c r="C5506" s="1" t="str">
        <f t="shared" si="138"/>
        <v>020053</v>
      </c>
      <c r="D5506" s="1" t="str">
        <f>"512734503"</f>
        <v>512734503</v>
      </c>
      <c r="E5506" s="1">
        <v>77.5</v>
      </c>
      <c r="F5506" s="1">
        <v>81</v>
      </c>
      <c r="H5506" s="1">
        <v>78.9</v>
      </c>
    </row>
    <row r="5507" s="1" customFormat="1" spans="1:8">
      <c r="A5507" s="1" t="s">
        <v>37</v>
      </c>
      <c r="B5507" s="1" t="s">
        <v>61</v>
      </c>
      <c r="C5507" s="1" t="str">
        <f t="shared" si="138"/>
        <v>020053</v>
      </c>
      <c r="D5507" s="1" t="str">
        <f>"512734504"</f>
        <v>512734504</v>
      </c>
      <c r="E5507" s="1">
        <v>67</v>
      </c>
      <c r="F5507" s="1">
        <v>76.5</v>
      </c>
      <c r="H5507" s="1">
        <v>70.8</v>
      </c>
    </row>
    <row r="5508" s="1" customFormat="1" spans="1:8">
      <c r="A5508" s="1" t="s">
        <v>37</v>
      </c>
      <c r="B5508" s="1" t="s">
        <v>61</v>
      </c>
      <c r="C5508" s="1" t="str">
        <f t="shared" si="138"/>
        <v>020053</v>
      </c>
      <c r="D5508" s="1" t="str">
        <f>"512734505"</f>
        <v>512734505</v>
      </c>
      <c r="E5508" s="1">
        <v>55</v>
      </c>
      <c r="F5508" s="1">
        <v>58</v>
      </c>
      <c r="H5508" s="1">
        <v>56.2</v>
      </c>
    </row>
    <row r="5509" s="1" customFormat="1" spans="1:8">
      <c r="A5509" s="1" t="s">
        <v>37</v>
      </c>
      <c r="B5509" s="1" t="s">
        <v>61</v>
      </c>
      <c r="C5509" s="1" t="str">
        <f t="shared" si="138"/>
        <v>020053</v>
      </c>
      <c r="D5509" s="1" t="str">
        <f>"512734506"</f>
        <v>512734506</v>
      </c>
      <c r="E5509" s="1">
        <v>56</v>
      </c>
      <c r="F5509" s="1">
        <v>64.5</v>
      </c>
      <c r="H5509" s="1">
        <v>59.4</v>
      </c>
    </row>
    <row r="5510" s="1" customFormat="1" spans="1:8">
      <c r="A5510" s="1" t="s">
        <v>37</v>
      </c>
      <c r="B5510" s="1" t="s">
        <v>61</v>
      </c>
      <c r="C5510" s="1" t="str">
        <f t="shared" si="138"/>
        <v>020053</v>
      </c>
      <c r="D5510" s="1" t="str">
        <f>"512734507"</f>
        <v>512734507</v>
      </c>
      <c r="E5510" s="1">
        <v>76.5</v>
      </c>
      <c r="F5510" s="1">
        <v>80</v>
      </c>
      <c r="H5510" s="1">
        <v>77.9</v>
      </c>
    </row>
    <row r="5511" s="1" customFormat="1" spans="1:8">
      <c r="A5511" s="1" t="s">
        <v>37</v>
      </c>
      <c r="B5511" s="1" t="s">
        <v>61</v>
      </c>
      <c r="C5511" s="1" t="str">
        <f t="shared" si="138"/>
        <v>020053</v>
      </c>
      <c r="D5511" s="1" t="str">
        <f>"512734508"</f>
        <v>512734508</v>
      </c>
      <c r="E5511" s="1">
        <v>58.5</v>
      </c>
      <c r="F5511" s="1">
        <v>68</v>
      </c>
      <c r="H5511" s="1">
        <v>62.3</v>
      </c>
    </row>
    <row r="5512" s="1" customFormat="1" spans="1:8">
      <c r="A5512" s="1" t="s">
        <v>37</v>
      </c>
      <c r="B5512" s="1" t="s">
        <v>61</v>
      </c>
      <c r="C5512" s="1" t="str">
        <f t="shared" si="138"/>
        <v>020053</v>
      </c>
      <c r="D5512" s="1" t="str">
        <f>"512734509"</f>
        <v>512734509</v>
      </c>
      <c r="E5512" s="1">
        <v>0</v>
      </c>
      <c r="F5512" s="1">
        <v>0</v>
      </c>
      <c r="H5512" s="1">
        <v>0</v>
      </c>
    </row>
    <row r="5513" s="1" customFormat="1" spans="1:8">
      <c r="A5513" s="1" t="s">
        <v>37</v>
      </c>
      <c r="B5513" s="1" t="s">
        <v>61</v>
      </c>
      <c r="C5513" s="1" t="str">
        <f t="shared" si="138"/>
        <v>020053</v>
      </c>
      <c r="D5513" s="1" t="str">
        <f>"512734510"</f>
        <v>512734510</v>
      </c>
      <c r="E5513" s="1">
        <v>67</v>
      </c>
      <c r="F5513" s="1">
        <v>65.5</v>
      </c>
      <c r="H5513" s="1">
        <v>66.4</v>
      </c>
    </row>
    <row r="5514" s="1" customFormat="1" spans="1:8">
      <c r="A5514" s="1" t="s">
        <v>37</v>
      </c>
      <c r="B5514" s="1" t="s">
        <v>61</v>
      </c>
      <c r="C5514" s="1" t="str">
        <f t="shared" si="138"/>
        <v>020053</v>
      </c>
      <c r="D5514" s="1" t="str">
        <f>"512734511"</f>
        <v>512734511</v>
      </c>
      <c r="E5514" s="1">
        <v>0</v>
      </c>
      <c r="F5514" s="1">
        <v>0</v>
      </c>
      <c r="H5514" s="1">
        <v>0</v>
      </c>
    </row>
    <row r="5515" s="1" customFormat="1" spans="1:8">
      <c r="A5515" s="1" t="s">
        <v>37</v>
      </c>
      <c r="B5515" s="1" t="s">
        <v>61</v>
      </c>
      <c r="C5515" s="1" t="str">
        <f t="shared" si="138"/>
        <v>020053</v>
      </c>
      <c r="D5515" s="1" t="str">
        <f>"512734512"</f>
        <v>512734512</v>
      </c>
      <c r="E5515" s="1">
        <v>0</v>
      </c>
      <c r="F5515" s="1">
        <v>0</v>
      </c>
      <c r="H5515" s="1">
        <v>0</v>
      </c>
    </row>
    <row r="5516" s="1" customFormat="1" spans="1:8">
      <c r="A5516" s="1" t="s">
        <v>37</v>
      </c>
      <c r="B5516" s="1" t="s">
        <v>61</v>
      </c>
      <c r="C5516" s="1" t="str">
        <f t="shared" si="138"/>
        <v>020053</v>
      </c>
      <c r="D5516" s="1" t="str">
        <f>"512734513"</f>
        <v>512734513</v>
      </c>
      <c r="E5516" s="1">
        <v>83</v>
      </c>
      <c r="F5516" s="1">
        <v>81</v>
      </c>
      <c r="H5516" s="1">
        <v>82.2</v>
      </c>
    </row>
    <row r="5517" s="1" customFormat="1" spans="1:8">
      <c r="A5517" s="1" t="s">
        <v>37</v>
      </c>
      <c r="B5517" s="1" t="s">
        <v>61</v>
      </c>
      <c r="C5517" s="1" t="str">
        <f t="shared" si="138"/>
        <v>020053</v>
      </c>
      <c r="D5517" s="1" t="str">
        <f>"512734514"</f>
        <v>512734514</v>
      </c>
      <c r="E5517" s="1">
        <v>0</v>
      </c>
      <c r="F5517" s="1">
        <v>53.5</v>
      </c>
      <c r="H5517" s="1">
        <v>21.4</v>
      </c>
    </row>
    <row r="5518" s="1" customFormat="1" spans="1:8">
      <c r="A5518" s="1" t="s">
        <v>37</v>
      </c>
      <c r="B5518" s="1" t="s">
        <v>61</v>
      </c>
      <c r="C5518" s="1" t="str">
        <f t="shared" si="138"/>
        <v>020053</v>
      </c>
      <c r="D5518" s="1" t="str">
        <f>"512734515"</f>
        <v>512734515</v>
      </c>
      <c r="E5518" s="1">
        <v>0</v>
      </c>
      <c r="F5518" s="1">
        <v>0</v>
      </c>
      <c r="H5518" s="1">
        <v>0</v>
      </c>
    </row>
    <row r="5519" s="1" customFormat="1" spans="1:8">
      <c r="A5519" s="1" t="s">
        <v>37</v>
      </c>
      <c r="B5519" s="1" t="s">
        <v>61</v>
      </c>
      <c r="C5519" s="1" t="str">
        <f t="shared" si="138"/>
        <v>020053</v>
      </c>
      <c r="D5519" s="1" t="str">
        <f>"512734516"</f>
        <v>512734516</v>
      </c>
      <c r="E5519" s="1">
        <v>57.5</v>
      </c>
      <c r="F5519" s="1">
        <v>68</v>
      </c>
      <c r="H5519" s="1">
        <v>61.7</v>
      </c>
    </row>
    <row r="5520" s="1" customFormat="1" spans="1:8">
      <c r="A5520" s="1" t="s">
        <v>37</v>
      </c>
      <c r="B5520" s="1" t="s">
        <v>61</v>
      </c>
      <c r="C5520" s="1" t="str">
        <f t="shared" si="138"/>
        <v>020053</v>
      </c>
      <c r="D5520" s="1" t="str">
        <f>"512734517"</f>
        <v>512734517</v>
      </c>
      <c r="E5520" s="1">
        <v>0</v>
      </c>
      <c r="F5520" s="1">
        <v>0</v>
      </c>
      <c r="H5520" s="1">
        <v>0</v>
      </c>
    </row>
    <row r="5521" s="1" customFormat="1" spans="1:8">
      <c r="A5521" s="1" t="s">
        <v>37</v>
      </c>
      <c r="B5521" s="1" t="s">
        <v>61</v>
      </c>
      <c r="C5521" s="1" t="str">
        <f t="shared" si="138"/>
        <v>020053</v>
      </c>
      <c r="D5521" s="1" t="str">
        <f>"512734518"</f>
        <v>512734518</v>
      </c>
      <c r="E5521" s="1">
        <v>77.5</v>
      </c>
      <c r="F5521" s="1">
        <v>92</v>
      </c>
      <c r="H5521" s="1">
        <v>83.3</v>
      </c>
    </row>
    <row r="5522" s="1" customFormat="1" spans="1:8">
      <c r="A5522" s="1" t="s">
        <v>37</v>
      </c>
      <c r="B5522" s="1" t="s">
        <v>61</v>
      </c>
      <c r="C5522" s="1" t="str">
        <f t="shared" si="138"/>
        <v>020053</v>
      </c>
      <c r="D5522" s="1" t="str">
        <f>"512734519"</f>
        <v>512734519</v>
      </c>
      <c r="E5522" s="1">
        <v>65</v>
      </c>
      <c r="F5522" s="1">
        <v>74</v>
      </c>
      <c r="H5522" s="1">
        <v>68.6</v>
      </c>
    </row>
    <row r="5523" s="1" customFormat="1" spans="1:8">
      <c r="A5523" s="1" t="s">
        <v>37</v>
      </c>
      <c r="B5523" s="1" t="s">
        <v>61</v>
      </c>
      <c r="C5523" s="1" t="str">
        <f t="shared" si="138"/>
        <v>020053</v>
      </c>
      <c r="D5523" s="1" t="str">
        <f>"512734520"</f>
        <v>512734520</v>
      </c>
      <c r="E5523" s="1">
        <v>82.5</v>
      </c>
      <c r="F5523" s="1">
        <v>86.5</v>
      </c>
      <c r="H5523" s="1">
        <v>84.1</v>
      </c>
    </row>
    <row r="5524" s="1" customFormat="1" spans="1:8">
      <c r="A5524" s="1" t="s">
        <v>37</v>
      </c>
      <c r="B5524" s="1" t="s">
        <v>61</v>
      </c>
      <c r="C5524" s="1" t="str">
        <f t="shared" si="138"/>
        <v>020053</v>
      </c>
      <c r="D5524" s="1" t="str">
        <f>"512734521"</f>
        <v>512734521</v>
      </c>
      <c r="E5524" s="1">
        <v>50.5</v>
      </c>
      <c r="F5524" s="1">
        <v>60</v>
      </c>
      <c r="H5524" s="1">
        <v>54.3</v>
      </c>
    </row>
    <row r="5525" s="1" customFormat="1" spans="1:8">
      <c r="A5525" s="1" t="s">
        <v>37</v>
      </c>
      <c r="B5525" s="1" t="s">
        <v>61</v>
      </c>
      <c r="C5525" s="1" t="str">
        <f t="shared" si="138"/>
        <v>020053</v>
      </c>
      <c r="D5525" s="1" t="str">
        <f>"512734522"</f>
        <v>512734522</v>
      </c>
      <c r="E5525" s="1">
        <v>56.5</v>
      </c>
      <c r="F5525" s="1">
        <v>47</v>
      </c>
      <c r="H5525" s="1">
        <v>52.7</v>
      </c>
    </row>
    <row r="5526" s="1" customFormat="1" spans="1:8">
      <c r="A5526" s="1" t="s">
        <v>37</v>
      </c>
      <c r="B5526" s="1" t="s">
        <v>61</v>
      </c>
      <c r="C5526" s="1" t="str">
        <f t="shared" si="138"/>
        <v>020053</v>
      </c>
      <c r="D5526" s="1" t="str">
        <f>"512734523"</f>
        <v>512734523</v>
      </c>
      <c r="E5526" s="1">
        <v>61.5</v>
      </c>
      <c r="F5526" s="1">
        <v>66.5</v>
      </c>
      <c r="H5526" s="1">
        <v>63.5</v>
      </c>
    </row>
    <row r="5527" s="1" customFormat="1" spans="1:8">
      <c r="A5527" s="1" t="s">
        <v>37</v>
      </c>
      <c r="B5527" s="1" t="s">
        <v>61</v>
      </c>
      <c r="C5527" s="1" t="str">
        <f t="shared" si="138"/>
        <v>020053</v>
      </c>
      <c r="D5527" s="1" t="str">
        <f>"512734524"</f>
        <v>512734524</v>
      </c>
      <c r="E5527" s="1">
        <v>0</v>
      </c>
      <c r="F5527" s="1">
        <v>0</v>
      </c>
      <c r="H5527" s="1">
        <v>0</v>
      </c>
    </row>
    <row r="5528" s="1" customFormat="1" spans="1:8">
      <c r="A5528" s="1" t="s">
        <v>37</v>
      </c>
      <c r="B5528" s="1" t="s">
        <v>61</v>
      </c>
      <c r="C5528" s="1" t="str">
        <f t="shared" si="138"/>
        <v>020053</v>
      </c>
      <c r="D5528" s="1" t="str">
        <f>"512734525"</f>
        <v>512734525</v>
      </c>
      <c r="E5528" s="1">
        <v>56.5</v>
      </c>
      <c r="F5528" s="1">
        <v>47</v>
      </c>
      <c r="H5528" s="1">
        <v>52.7</v>
      </c>
    </row>
    <row r="5529" s="1" customFormat="1" spans="1:8">
      <c r="A5529" s="1" t="s">
        <v>32</v>
      </c>
      <c r="B5529" s="1" t="s">
        <v>62</v>
      </c>
      <c r="C5529" s="1" t="str">
        <f t="shared" ref="C5529:C5592" si="139">"020025"</f>
        <v>020025</v>
      </c>
      <c r="D5529" s="1" t="str">
        <f>"512735501"</f>
        <v>512735501</v>
      </c>
      <c r="E5529" s="1">
        <v>90</v>
      </c>
      <c r="F5529" s="1">
        <v>72.5</v>
      </c>
      <c r="H5529" s="1">
        <v>83</v>
      </c>
    </row>
    <row r="5530" s="1" customFormat="1" spans="1:8">
      <c r="A5530" s="1" t="s">
        <v>32</v>
      </c>
      <c r="B5530" s="1" t="s">
        <v>62</v>
      </c>
      <c r="C5530" s="1" t="str">
        <f t="shared" si="139"/>
        <v>020025</v>
      </c>
      <c r="D5530" s="1" t="str">
        <f>"512735502"</f>
        <v>512735502</v>
      </c>
      <c r="E5530" s="1">
        <v>84.5</v>
      </c>
      <c r="F5530" s="1">
        <v>72.5</v>
      </c>
      <c r="H5530" s="1">
        <v>79.7</v>
      </c>
    </row>
    <row r="5531" s="1" customFormat="1" spans="1:8">
      <c r="A5531" s="1" t="s">
        <v>32</v>
      </c>
      <c r="B5531" s="1" t="s">
        <v>62</v>
      </c>
      <c r="C5531" s="1" t="str">
        <f t="shared" si="139"/>
        <v>020025</v>
      </c>
      <c r="D5531" s="1" t="str">
        <f>"512735503"</f>
        <v>512735503</v>
      </c>
      <c r="E5531" s="1">
        <v>0</v>
      </c>
      <c r="F5531" s="1">
        <v>0</v>
      </c>
      <c r="H5531" s="1">
        <v>0</v>
      </c>
    </row>
    <row r="5532" s="1" customFormat="1" spans="1:8">
      <c r="A5532" s="1" t="s">
        <v>32</v>
      </c>
      <c r="B5532" s="1" t="s">
        <v>62</v>
      </c>
      <c r="C5532" s="1" t="str">
        <f t="shared" si="139"/>
        <v>020025</v>
      </c>
      <c r="D5532" s="1" t="str">
        <f>"512735504"</f>
        <v>512735504</v>
      </c>
      <c r="E5532" s="1">
        <v>72</v>
      </c>
      <c r="F5532" s="1">
        <v>64.5</v>
      </c>
      <c r="H5532" s="1">
        <v>69</v>
      </c>
    </row>
    <row r="5533" s="1" customFormat="1" spans="1:8">
      <c r="A5533" s="1" t="s">
        <v>32</v>
      </c>
      <c r="B5533" s="1" t="s">
        <v>62</v>
      </c>
      <c r="C5533" s="1" t="str">
        <f t="shared" si="139"/>
        <v>020025</v>
      </c>
      <c r="D5533" s="1" t="str">
        <f>"512735505"</f>
        <v>512735505</v>
      </c>
      <c r="E5533" s="1">
        <v>61</v>
      </c>
      <c r="F5533" s="1">
        <v>54</v>
      </c>
      <c r="H5533" s="1">
        <v>58.2</v>
      </c>
    </row>
    <row r="5534" s="1" customFormat="1" spans="1:8">
      <c r="A5534" s="1" t="s">
        <v>32</v>
      </c>
      <c r="B5534" s="1" t="s">
        <v>62</v>
      </c>
      <c r="C5534" s="1" t="str">
        <f t="shared" si="139"/>
        <v>020025</v>
      </c>
      <c r="D5534" s="1" t="str">
        <f>"512735506"</f>
        <v>512735506</v>
      </c>
      <c r="E5534" s="1">
        <v>0</v>
      </c>
      <c r="F5534" s="1">
        <v>0</v>
      </c>
      <c r="H5534" s="1">
        <v>0</v>
      </c>
    </row>
    <row r="5535" s="1" customFormat="1" spans="1:8">
      <c r="A5535" s="1" t="s">
        <v>32</v>
      </c>
      <c r="B5535" s="1" t="s">
        <v>62</v>
      </c>
      <c r="C5535" s="1" t="str">
        <f t="shared" si="139"/>
        <v>020025</v>
      </c>
      <c r="D5535" s="1" t="str">
        <f>"512735507"</f>
        <v>512735507</v>
      </c>
      <c r="E5535" s="1">
        <v>82</v>
      </c>
      <c r="F5535" s="1">
        <v>65.5</v>
      </c>
      <c r="H5535" s="1">
        <v>75.4</v>
      </c>
    </row>
    <row r="5536" s="1" customFormat="1" spans="1:8">
      <c r="A5536" s="1" t="s">
        <v>32</v>
      </c>
      <c r="B5536" s="1" t="s">
        <v>62</v>
      </c>
      <c r="C5536" s="1" t="str">
        <f t="shared" si="139"/>
        <v>020025</v>
      </c>
      <c r="D5536" s="1" t="str">
        <f>"512735508"</f>
        <v>512735508</v>
      </c>
      <c r="E5536" s="1">
        <v>95</v>
      </c>
      <c r="F5536" s="1">
        <v>93.5</v>
      </c>
      <c r="H5536" s="1">
        <v>94.4</v>
      </c>
    </row>
    <row r="5537" s="1" customFormat="1" spans="1:8">
      <c r="A5537" s="1" t="s">
        <v>32</v>
      </c>
      <c r="B5537" s="1" t="s">
        <v>62</v>
      </c>
      <c r="C5537" s="1" t="str">
        <f t="shared" si="139"/>
        <v>020025</v>
      </c>
      <c r="D5537" s="1" t="str">
        <f>"512735509"</f>
        <v>512735509</v>
      </c>
      <c r="E5537" s="1">
        <v>0</v>
      </c>
      <c r="F5537" s="1">
        <v>0</v>
      </c>
      <c r="H5537" s="1">
        <v>0</v>
      </c>
    </row>
    <row r="5538" s="1" customFormat="1" spans="1:8">
      <c r="A5538" s="1" t="s">
        <v>32</v>
      </c>
      <c r="B5538" s="1" t="s">
        <v>62</v>
      </c>
      <c r="C5538" s="1" t="str">
        <f t="shared" si="139"/>
        <v>020025</v>
      </c>
      <c r="D5538" s="1" t="str">
        <f>"512735510"</f>
        <v>512735510</v>
      </c>
      <c r="E5538" s="1">
        <v>65</v>
      </c>
      <c r="F5538" s="1">
        <v>58.5</v>
      </c>
      <c r="H5538" s="1">
        <v>62.4</v>
      </c>
    </row>
    <row r="5539" s="1" customFormat="1" spans="1:8">
      <c r="A5539" s="1" t="s">
        <v>32</v>
      </c>
      <c r="B5539" s="1" t="s">
        <v>62</v>
      </c>
      <c r="C5539" s="1" t="str">
        <f t="shared" si="139"/>
        <v>020025</v>
      </c>
      <c r="D5539" s="1" t="str">
        <f>"512735511"</f>
        <v>512735511</v>
      </c>
      <c r="E5539" s="1">
        <v>79.5</v>
      </c>
      <c r="F5539" s="1">
        <v>62.5</v>
      </c>
      <c r="H5539" s="1">
        <v>72.7</v>
      </c>
    </row>
    <row r="5540" s="1" customFormat="1" spans="1:8">
      <c r="A5540" s="1" t="s">
        <v>32</v>
      </c>
      <c r="B5540" s="1" t="s">
        <v>62</v>
      </c>
      <c r="C5540" s="1" t="str">
        <f t="shared" si="139"/>
        <v>020025</v>
      </c>
      <c r="D5540" s="1" t="str">
        <f>"512735512"</f>
        <v>512735512</v>
      </c>
      <c r="E5540" s="1">
        <v>58.5</v>
      </c>
      <c r="F5540" s="1">
        <v>56.5</v>
      </c>
      <c r="H5540" s="1">
        <v>57.7</v>
      </c>
    </row>
    <row r="5541" s="1" customFormat="1" spans="1:8">
      <c r="A5541" s="1" t="s">
        <v>32</v>
      </c>
      <c r="B5541" s="1" t="s">
        <v>62</v>
      </c>
      <c r="C5541" s="1" t="str">
        <f t="shared" si="139"/>
        <v>020025</v>
      </c>
      <c r="D5541" s="1" t="str">
        <f>"512735513"</f>
        <v>512735513</v>
      </c>
      <c r="E5541" s="1">
        <v>58.5</v>
      </c>
      <c r="F5541" s="1">
        <v>47.5</v>
      </c>
      <c r="H5541" s="1">
        <v>54.1</v>
      </c>
    </row>
    <row r="5542" s="1" customFormat="1" spans="1:8">
      <c r="A5542" s="1" t="s">
        <v>32</v>
      </c>
      <c r="B5542" s="1" t="s">
        <v>62</v>
      </c>
      <c r="C5542" s="1" t="str">
        <f t="shared" si="139"/>
        <v>020025</v>
      </c>
      <c r="D5542" s="1" t="str">
        <f>"512735514"</f>
        <v>512735514</v>
      </c>
      <c r="E5542" s="1">
        <v>70.5</v>
      </c>
      <c r="F5542" s="1">
        <v>61.5</v>
      </c>
      <c r="H5542" s="1">
        <v>66.9</v>
      </c>
    </row>
    <row r="5543" s="1" customFormat="1" spans="1:8">
      <c r="A5543" s="1" t="s">
        <v>32</v>
      </c>
      <c r="B5543" s="1" t="s">
        <v>62</v>
      </c>
      <c r="C5543" s="1" t="str">
        <f t="shared" si="139"/>
        <v>020025</v>
      </c>
      <c r="D5543" s="1" t="str">
        <f>"512735515"</f>
        <v>512735515</v>
      </c>
      <c r="E5543" s="1">
        <v>0</v>
      </c>
      <c r="F5543" s="1">
        <v>0</v>
      </c>
      <c r="H5543" s="1">
        <v>0</v>
      </c>
    </row>
    <row r="5544" s="1" customFormat="1" spans="1:8">
      <c r="A5544" s="1" t="s">
        <v>32</v>
      </c>
      <c r="B5544" s="1" t="s">
        <v>62</v>
      </c>
      <c r="C5544" s="1" t="str">
        <f t="shared" si="139"/>
        <v>020025</v>
      </c>
      <c r="D5544" s="1" t="str">
        <f>"512735516"</f>
        <v>512735516</v>
      </c>
      <c r="E5544" s="1">
        <v>66</v>
      </c>
      <c r="F5544" s="1">
        <v>53.5</v>
      </c>
      <c r="H5544" s="1">
        <v>61</v>
      </c>
    </row>
    <row r="5545" s="1" customFormat="1" spans="1:8">
      <c r="A5545" s="1" t="s">
        <v>32</v>
      </c>
      <c r="B5545" s="1" t="s">
        <v>62</v>
      </c>
      <c r="C5545" s="1" t="str">
        <f t="shared" si="139"/>
        <v>020025</v>
      </c>
      <c r="D5545" s="1" t="str">
        <f>"512735517"</f>
        <v>512735517</v>
      </c>
      <c r="E5545" s="1">
        <v>67.5</v>
      </c>
      <c r="F5545" s="1">
        <v>49.5</v>
      </c>
      <c r="H5545" s="1">
        <v>60.3</v>
      </c>
    </row>
    <row r="5546" s="1" customFormat="1" spans="1:8">
      <c r="A5546" s="1" t="s">
        <v>32</v>
      </c>
      <c r="B5546" s="1" t="s">
        <v>62</v>
      </c>
      <c r="C5546" s="1" t="str">
        <f t="shared" si="139"/>
        <v>020025</v>
      </c>
      <c r="D5546" s="1" t="str">
        <f>"512735518"</f>
        <v>512735518</v>
      </c>
      <c r="E5546" s="1">
        <v>0</v>
      </c>
      <c r="F5546" s="1">
        <v>0</v>
      </c>
      <c r="H5546" s="1">
        <v>0</v>
      </c>
    </row>
    <row r="5547" s="1" customFormat="1" spans="1:8">
      <c r="A5547" s="1" t="s">
        <v>32</v>
      </c>
      <c r="B5547" s="1" t="s">
        <v>62</v>
      </c>
      <c r="C5547" s="1" t="str">
        <f t="shared" si="139"/>
        <v>020025</v>
      </c>
      <c r="D5547" s="1" t="str">
        <f>"512735519"</f>
        <v>512735519</v>
      </c>
      <c r="E5547" s="1">
        <v>66</v>
      </c>
      <c r="F5547" s="1">
        <v>55.5</v>
      </c>
      <c r="H5547" s="1">
        <v>61.8</v>
      </c>
    </row>
    <row r="5548" s="1" customFormat="1" spans="1:8">
      <c r="A5548" s="1" t="s">
        <v>32</v>
      </c>
      <c r="B5548" s="1" t="s">
        <v>62</v>
      </c>
      <c r="C5548" s="1" t="str">
        <f t="shared" si="139"/>
        <v>020025</v>
      </c>
      <c r="D5548" s="1" t="str">
        <f>"512735520"</f>
        <v>512735520</v>
      </c>
      <c r="E5548" s="1">
        <v>84</v>
      </c>
      <c r="F5548" s="1">
        <v>74</v>
      </c>
      <c r="H5548" s="1">
        <v>80</v>
      </c>
    </row>
    <row r="5549" s="1" customFormat="1" spans="1:8">
      <c r="A5549" s="1" t="s">
        <v>32</v>
      </c>
      <c r="B5549" s="1" t="s">
        <v>62</v>
      </c>
      <c r="C5549" s="1" t="str">
        <f t="shared" si="139"/>
        <v>020025</v>
      </c>
      <c r="D5549" s="1" t="str">
        <f>"512735521"</f>
        <v>512735521</v>
      </c>
      <c r="E5549" s="1">
        <v>75.5</v>
      </c>
      <c r="F5549" s="1">
        <v>69</v>
      </c>
      <c r="H5549" s="1">
        <v>72.9</v>
      </c>
    </row>
    <row r="5550" s="1" customFormat="1" spans="1:8">
      <c r="A5550" s="1" t="s">
        <v>32</v>
      </c>
      <c r="B5550" s="1" t="s">
        <v>62</v>
      </c>
      <c r="C5550" s="1" t="str">
        <f t="shared" si="139"/>
        <v>020025</v>
      </c>
      <c r="D5550" s="1" t="str">
        <f>"512735522"</f>
        <v>512735522</v>
      </c>
      <c r="E5550" s="1">
        <v>84.5</v>
      </c>
      <c r="F5550" s="1">
        <v>67.5</v>
      </c>
      <c r="H5550" s="1">
        <v>77.7</v>
      </c>
    </row>
    <row r="5551" s="1" customFormat="1" spans="1:8">
      <c r="A5551" s="1" t="s">
        <v>32</v>
      </c>
      <c r="B5551" s="1" t="s">
        <v>62</v>
      </c>
      <c r="C5551" s="1" t="str">
        <f t="shared" si="139"/>
        <v>020025</v>
      </c>
      <c r="D5551" s="1" t="str">
        <f>"512735523"</f>
        <v>512735523</v>
      </c>
      <c r="E5551" s="1">
        <v>58.5</v>
      </c>
      <c r="F5551" s="1">
        <v>63</v>
      </c>
      <c r="H5551" s="1">
        <v>60.3</v>
      </c>
    </row>
    <row r="5552" s="1" customFormat="1" spans="1:8">
      <c r="A5552" s="1" t="s">
        <v>32</v>
      </c>
      <c r="B5552" s="1" t="s">
        <v>62</v>
      </c>
      <c r="C5552" s="1" t="str">
        <f t="shared" si="139"/>
        <v>020025</v>
      </c>
      <c r="D5552" s="1" t="str">
        <f>"512735524"</f>
        <v>512735524</v>
      </c>
      <c r="E5552" s="1">
        <v>65.5</v>
      </c>
      <c r="F5552" s="1">
        <v>76.5</v>
      </c>
      <c r="H5552" s="1">
        <v>69.9</v>
      </c>
    </row>
    <row r="5553" s="1" customFormat="1" spans="1:8">
      <c r="A5553" s="1" t="s">
        <v>32</v>
      </c>
      <c r="B5553" s="1" t="s">
        <v>62</v>
      </c>
      <c r="C5553" s="1" t="str">
        <f t="shared" si="139"/>
        <v>020025</v>
      </c>
      <c r="D5553" s="1" t="str">
        <f>"512735525"</f>
        <v>512735525</v>
      </c>
      <c r="E5553" s="1">
        <v>70.5</v>
      </c>
      <c r="F5553" s="1">
        <v>63</v>
      </c>
      <c r="H5553" s="1">
        <v>67.5</v>
      </c>
    </row>
    <row r="5554" s="1" customFormat="1" spans="1:8">
      <c r="A5554" s="1" t="s">
        <v>32</v>
      </c>
      <c r="B5554" s="1" t="s">
        <v>62</v>
      </c>
      <c r="C5554" s="1" t="str">
        <f t="shared" si="139"/>
        <v>020025</v>
      </c>
      <c r="D5554" s="1" t="str">
        <f>"512735526"</f>
        <v>512735526</v>
      </c>
      <c r="E5554" s="1">
        <v>93.5</v>
      </c>
      <c r="F5554" s="1">
        <v>75.5</v>
      </c>
      <c r="H5554" s="1">
        <v>86.3</v>
      </c>
    </row>
    <row r="5555" s="1" customFormat="1" spans="1:8">
      <c r="A5555" s="1" t="s">
        <v>32</v>
      </c>
      <c r="B5555" s="1" t="s">
        <v>62</v>
      </c>
      <c r="C5555" s="1" t="str">
        <f t="shared" si="139"/>
        <v>020025</v>
      </c>
      <c r="D5555" s="1" t="str">
        <f>"512735527"</f>
        <v>512735527</v>
      </c>
      <c r="E5555" s="1">
        <v>74.5</v>
      </c>
      <c r="F5555" s="1">
        <v>65</v>
      </c>
      <c r="H5555" s="1">
        <v>70.7</v>
      </c>
    </row>
    <row r="5556" s="1" customFormat="1" spans="1:8">
      <c r="A5556" s="1" t="s">
        <v>32</v>
      </c>
      <c r="B5556" s="1" t="s">
        <v>62</v>
      </c>
      <c r="C5556" s="1" t="str">
        <f t="shared" si="139"/>
        <v>020025</v>
      </c>
      <c r="D5556" s="1" t="str">
        <f>"512735528"</f>
        <v>512735528</v>
      </c>
      <c r="E5556" s="1">
        <v>99</v>
      </c>
      <c r="F5556" s="1">
        <v>71.5</v>
      </c>
      <c r="H5556" s="1">
        <v>88</v>
      </c>
    </row>
    <row r="5557" s="1" customFormat="1" spans="1:8">
      <c r="A5557" s="1" t="s">
        <v>32</v>
      </c>
      <c r="B5557" s="1" t="s">
        <v>62</v>
      </c>
      <c r="C5557" s="1" t="str">
        <f t="shared" si="139"/>
        <v>020025</v>
      </c>
      <c r="D5557" s="1" t="str">
        <f>"512735529"</f>
        <v>512735529</v>
      </c>
      <c r="E5557" s="1">
        <v>0</v>
      </c>
      <c r="F5557" s="1">
        <v>0</v>
      </c>
      <c r="H5557" s="1">
        <v>0</v>
      </c>
    </row>
    <row r="5558" s="1" customFormat="1" spans="1:8">
      <c r="A5558" s="1" t="s">
        <v>32</v>
      </c>
      <c r="B5558" s="1" t="s">
        <v>62</v>
      </c>
      <c r="C5558" s="1" t="str">
        <f t="shared" si="139"/>
        <v>020025</v>
      </c>
      <c r="D5558" s="1" t="str">
        <f>"512735530"</f>
        <v>512735530</v>
      </c>
      <c r="E5558" s="1">
        <v>0</v>
      </c>
      <c r="F5558" s="1">
        <v>0</v>
      </c>
      <c r="H5558" s="1">
        <v>0</v>
      </c>
    </row>
    <row r="5559" s="1" customFormat="1" spans="1:8">
      <c r="A5559" s="1" t="s">
        <v>32</v>
      </c>
      <c r="B5559" s="1" t="s">
        <v>62</v>
      </c>
      <c r="C5559" s="1" t="str">
        <f t="shared" si="139"/>
        <v>020025</v>
      </c>
      <c r="D5559" s="1" t="str">
        <f>"512735601"</f>
        <v>512735601</v>
      </c>
      <c r="E5559" s="1">
        <v>54</v>
      </c>
      <c r="F5559" s="1">
        <v>67</v>
      </c>
      <c r="H5559" s="1">
        <v>59.2</v>
      </c>
    </row>
    <row r="5560" s="1" customFormat="1" spans="1:8">
      <c r="A5560" s="1" t="s">
        <v>32</v>
      </c>
      <c r="B5560" s="1" t="s">
        <v>62</v>
      </c>
      <c r="C5560" s="1" t="str">
        <f t="shared" si="139"/>
        <v>020025</v>
      </c>
      <c r="D5560" s="1" t="str">
        <f>"512735602"</f>
        <v>512735602</v>
      </c>
      <c r="E5560" s="1">
        <v>70</v>
      </c>
      <c r="F5560" s="1">
        <v>57</v>
      </c>
      <c r="H5560" s="1">
        <v>64.8</v>
      </c>
    </row>
    <row r="5561" s="1" customFormat="1" spans="1:8">
      <c r="A5561" s="1" t="s">
        <v>32</v>
      </c>
      <c r="B5561" s="1" t="s">
        <v>62</v>
      </c>
      <c r="C5561" s="1" t="str">
        <f t="shared" si="139"/>
        <v>020025</v>
      </c>
      <c r="D5561" s="1" t="str">
        <f>"512735603"</f>
        <v>512735603</v>
      </c>
      <c r="E5561" s="1">
        <v>81</v>
      </c>
      <c r="F5561" s="1">
        <v>59</v>
      </c>
      <c r="H5561" s="1">
        <v>72.2</v>
      </c>
    </row>
    <row r="5562" s="1" customFormat="1" spans="1:8">
      <c r="A5562" s="1" t="s">
        <v>32</v>
      </c>
      <c r="B5562" s="1" t="s">
        <v>62</v>
      </c>
      <c r="C5562" s="1" t="str">
        <f t="shared" si="139"/>
        <v>020025</v>
      </c>
      <c r="D5562" s="1" t="str">
        <f>"512735604"</f>
        <v>512735604</v>
      </c>
      <c r="E5562" s="1">
        <v>96.5</v>
      </c>
      <c r="F5562" s="1">
        <v>91</v>
      </c>
      <c r="H5562" s="1">
        <v>94.3</v>
      </c>
    </row>
    <row r="5563" s="1" customFormat="1" spans="1:8">
      <c r="A5563" s="1" t="s">
        <v>32</v>
      </c>
      <c r="B5563" s="1" t="s">
        <v>62</v>
      </c>
      <c r="C5563" s="1" t="str">
        <f t="shared" si="139"/>
        <v>020025</v>
      </c>
      <c r="D5563" s="1" t="str">
        <f>"512735605"</f>
        <v>512735605</v>
      </c>
      <c r="E5563" s="1">
        <v>62.5</v>
      </c>
      <c r="F5563" s="1">
        <v>58</v>
      </c>
      <c r="H5563" s="1">
        <v>60.7</v>
      </c>
    </row>
    <row r="5564" s="1" customFormat="1" spans="1:8">
      <c r="A5564" s="1" t="s">
        <v>32</v>
      </c>
      <c r="B5564" s="1" t="s">
        <v>62</v>
      </c>
      <c r="C5564" s="1" t="str">
        <f t="shared" si="139"/>
        <v>020025</v>
      </c>
      <c r="D5564" s="1" t="str">
        <f>"512735606"</f>
        <v>512735606</v>
      </c>
      <c r="E5564" s="1">
        <v>71</v>
      </c>
      <c r="F5564" s="1">
        <v>46.5</v>
      </c>
      <c r="H5564" s="1">
        <v>61.2</v>
      </c>
    </row>
    <row r="5565" s="1" customFormat="1" spans="1:8">
      <c r="A5565" s="1" t="s">
        <v>32</v>
      </c>
      <c r="B5565" s="1" t="s">
        <v>62</v>
      </c>
      <c r="C5565" s="1" t="str">
        <f t="shared" si="139"/>
        <v>020025</v>
      </c>
      <c r="D5565" s="1" t="str">
        <f>"512735607"</f>
        <v>512735607</v>
      </c>
      <c r="E5565" s="1">
        <v>0</v>
      </c>
      <c r="F5565" s="1">
        <v>0</v>
      </c>
      <c r="H5565" s="1">
        <v>0</v>
      </c>
    </row>
    <row r="5566" s="1" customFormat="1" spans="1:8">
      <c r="A5566" s="1" t="s">
        <v>32</v>
      </c>
      <c r="B5566" s="1" t="s">
        <v>62</v>
      </c>
      <c r="C5566" s="1" t="str">
        <f t="shared" si="139"/>
        <v>020025</v>
      </c>
      <c r="D5566" s="1" t="str">
        <f>"512735608"</f>
        <v>512735608</v>
      </c>
      <c r="E5566" s="1">
        <v>72</v>
      </c>
      <c r="F5566" s="1">
        <v>63.5</v>
      </c>
      <c r="H5566" s="1">
        <v>68.6</v>
      </c>
    </row>
    <row r="5567" s="1" customFormat="1" spans="1:8">
      <c r="A5567" s="1" t="s">
        <v>32</v>
      </c>
      <c r="B5567" s="1" t="s">
        <v>62</v>
      </c>
      <c r="C5567" s="1" t="str">
        <f t="shared" si="139"/>
        <v>020025</v>
      </c>
      <c r="D5567" s="1" t="str">
        <f>"512735609"</f>
        <v>512735609</v>
      </c>
      <c r="E5567" s="1">
        <v>81.5</v>
      </c>
      <c r="F5567" s="1">
        <v>72.5</v>
      </c>
      <c r="H5567" s="1">
        <v>77.9</v>
      </c>
    </row>
    <row r="5568" s="1" customFormat="1" spans="1:8">
      <c r="A5568" s="1" t="s">
        <v>32</v>
      </c>
      <c r="B5568" s="1" t="s">
        <v>62</v>
      </c>
      <c r="C5568" s="1" t="str">
        <f t="shared" si="139"/>
        <v>020025</v>
      </c>
      <c r="D5568" s="1" t="str">
        <f>"512735610"</f>
        <v>512735610</v>
      </c>
      <c r="E5568" s="1">
        <v>95</v>
      </c>
      <c r="F5568" s="1">
        <v>76.5</v>
      </c>
      <c r="H5568" s="1">
        <v>87.6</v>
      </c>
    </row>
    <row r="5569" s="1" customFormat="1" spans="1:8">
      <c r="A5569" s="1" t="s">
        <v>32</v>
      </c>
      <c r="B5569" s="1" t="s">
        <v>62</v>
      </c>
      <c r="C5569" s="1" t="str">
        <f t="shared" si="139"/>
        <v>020025</v>
      </c>
      <c r="D5569" s="1" t="str">
        <f>"512735611"</f>
        <v>512735611</v>
      </c>
      <c r="E5569" s="1">
        <v>70.5</v>
      </c>
      <c r="F5569" s="1">
        <v>60.5</v>
      </c>
      <c r="H5569" s="1">
        <v>66.5</v>
      </c>
    </row>
    <row r="5570" s="1" customFormat="1" spans="1:8">
      <c r="A5570" s="1" t="s">
        <v>32</v>
      </c>
      <c r="B5570" s="1" t="s">
        <v>62</v>
      </c>
      <c r="C5570" s="1" t="str">
        <f t="shared" si="139"/>
        <v>020025</v>
      </c>
      <c r="D5570" s="1" t="str">
        <f>"512735612"</f>
        <v>512735612</v>
      </c>
      <c r="E5570" s="1">
        <v>0</v>
      </c>
      <c r="F5570" s="1">
        <v>0</v>
      </c>
      <c r="H5570" s="1">
        <v>0</v>
      </c>
    </row>
    <row r="5571" s="1" customFormat="1" spans="1:8">
      <c r="A5571" s="1" t="s">
        <v>32</v>
      </c>
      <c r="B5571" s="1" t="s">
        <v>62</v>
      </c>
      <c r="C5571" s="1" t="str">
        <f t="shared" si="139"/>
        <v>020025</v>
      </c>
      <c r="D5571" s="1" t="str">
        <f>"512735613"</f>
        <v>512735613</v>
      </c>
      <c r="E5571" s="1">
        <v>0</v>
      </c>
      <c r="F5571" s="1">
        <v>0</v>
      </c>
      <c r="H5571" s="1">
        <v>0</v>
      </c>
    </row>
    <row r="5572" s="1" customFormat="1" spans="1:8">
      <c r="A5572" s="1" t="s">
        <v>32</v>
      </c>
      <c r="B5572" s="1" t="s">
        <v>62</v>
      </c>
      <c r="C5572" s="1" t="str">
        <f t="shared" si="139"/>
        <v>020025</v>
      </c>
      <c r="D5572" s="1" t="str">
        <f>"512735614"</f>
        <v>512735614</v>
      </c>
      <c r="E5572" s="1">
        <v>84</v>
      </c>
      <c r="F5572" s="1">
        <v>71</v>
      </c>
      <c r="H5572" s="1">
        <v>78.8</v>
      </c>
    </row>
    <row r="5573" s="1" customFormat="1" spans="1:8">
      <c r="A5573" s="1" t="s">
        <v>32</v>
      </c>
      <c r="B5573" s="1" t="s">
        <v>62</v>
      </c>
      <c r="C5573" s="1" t="str">
        <f t="shared" si="139"/>
        <v>020025</v>
      </c>
      <c r="D5573" s="1" t="str">
        <f>"512735615"</f>
        <v>512735615</v>
      </c>
      <c r="E5573" s="1">
        <v>81.5</v>
      </c>
      <c r="F5573" s="1">
        <v>74.5</v>
      </c>
      <c r="H5573" s="1">
        <v>78.7</v>
      </c>
    </row>
    <row r="5574" s="1" customFormat="1" spans="1:8">
      <c r="A5574" s="1" t="s">
        <v>32</v>
      </c>
      <c r="B5574" s="1" t="s">
        <v>62</v>
      </c>
      <c r="C5574" s="1" t="str">
        <f t="shared" si="139"/>
        <v>020025</v>
      </c>
      <c r="D5574" s="1" t="str">
        <f>"512735616"</f>
        <v>512735616</v>
      </c>
      <c r="E5574" s="1">
        <v>108</v>
      </c>
      <c r="F5574" s="1">
        <v>90.5</v>
      </c>
      <c r="H5574" s="1">
        <v>101</v>
      </c>
    </row>
    <row r="5575" s="1" customFormat="1" spans="1:8">
      <c r="A5575" s="1" t="s">
        <v>32</v>
      </c>
      <c r="B5575" s="1" t="s">
        <v>62</v>
      </c>
      <c r="C5575" s="1" t="str">
        <f t="shared" si="139"/>
        <v>020025</v>
      </c>
      <c r="D5575" s="1" t="str">
        <f>"512735617"</f>
        <v>512735617</v>
      </c>
      <c r="E5575" s="1">
        <v>79</v>
      </c>
      <c r="F5575" s="1">
        <v>73</v>
      </c>
      <c r="H5575" s="1">
        <v>76.6</v>
      </c>
    </row>
    <row r="5576" s="1" customFormat="1" spans="1:8">
      <c r="A5576" s="1" t="s">
        <v>32</v>
      </c>
      <c r="B5576" s="1" t="s">
        <v>62</v>
      </c>
      <c r="C5576" s="1" t="str">
        <f t="shared" si="139"/>
        <v>020025</v>
      </c>
      <c r="D5576" s="1" t="str">
        <f>"512735618"</f>
        <v>512735618</v>
      </c>
      <c r="E5576" s="1">
        <v>63</v>
      </c>
      <c r="F5576" s="1">
        <v>65.5</v>
      </c>
      <c r="H5576" s="1">
        <v>64</v>
      </c>
    </row>
    <row r="5577" s="1" customFormat="1" spans="1:8">
      <c r="A5577" s="1" t="s">
        <v>32</v>
      </c>
      <c r="B5577" s="1" t="s">
        <v>62</v>
      </c>
      <c r="C5577" s="1" t="str">
        <f t="shared" si="139"/>
        <v>020025</v>
      </c>
      <c r="D5577" s="1" t="str">
        <f>"512735619"</f>
        <v>512735619</v>
      </c>
      <c r="E5577" s="1">
        <v>0</v>
      </c>
      <c r="F5577" s="1">
        <v>0</v>
      </c>
      <c r="H5577" s="1">
        <v>0</v>
      </c>
    </row>
    <row r="5578" s="1" customFormat="1" spans="1:8">
      <c r="A5578" s="1" t="s">
        <v>32</v>
      </c>
      <c r="B5578" s="1" t="s">
        <v>62</v>
      </c>
      <c r="C5578" s="1" t="str">
        <f t="shared" si="139"/>
        <v>020025</v>
      </c>
      <c r="D5578" s="1" t="str">
        <f>"512735620"</f>
        <v>512735620</v>
      </c>
      <c r="E5578" s="1">
        <v>0</v>
      </c>
      <c r="F5578" s="1">
        <v>0</v>
      </c>
      <c r="H5578" s="1">
        <v>0</v>
      </c>
    </row>
    <row r="5579" s="1" customFormat="1" spans="1:8">
      <c r="A5579" s="1" t="s">
        <v>32</v>
      </c>
      <c r="B5579" s="1" t="s">
        <v>62</v>
      </c>
      <c r="C5579" s="1" t="str">
        <f t="shared" si="139"/>
        <v>020025</v>
      </c>
      <c r="D5579" s="1" t="str">
        <f>"512735621"</f>
        <v>512735621</v>
      </c>
      <c r="E5579" s="1">
        <v>78.5</v>
      </c>
      <c r="F5579" s="1">
        <v>56</v>
      </c>
      <c r="H5579" s="1">
        <v>69.5</v>
      </c>
    </row>
    <row r="5580" s="1" customFormat="1" spans="1:8">
      <c r="A5580" s="1" t="s">
        <v>32</v>
      </c>
      <c r="B5580" s="1" t="s">
        <v>62</v>
      </c>
      <c r="C5580" s="1" t="str">
        <f t="shared" si="139"/>
        <v>020025</v>
      </c>
      <c r="D5580" s="1" t="str">
        <f>"512735622"</f>
        <v>512735622</v>
      </c>
      <c r="E5580" s="1">
        <v>91</v>
      </c>
      <c r="F5580" s="1">
        <v>76</v>
      </c>
      <c r="H5580" s="1">
        <v>85</v>
      </c>
    </row>
    <row r="5581" s="1" customFormat="1" spans="1:8">
      <c r="A5581" s="1" t="s">
        <v>32</v>
      </c>
      <c r="B5581" s="1" t="s">
        <v>62</v>
      </c>
      <c r="C5581" s="1" t="str">
        <f t="shared" si="139"/>
        <v>020025</v>
      </c>
      <c r="D5581" s="1" t="str">
        <f>"512735623"</f>
        <v>512735623</v>
      </c>
      <c r="E5581" s="1">
        <v>0</v>
      </c>
      <c r="F5581" s="1">
        <v>0</v>
      </c>
      <c r="H5581" s="1">
        <v>0</v>
      </c>
    </row>
    <row r="5582" s="1" customFormat="1" spans="1:8">
      <c r="A5582" s="1" t="s">
        <v>32</v>
      </c>
      <c r="B5582" s="1" t="s">
        <v>62</v>
      </c>
      <c r="C5582" s="1" t="str">
        <f t="shared" si="139"/>
        <v>020025</v>
      </c>
      <c r="D5582" s="1" t="str">
        <f>"512735624"</f>
        <v>512735624</v>
      </c>
      <c r="E5582" s="1">
        <v>0</v>
      </c>
      <c r="F5582" s="1">
        <v>0</v>
      </c>
      <c r="H5582" s="1">
        <v>0</v>
      </c>
    </row>
    <row r="5583" s="1" customFormat="1" spans="1:8">
      <c r="A5583" s="1" t="s">
        <v>32</v>
      </c>
      <c r="B5583" s="1" t="s">
        <v>62</v>
      </c>
      <c r="C5583" s="1" t="str">
        <f t="shared" si="139"/>
        <v>020025</v>
      </c>
      <c r="D5583" s="1" t="str">
        <f>"512735625"</f>
        <v>512735625</v>
      </c>
      <c r="E5583" s="1">
        <v>93.5</v>
      </c>
      <c r="F5583" s="1">
        <v>76</v>
      </c>
      <c r="H5583" s="1">
        <v>86.5</v>
      </c>
    </row>
    <row r="5584" s="1" customFormat="1" spans="1:8">
      <c r="A5584" s="1" t="s">
        <v>32</v>
      </c>
      <c r="B5584" s="1" t="s">
        <v>62</v>
      </c>
      <c r="C5584" s="1" t="str">
        <f t="shared" si="139"/>
        <v>020025</v>
      </c>
      <c r="D5584" s="1" t="str">
        <f>"512735626"</f>
        <v>512735626</v>
      </c>
      <c r="E5584" s="1">
        <v>0</v>
      </c>
      <c r="F5584" s="1">
        <v>0</v>
      </c>
      <c r="H5584" s="1">
        <v>0</v>
      </c>
    </row>
    <row r="5585" s="1" customFormat="1" spans="1:8">
      <c r="A5585" s="1" t="s">
        <v>32</v>
      </c>
      <c r="B5585" s="1" t="s">
        <v>62</v>
      </c>
      <c r="C5585" s="1" t="str">
        <f t="shared" si="139"/>
        <v>020025</v>
      </c>
      <c r="D5585" s="1" t="str">
        <f>"512735627"</f>
        <v>512735627</v>
      </c>
      <c r="E5585" s="1">
        <v>89</v>
      </c>
      <c r="F5585" s="1">
        <v>70.5</v>
      </c>
      <c r="H5585" s="1">
        <v>81.6</v>
      </c>
    </row>
    <row r="5586" s="1" customFormat="1" spans="1:8">
      <c r="A5586" s="1" t="s">
        <v>32</v>
      </c>
      <c r="B5586" s="1" t="s">
        <v>62</v>
      </c>
      <c r="C5586" s="1" t="str">
        <f t="shared" si="139"/>
        <v>020025</v>
      </c>
      <c r="D5586" s="1" t="str">
        <f>"512735628"</f>
        <v>512735628</v>
      </c>
      <c r="E5586" s="1">
        <v>92</v>
      </c>
      <c r="F5586" s="1">
        <v>79.5</v>
      </c>
      <c r="H5586" s="1">
        <v>87</v>
      </c>
    </row>
    <row r="5587" s="1" customFormat="1" spans="1:8">
      <c r="A5587" s="1" t="s">
        <v>32</v>
      </c>
      <c r="B5587" s="1" t="s">
        <v>62</v>
      </c>
      <c r="C5587" s="1" t="str">
        <f t="shared" si="139"/>
        <v>020025</v>
      </c>
      <c r="D5587" s="1" t="str">
        <f>"512735629"</f>
        <v>512735629</v>
      </c>
      <c r="E5587" s="1">
        <v>88</v>
      </c>
      <c r="F5587" s="1">
        <v>63.5</v>
      </c>
      <c r="H5587" s="1">
        <v>78.2</v>
      </c>
    </row>
    <row r="5588" s="1" customFormat="1" spans="1:8">
      <c r="A5588" s="1" t="s">
        <v>32</v>
      </c>
      <c r="B5588" s="1" t="s">
        <v>62</v>
      </c>
      <c r="C5588" s="1" t="str">
        <f t="shared" si="139"/>
        <v>020025</v>
      </c>
      <c r="D5588" s="1" t="str">
        <f>"512735630"</f>
        <v>512735630</v>
      </c>
      <c r="E5588" s="1">
        <v>59</v>
      </c>
      <c r="F5588" s="1">
        <v>63.5</v>
      </c>
      <c r="H5588" s="1">
        <v>60.8</v>
      </c>
    </row>
    <row r="5589" s="1" customFormat="1" spans="1:8">
      <c r="A5589" s="1" t="s">
        <v>32</v>
      </c>
      <c r="B5589" s="1" t="s">
        <v>62</v>
      </c>
      <c r="C5589" s="1" t="str">
        <f t="shared" si="139"/>
        <v>020025</v>
      </c>
      <c r="D5589" s="1" t="str">
        <f>"512735701"</f>
        <v>512735701</v>
      </c>
      <c r="E5589" s="1">
        <v>85.5</v>
      </c>
      <c r="F5589" s="1">
        <v>69.5</v>
      </c>
      <c r="H5589" s="1">
        <v>79.1</v>
      </c>
    </row>
    <row r="5590" s="1" customFormat="1" spans="1:8">
      <c r="A5590" s="1" t="s">
        <v>32</v>
      </c>
      <c r="B5590" s="1" t="s">
        <v>62</v>
      </c>
      <c r="C5590" s="1" t="str">
        <f t="shared" si="139"/>
        <v>020025</v>
      </c>
      <c r="D5590" s="1" t="str">
        <f>"512735702"</f>
        <v>512735702</v>
      </c>
      <c r="E5590" s="1">
        <v>70.5</v>
      </c>
      <c r="F5590" s="1">
        <v>65</v>
      </c>
      <c r="H5590" s="1">
        <v>68.3</v>
      </c>
    </row>
    <row r="5591" s="1" customFormat="1" spans="1:8">
      <c r="A5591" s="1" t="s">
        <v>32</v>
      </c>
      <c r="B5591" s="1" t="s">
        <v>62</v>
      </c>
      <c r="C5591" s="1" t="str">
        <f t="shared" si="139"/>
        <v>020025</v>
      </c>
      <c r="D5591" s="1" t="str">
        <f>"512735703"</f>
        <v>512735703</v>
      </c>
      <c r="E5591" s="1">
        <v>94</v>
      </c>
      <c r="F5591" s="1">
        <v>74.5</v>
      </c>
      <c r="H5591" s="1">
        <v>86.2</v>
      </c>
    </row>
    <row r="5592" s="1" customFormat="1" spans="1:8">
      <c r="A5592" s="1" t="s">
        <v>32</v>
      </c>
      <c r="B5592" s="1" t="s">
        <v>62</v>
      </c>
      <c r="C5592" s="1" t="str">
        <f t="shared" si="139"/>
        <v>020025</v>
      </c>
      <c r="D5592" s="1" t="str">
        <f>"512735704"</f>
        <v>512735704</v>
      </c>
      <c r="E5592" s="1">
        <v>0</v>
      </c>
      <c r="F5592" s="1">
        <v>0</v>
      </c>
      <c r="H5592" s="1">
        <v>0</v>
      </c>
    </row>
    <row r="5593" s="1" customFormat="1" spans="1:8">
      <c r="A5593" s="1" t="s">
        <v>32</v>
      </c>
      <c r="B5593" s="1" t="s">
        <v>62</v>
      </c>
      <c r="C5593" s="1" t="str">
        <f t="shared" ref="C5593:C5630" si="140">"020025"</f>
        <v>020025</v>
      </c>
      <c r="D5593" s="1" t="str">
        <f>"512735705"</f>
        <v>512735705</v>
      </c>
      <c r="E5593" s="1">
        <v>97</v>
      </c>
      <c r="F5593" s="1">
        <v>81</v>
      </c>
      <c r="H5593" s="1">
        <v>90.6</v>
      </c>
    </row>
    <row r="5594" s="1" customFormat="1" spans="1:8">
      <c r="A5594" s="1" t="s">
        <v>32</v>
      </c>
      <c r="B5594" s="1" t="s">
        <v>62</v>
      </c>
      <c r="C5594" s="1" t="str">
        <f t="shared" si="140"/>
        <v>020025</v>
      </c>
      <c r="D5594" s="1" t="str">
        <f>"512735706"</f>
        <v>512735706</v>
      </c>
      <c r="E5594" s="1">
        <v>92.5</v>
      </c>
      <c r="F5594" s="1">
        <v>77.5</v>
      </c>
      <c r="H5594" s="1">
        <v>86.5</v>
      </c>
    </row>
    <row r="5595" s="1" customFormat="1" spans="1:8">
      <c r="A5595" s="1" t="s">
        <v>32</v>
      </c>
      <c r="B5595" s="1" t="s">
        <v>62</v>
      </c>
      <c r="C5595" s="1" t="str">
        <f t="shared" si="140"/>
        <v>020025</v>
      </c>
      <c r="D5595" s="1" t="str">
        <f>"512735707"</f>
        <v>512735707</v>
      </c>
      <c r="E5595" s="1">
        <v>83</v>
      </c>
      <c r="F5595" s="1">
        <v>66.5</v>
      </c>
      <c r="H5595" s="1">
        <v>76.4</v>
      </c>
    </row>
    <row r="5596" s="1" customFormat="1" spans="1:8">
      <c r="A5596" s="1" t="s">
        <v>32</v>
      </c>
      <c r="B5596" s="1" t="s">
        <v>62</v>
      </c>
      <c r="C5596" s="1" t="str">
        <f t="shared" si="140"/>
        <v>020025</v>
      </c>
      <c r="D5596" s="1" t="str">
        <f>"512735708"</f>
        <v>512735708</v>
      </c>
      <c r="E5596" s="1">
        <v>0</v>
      </c>
      <c r="F5596" s="1">
        <v>0</v>
      </c>
      <c r="H5596" s="1">
        <v>0</v>
      </c>
    </row>
    <row r="5597" s="1" customFormat="1" spans="1:8">
      <c r="A5597" s="1" t="s">
        <v>32</v>
      </c>
      <c r="B5597" s="1" t="s">
        <v>62</v>
      </c>
      <c r="C5597" s="1" t="str">
        <f t="shared" si="140"/>
        <v>020025</v>
      </c>
      <c r="D5597" s="1" t="str">
        <f>"512735709"</f>
        <v>512735709</v>
      </c>
      <c r="E5597" s="1">
        <v>0</v>
      </c>
      <c r="F5597" s="1">
        <v>0</v>
      </c>
      <c r="H5597" s="1">
        <v>0</v>
      </c>
    </row>
    <row r="5598" s="1" customFormat="1" spans="1:8">
      <c r="A5598" s="1" t="s">
        <v>32</v>
      </c>
      <c r="B5598" s="1" t="s">
        <v>62</v>
      </c>
      <c r="C5598" s="1" t="str">
        <f t="shared" si="140"/>
        <v>020025</v>
      </c>
      <c r="D5598" s="1" t="str">
        <f>"512735710"</f>
        <v>512735710</v>
      </c>
      <c r="E5598" s="1">
        <v>89.5</v>
      </c>
      <c r="F5598" s="1">
        <v>88.5</v>
      </c>
      <c r="H5598" s="1">
        <v>89.1</v>
      </c>
    </row>
    <row r="5599" s="1" customFormat="1" spans="1:8">
      <c r="A5599" s="1" t="s">
        <v>32</v>
      </c>
      <c r="B5599" s="1" t="s">
        <v>62</v>
      </c>
      <c r="C5599" s="1" t="str">
        <f t="shared" si="140"/>
        <v>020025</v>
      </c>
      <c r="D5599" s="1" t="str">
        <f>"512735711"</f>
        <v>512735711</v>
      </c>
      <c r="E5599" s="1">
        <v>87.5</v>
      </c>
      <c r="F5599" s="1">
        <v>72</v>
      </c>
      <c r="H5599" s="1">
        <v>81.3</v>
      </c>
    </row>
    <row r="5600" s="1" customFormat="1" spans="1:8">
      <c r="A5600" s="1" t="s">
        <v>32</v>
      </c>
      <c r="B5600" s="1" t="s">
        <v>62</v>
      </c>
      <c r="C5600" s="1" t="str">
        <f t="shared" si="140"/>
        <v>020025</v>
      </c>
      <c r="D5600" s="1" t="str">
        <f>"512735712"</f>
        <v>512735712</v>
      </c>
      <c r="E5600" s="1">
        <v>75.5</v>
      </c>
      <c r="F5600" s="1">
        <v>58</v>
      </c>
      <c r="H5600" s="1">
        <v>68.5</v>
      </c>
    </row>
    <row r="5601" s="1" customFormat="1" spans="1:8">
      <c r="A5601" s="1" t="s">
        <v>32</v>
      </c>
      <c r="B5601" s="1" t="s">
        <v>62</v>
      </c>
      <c r="C5601" s="1" t="str">
        <f t="shared" si="140"/>
        <v>020025</v>
      </c>
      <c r="D5601" s="1" t="str">
        <f>"512735713"</f>
        <v>512735713</v>
      </c>
      <c r="E5601" s="1">
        <v>84.5</v>
      </c>
      <c r="F5601" s="1">
        <v>56</v>
      </c>
      <c r="H5601" s="1">
        <v>73.1</v>
      </c>
    </row>
    <row r="5602" s="1" customFormat="1" spans="1:8">
      <c r="A5602" s="1" t="s">
        <v>32</v>
      </c>
      <c r="B5602" s="1" t="s">
        <v>62</v>
      </c>
      <c r="C5602" s="1" t="str">
        <f t="shared" si="140"/>
        <v>020025</v>
      </c>
      <c r="D5602" s="1" t="str">
        <f>"512735714"</f>
        <v>512735714</v>
      </c>
      <c r="E5602" s="1">
        <v>80.5</v>
      </c>
      <c r="F5602" s="1">
        <v>61.5</v>
      </c>
      <c r="H5602" s="1">
        <v>72.9</v>
      </c>
    </row>
    <row r="5603" s="1" customFormat="1" spans="1:8">
      <c r="A5603" s="1" t="s">
        <v>32</v>
      </c>
      <c r="B5603" s="1" t="s">
        <v>62</v>
      </c>
      <c r="C5603" s="1" t="str">
        <f t="shared" si="140"/>
        <v>020025</v>
      </c>
      <c r="D5603" s="1" t="str">
        <f>"512735715"</f>
        <v>512735715</v>
      </c>
      <c r="E5603" s="1">
        <v>80</v>
      </c>
      <c r="F5603" s="1">
        <v>78.5</v>
      </c>
      <c r="H5603" s="1">
        <v>79.4</v>
      </c>
    </row>
    <row r="5604" s="1" customFormat="1" spans="1:8">
      <c r="A5604" s="1" t="s">
        <v>32</v>
      </c>
      <c r="B5604" s="1" t="s">
        <v>62</v>
      </c>
      <c r="C5604" s="1" t="str">
        <f t="shared" si="140"/>
        <v>020025</v>
      </c>
      <c r="D5604" s="1" t="str">
        <f>"512735716"</f>
        <v>512735716</v>
      </c>
      <c r="E5604" s="1">
        <v>72</v>
      </c>
      <c r="F5604" s="1">
        <v>67</v>
      </c>
      <c r="H5604" s="1">
        <v>70</v>
      </c>
    </row>
    <row r="5605" s="1" customFormat="1" spans="1:8">
      <c r="A5605" s="1" t="s">
        <v>32</v>
      </c>
      <c r="B5605" s="1" t="s">
        <v>62</v>
      </c>
      <c r="C5605" s="1" t="str">
        <f t="shared" si="140"/>
        <v>020025</v>
      </c>
      <c r="D5605" s="1" t="str">
        <f>"512735717"</f>
        <v>512735717</v>
      </c>
      <c r="E5605" s="1">
        <v>0</v>
      </c>
      <c r="F5605" s="1">
        <v>0</v>
      </c>
      <c r="H5605" s="1">
        <v>0</v>
      </c>
    </row>
    <row r="5606" s="1" customFormat="1" spans="1:8">
      <c r="A5606" s="1" t="s">
        <v>32</v>
      </c>
      <c r="B5606" s="1" t="s">
        <v>62</v>
      </c>
      <c r="C5606" s="1" t="str">
        <f t="shared" si="140"/>
        <v>020025</v>
      </c>
      <c r="D5606" s="1" t="str">
        <f>"512735718"</f>
        <v>512735718</v>
      </c>
      <c r="E5606" s="1">
        <v>97</v>
      </c>
      <c r="F5606" s="1">
        <v>81.5</v>
      </c>
      <c r="H5606" s="1">
        <v>90.8</v>
      </c>
    </row>
    <row r="5607" s="1" customFormat="1" spans="1:8">
      <c r="A5607" s="1" t="s">
        <v>32</v>
      </c>
      <c r="B5607" s="1" t="s">
        <v>62</v>
      </c>
      <c r="C5607" s="1" t="str">
        <f t="shared" si="140"/>
        <v>020025</v>
      </c>
      <c r="D5607" s="1" t="str">
        <f>"512735719"</f>
        <v>512735719</v>
      </c>
      <c r="E5607" s="1">
        <v>0</v>
      </c>
      <c r="F5607" s="1">
        <v>0</v>
      </c>
      <c r="H5607" s="1">
        <v>0</v>
      </c>
    </row>
    <row r="5608" s="1" customFormat="1" spans="1:8">
      <c r="A5608" s="1" t="s">
        <v>32</v>
      </c>
      <c r="B5608" s="1" t="s">
        <v>62</v>
      </c>
      <c r="C5608" s="1" t="str">
        <f t="shared" si="140"/>
        <v>020025</v>
      </c>
      <c r="D5608" s="1" t="str">
        <f>"512735720"</f>
        <v>512735720</v>
      </c>
      <c r="E5608" s="1">
        <v>67</v>
      </c>
      <c r="F5608" s="1">
        <v>57</v>
      </c>
      <c r="H5608" s="1">
        <v>63</v>
      </c>
    </row>
    <row r="5609" s="1" customFormat="1" spans="1:8">
      <c r="A5609" s="1" t="s">
        <v>32</v>
      </c>
      <c r="B5609" s="1" t="s">
        <v>62</v>
      </c>
      <c r="C5609" s="1" t="str">
        <f t="shared" si="140"/>
        <v>020025</v>
      </c>
      <c r="D5609" s="1" t="str">
        <f>"512735721"</f>
        <v>512735721</v>
      </c>
      <c r="E5609" s="1">
        <v>64</v>
      </c>
      <c r="F5609" s="1">
        <v>57</v>
      </c>
      <c r="H5609" s="1">
        <v>61.2</v>
      </c>
    </row>
    <row r="5610" s="1" customFormat="1" spans="1:8">
      <c r="A5610" s="1" t="s">
        <v>32</v>
      </c>
      <c r="B5610" s="1" t="s">
        <v>62</v>
      </c>
      <c r="C5610" s="1" t="str">
        <f t="shared" si="140"/>
        <v>020025</v>
      </c>
      <c r="D5610" s="1" t="str">
        <f>"512735722"</f>
        <v>512735722</v>
      </c>
      <c r="E5610" s="1">
        <v>91.5</v>
      </c>
      <c r="F5610" s="1">
        <v>77.5</v>
      </c>
      <c r="H5610" s="1">
        <v>85.9</v>
      </c>
    </row>
    <row r="5611" s="1" customFormat="1" spans="1:8">
      <c r="A5611" s="1" t="s">
        <v>32</v>
      </c>
      <c r="B5611" s="1" t="s">
        <v>62</v>
      </c>
      <c r="C5611" s="1" t="str">
        <f t="shared" si="140"/>
        <v>020025</v>
      </c>
      <c r="D5611" s="1" t="str">
        <f>"512735723"</f>
        <v>512735723</v>
      </c>
      <c r="E5611" s="1">
        <v>59.5</v>
      </c>
      <c r="F5611" s="1">
        <v>59.5</v>
      </c>
      <c r="H5611" s="1">
        <v>59.5</v>
      </c>
    </row>
    <row r="5612" s="1" customFormat="1" spans="1:8">
      <c r="A5612" s="1" t="s">
        <v>32</v>
      </c>
      <c r="B5612" s="1" t="s">
        <v>62</v>
      </c>
      <c r="C5612" s="1" t="str">
        <f t="shared" si="140"/>
        <v>020025</v>
      </c>
      <c r="D5612" s="1" t="str">
        <f>"512735724"</f>
        <v>512735724</v>
      </c>
      <c r="E5612" s="1">
        <v>93.5</v>
      </c>
      <c r="F5612" s="1">
        <v>70.5</v>
      </c>
      <c r="H5612" s="1">
        <v>84.3</v>
      </c>
    </row>
    <row r="5613" s="1" customFormat="1" spans="1:8">
      <c r="A5613" s="1" t="s">
        <v>32</v>
      </c>
      <c r="B5613" s="1" t="s">
        <v>62</v>
      </c>
      <c r="C5613" s="1" t="str">
        <f t="shared" si="140"/>
        <v>020025</v>
      </c>
      <c r="D5613" s="1" t="str">
        <f>"512735725"</f>
        <v>512735725</v>
      </c>
      <c r="E5613" s="1">
        <v>83.5</v>
      </c>
      <c r="F5613" s="1">
        <v>70.5</v>
      </c>
      <c r="H5613" s="1">
        <v>78.3</v>
      </c>
    </row>
    <row r="5614" s="1" customFormat="1" spans="1:8">
      <c r="A5614" s="1" t="s">
        <v>32</v>
      </c>
      <c r="B5614" s="1" t="s">
        <v>62</v>
      </c>
      <c r="C5614" s="1" t="str">
        <f t="shared" si="140"/>
        <v>020025</v>
      </c>
      <c r="D5614" s="1" t="str">
        <f>"512735726"</f>
        <v>512735726</v>
      </c>
      <c r="E5614" s="1">
        <v>51</v>
      </c>
      <c r="F5614" s="1">
        <v>54</v>
      </c>
      <c r="H5614" s="1">
        <v>52.2</v>
      </c>
    </row>
    <row r="5615" s="1" customFormat="1" spans="1:8">
      <c r="A5615" s="1" t="s">
        <v>32</v>
      </c>
      <c r="B5615" s="1" t="s">
        <v>62</v>
      </c>
      <c r="C5615" s="1" t="str">
        <f t="shared" si="140"/>
        <v>020025</v>
      </c>
      <c r="D5615" s="1" t="str">
        <f>"512735727"</f>
        <v>512735727</v>
      </c>
      <c r="E5615" s="1">
        <v>79.5</v>
      </c>
      <c r="F5615" s="1">
        <v>0</v>
      </c>
      <c r="H5615" s="1">
        <v>47.7</v>
      </c>
    </row>
    <row r="5616" s="1" customFormat="1" spans="1:8">
      <c r="A5616" s="1" t="s">
        <v>32</v>
      </c>
      <c r="B5616" s="1" t="s">
        <v>62</v>
      </c>
      <c r="C5616" s="1" t="str">
        <f t="shared" si="140"/>
        <v>020025</v>
      </c>
      <c r="D5616" s="1" t="str">
        <f>"512735728"</f>
        <v>512735728</v>
      </c>
      <c r="E5616" s="1">
        <v>91.5</v>
      </c>
      <c r="F5616" s="1">
        <v>74</v>
      </c>
      <c r="H5616" s="1">
        <v>84.5</v>
      </c>
    </row>
    <row r="5617" s="1" customFormat="1" spans="1:8">
      <c r="A5617" s="1" t="s">
        <v>32</v>
      </c>
      <c r="B5617" s="1" t="s">
        <v>62</v>
      </c>
      <c r="C5617" s="1" t="str">
        <f t="shared" si="140"/>
        <v>020025</v>
      </c>
      <c r="D5617" s="1" t="str">
        <f>"512735729"</f>
        <v>512735729</v>
      </c>
      <c r="E5617" s="1">
        <v>77.5</v>
      </c>
      <c r="F5617" s="1">
        <v>71</v>
      </c>
      <c r="H5617" s="1">
        <v>74.9</v>
      </c>
    </row>
    <row r="5618" s="1" customFormat="1" spans="1:8">
      <c r="A5618" s="1" t="s">
        <v>32</v>
      </c>
      <c r="B5618" s="1" t="s">
        <v>62</v>
      </c>
      <c r="C5618" s="1" t="str">
        <f t="shared" si="140"/>
        <v>020025</v>
      </c>
      <c r="D5618" s="1" t="str">
        <f>"512735730"</f>
        <v>512735730</v>
      </c>
      <c r="E5618" s="1">
        <v>0</v>
      </c>
      <c r="F5618" s="1">
        <v>0</v>
      </c>
      <c r="H5618" s="1">
        <v>0</v>
      </c>
    </row>
    <row r="5619" s="1" customFormat="1" spans="1:8">
      <c r="A5619" s="1" t="s">
        <v>32</v>
      </c>
      <c r="B5619" s="1" t="s">
        <v>62</v>
      </c>
      <c r="C5619" s="1" t="str">
        <f t="shared" si="140"/>
        <v>020025</v>
      </c>
      <c r="D5619" s="1" t="str">
        <f>"512735801"</f>
        <v>512735801</v>
      </c>
      <c r="E5619" s="1">
        <v>68.5</v>
      </c>
      <c r="F5619" s="1">
        <v>67</v>
      </c>
      <c r="H5619" s="1">
        <v>67.9</v>
      </c>
    </row>
    <row r="5620" s="1" customFormat="1" spans="1:8">
      <c r="A5620" s="1" t="s">
        <v>32</v>
      </c>
      <c r="B5620" s="1" t="s">
        <v>62</v>
      </c>
      <c r="C5620" s="1" t="str">
        <f t="shared" si="140"/>
        <v>020025</v>
      </c>
      <c r="D5620" s="1" t="str">
        <f>"512735802"</f>
        <v>512735802</v>
      </c>
      <c r="E5620" s="1">
        <v>0</v>
      </c>
      <c r="F5620" s="1">
        <v>0</v>
      </c>
      <c r="H5620" s="1">
        <v>0</v>
      </c>
    </row>
    <row r="5621" s="1" customFormat="1" spans="1:8">
      <c r="A5621" s="1" t="s">
        <v>32</v>
      </c>
      <c r="B5621" s="1" t="s">
        <v>62</v>
      </c>
      <c r="C5621" s="1" t="str">
        <f t="shared" si="140"/>
        <v>020025</v>
      </c>
      <c r="D5621" s="1" t="str">
        <f>"512735803"</f>
        <v>512735803</v>
      </c>
      <c r="E5621" s="1">
        <v>0</v>
      </c>
      <c r="F5621" s="1">
        <v>0</v>
      </c>
      <c r="H5621" s="1">
        <v>0</v>
      </c>
    </row>
    <row r="5622" s="1" customFormat="1" spans="1:8">
      <c r="A5622" s="1" t="s">
        <v>32</v>
      </c>
      <c r="B5622" s="1" t="s">
        <v>62</v>
      </c>
      <c r="C5622" s="1" t="str">
        <f t="shared" si="140"/>
        <v>020025</v>
      </c>
      <c r="D5622" s="1" t="str">
        <f>"512735804"</f>
        <v>512735804</v>
      </c>
      <c r="E5622" s="1">
        <v>71.5</v>
      </c>
      <c r="F5622" s="1">
        <v>61.5</v>
      </c>
      <c r="H5622" s="1">
        <v>67.5</v>
      </c>
    </row>
    <row r="5623" s="1" customFormat="1" spans="1:8">
      <c r="A5623" s="1" t="s">
        <v>32</v>
      </c>
      <c r="B5623" s="1" t="s">
        <v>62</v>
      </c>
      <c r="C5623" s="1" t="str">
        <f t="shared" si="140"/>
        <v>020025</v>
      </c>
      <c r="D5623" s="1" t="str">
        <f>"512735805"</f>
        <v>512735805</v>
      </c>
      <c r="E5623" s="1">
        <v>73.5</v>
      </c>
      <c r="F5623" s="1">
        <v>71</v>
      </c>
      <c r="H5623" s="1">
        <v>72.5</v>
      </c>
    </row>
    <row r="5624" s="1" customFormat="1" spans="1:8">
      <c r="A5624" s="1" t="s">
        <v>32</v>
      </c>
      <c r="B5624" s="1" t="s">
        <v>62</v>
      </c>
      <c r="C5624" s="1" t="str">
        <f t="shared" si="140"/>
        <v>020025</v>
      </c>
      <c r="D5624" s="1" t="str">
        <f>"512735806"</f>
        <v>512735806</v>
      </c>
      <c r="E5624" s="1">
        <v>94.5</v>
      </c>
      <c r="F5624" s="1">
        <v>71.5</v>
      </c>
      <c r="H5624" s="1">
        <v>85.3</v>
      </c>
    </row>
    <row r="5625" s="1" customFormat="1" spans="1:8">
      <c r="A5625" s="1" t="s">
        <v>32</v>
      </c>
      <c r="B5625" s="1" t="s">
        <v>62</v>
      </c>
      <c r="C5625" s="1" t="str">
        <f t="shared" si="140"/>
        <v>020025</v>
      </c>
      <c r="D5625" s="1" t="str">
        <f>"512735807"</f>
        <v>512735807</v>
      </c>
      <c r="E5625" s="1">
        <v>0</v>
      </c>
      <c r="F5625" s="1">
        <v>0</v>
      </c>
      <c r="H5625" s="1">
        <v>0</v>
      </c>
    </row>
    <row r="5626" s="1" customFormat="1" spans="1:8">
      <c r="A5626" s="1" t="s">
        <v>32</v>
      </c>
      <c r="B5626" s="1" t="s">
        <v>62</v>
      </c>
      <c r="C5626" s="1" t="str">
        <f t="shared" si="140"/>
        <v>020025</v>
      </c>
      <c r="D5626" s="1" t="str">
        <f>"512735808"</f>
        <v>512735808</v>
      </c>
      <c r="E5626" s="1">
        <v>95</v>
      </c>
      <c r="F5626" s="1">
        <v>72.5</v>
      </c>
      <c r="H5626" s="1">
        <v>86</v>
      </c>
    </row>
    <row r="5627" s="1" customFormat="1" spans="1:8">
      <c r="A5627" s="1" t="s">
        <v>32</v>
      </c>
      <c r="B5627" s="1" t="s">
        <v>62</v>
      </c>
      <c r="C5627" s="1" t="str">
        <f t="shared" si="140"/>
        <v>020025</v>
      </c>
      <c r="D5627" s="1" t="str">
        <f>"512735809"</f>
        <v>512735809</v>
      </c>
      <c r="E5627" s="1">
        <v>72</v>
      </c>
      <c r="F5627" s="1">
        <v>65.5</v>
      </c>
      <c r="H5627" s="1">
        <v>69.4</v>
      </c>
    </row>
    <row r="5628" s="1" customFormat="1" spans="1:8">
      <c r="A5628" s="1" t="s">
        <v>32</v>
      </c>
      <c r="B5628" s="1" t="s">
        <v>62</v>
      </c>
      <c r="C5628" s="1" t="str">
        <f t="shared" si="140"/>
        <v>020025</v>
      </c>
      <c r="D5628" s="1" t="str">
        <f>"512735810"</f>
        <v>512735810</v>
      </c>
      <c r="E5628" s="1">
        <v>0</v>
      </c>
      <c r="F5628" s="1">
        <v>0</v>
      </c>
      <c r="H5628" s="1">
        <v>0</v>
      </c>
    </row>
    <row r="5629" s="1" customFormat="1" spans="1:8">
      <c r="A5629" s="1" t="s">
        <v>32</v>
      </c>
      <c r="B5629" s="1" t="s">
        <v>62</v>
      </c>
      <c r="C5629" s="1" t="str">
        <f t="shared" si="140"/>
        <v>020025</v>
      </c>
      <c r="D5629" s="1" t="str">
        <f>"512735811"</f>
        <v>512735811</v>
      </c>
      <c r="E5629" s="1">
        <v>76</v>
      </c>
      <c r="F5629" s="1">
        <v>63.5</v>
      </c>
      <c r="H5629" s="1">
        <v>71</v>
      </c>
    </row>
    <row r="5630" s="1" customFormat="1" spans="1:8">
      <c r="A5630" s="1" t="s">
        <v>32</v>
      </c>
      <c r="B5630" s="1" t="s">
        <v>62</v>
      </c>
      <c r="C5630" s="1" t="str">
        <f t="shared" si="140"/>
        <v>020025</v>
      </c>
      <c r="D5630" s="1" t="str">
        <f>"512735812"</f>
        <v>512735812</v>
      </c>
      <c r="E5630" s="1">
        <v>0</v>
      </c>
      <c r="F5630" s="1">
        <v>0</v>
      </c>
      <c r="H5630" s="1">
        <v>0</v>
      </c>
    </row>
  </sheetData>
  <autoFilter xmlns:etc="http://www.wps.cn/officeDocument/2017/etCustomData" ref="A1:H5630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清白流年</cp:lastModifiedBy>
  <dcterms:created xsi:type="dcterms:W3CDTF">2025-04-11T07:42:00Z</dcterms:created>
  <dcterms:modified xsi:type="dcterms:W3CDTF">2025-04-16T00:50:44Z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6358FCD2A3B44600A30FD1553677B844_11</vt:lpwstr>
  </property>
  <property fmtid="{D5CDD505-2E9C-101B-9397-08002B2CF9AE}" pid="3" name="KSOProductBuildVer">
    <vt:lpwstr>2052-12.1.0.20784</vt:lpwstr>
  </property>
</Properties>
</file>