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专业测试人员名单" sheetId="1" r:id="rId1"/>
  </sheets>
  <definedNames>
    <definedName name="_xlnm.Print_Titles" localSheetId="0">'专业测试人员名单'!$2:$2</definedName>
  </definedNames>
  <calcPr fullCalcOnLoad="1"/>
</workbook>
</file>

<file path=xl/sharedStrings.xml><?xml version="1.0" encoding="utf-8"?>
<sst xmlns="http://schemas.openxmlformats.org/spreadsheetml/2006/main" count="839" uniqueCount="28">
  <si>
    <t>利辛县2023年公办幼儿园公开招聘编外幼儿教师专业测试人员名单</t>
  </si>
  <si>
    <t>序号</t>
  </si>
  <si>
    <t>岗位代码</t>
  </si>
  <si>
    <t>岗位名称</t>
  </si>
  <si>
    <t>招聘单位</t>
  </si>
  <si>
    <t>姓名</t>
  </si>
  <si>
    <t>准考证号</t>
  </si>
  <si>
    <t>教育综合知识</t>
  </si>
  <si>
    <t>专业知识</t>
  </si>
  <si>
    <t>合计成绩</t>
  </si>
  <si>
    <t>备注</t>
  </si>
  <si>
    <t>幼儿教师1组</t>
  </si>
  <si>
    <t>城区幼儿园</t>
  </si>
  <si>
    <t>递补</t>
  </si>
  <si>
    <t>幼儿教师2组</t>
  </si>
  <si>
    <t>幼儿教师3组</t>
  </si>
  <si>
    <t>幼儿教师4组</t>
  </si>
  <si>
    <t>幼儿教师5组</t>
  </si>
  <si>
    <t>乡镇幼儿园</t>
  </si>
  <si>
    <t>幼儿教师6组</t>
  </si>
  <si>
    <t>幼儿教师7组</t>
  </si>
  <si>
    <t>幼儿教师8组</t>
  </si>
  <si>
    <t>幼儿教师9组</t>
  </si>
  <si>
    <t>幼儿教师10组</t>
  </si>
  <si>
    <t>幼儿教师11组</t>
  </si>
  <si>
    <t>幼儿教师12组</t>
  </si>
  <si>
    <t>幼儿教师13组</t>
  </si>
  <si>
    <t>幼儿教师14组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</si>
</sst>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0"/>
  <sheetViews>
    <sheetView tabSelected="1" workbookViewId="0" topLeftCell="A1">
      <selection activeCell="M370" sqref="M370"/>
    </sheetView>
  </sheetViews>
  <sheetFormatPr defaultColWidth="9.00390625" defaultRowHeight="14.25"/>
  <cols>
    <col min="1" max="1" width="5.875" style="0" customWidth="1"/>
    <col min="2" max="2" width="10.625" style="0" customWidth="1"/>
    <col min="3" max="3" width="14.125" style="0" customWidth="1"/>
    <col min="4" max="4" width="13.375" style="0" customWidth="1"/>
    <col min="5" max="5" width="10.125" style="0" customWidth="1"/>
    <col min="6" max="6" width="12.625" style="0" customWidth="1"/>
    <col min="7" max="7" width="13.75390625" style="1" customWidth="1"/>
    <col min="8" max="8" width="10.00390625" style="1" customWidth="1"/>
    <col min="9" max="9" width="9.00390625" style="1" customWidth="1"/>
  </cols>
  <sheetData>
    <row r="1" spans="1:10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</row>
    <row r="3" spans="1:10" ht="15.75" customHeight="1">
      <c r="A3" s="5">
        <v>1</v>
      </c>
      <c r="B3" s="6" t="str">
        <f aca="true" t="shared" si="0" ref="B3:B26">"2023101"</f>
        <v>2023101</v>
      </c>
      <c r="C3" s="6" t="s">
        <v>11</v>
      </c>
      <c r="D3" s="6" t="s">
        <v>12</v>
      </c>
      <c r="E3" s="6" t="str">
        <f>"刘勤俪"</f>
        <v>刘勤俪</v>
      </c>
      <c r="F3" s="6" t="str">
        <f>"20237160113"</f>
        <v>20237160113</v>
      </c>
      <c r="G3" s="7">
        <v>102.7</v>
      </c>
      <c r="H3" s="7">
        <v>97.4</v>
      </c>
      <c r="I3" s="7">
        <v>99.52</v>
      </c>
      <c r="J3" s="5"/>
    </row>
    <row r="4" spans="1:10" ht="15.75" customHeight="1">
      <c r="A4" s="5">
        <v>2</v>
      </c>
      <c r="B4" s="6" t="str">
        <f t="shared" si="0"/>
        <v>2023101</v>
      </c>
      <c r="C4" s="6" t="s">
        <v>11</v>
      </c>
      <c r="D4" s="6" t="s">
        <v>12</v>
      </c>
      <c r="E4" s="6" t="str">
        <f>"施紫玉"</f>
        <v>施紫玉</v>
      </c>
      <c r="F4" s="6" t="str">
        <f>"20237160126"</f>
        <v>20237160126</v>
      </c>
      <c r="G4" s="7">
        <v>102.75</v>
      </c>
      <c r="H4" s="7">
        <v>96.7</v>
      </c>
      <c r="I4" s="7">
        <v>99.12</v>
      </c>
      <c r="J4" s="5"/>
    </row>
    <row r="5" spans="1:10" ht="15.75" customHeight="1">
      <c r="A5" s="5">
        <v>3</v>
      </c>
      <c r="B5" s="6" t="str">
        <f t="shared" si="0"/>
        <v>2023101</v>
      </c>
      <c r="C5" s="6" t="s">
        <v>11</v>
      </c>
      <c r="D5" s="6" t="s">
        <v>12</v>
      </c>
      <c r="E5" s="6" t="str">
        <f>"刘梦娜"</f>
        <v>刘梦娜</v>
      </c>
      <c r="F5" s="6" t="str">
        <f>"20237160227"</f>
        <v>20237160227</v>
      </c>
      <c r="G5" s="7">
        <v>95.1</v>
      </c>
      <c r="H5" s="7">
        <v>90.7</v>
      </c>
      <c r="I5" s="7">
        <v>92.46</v>
      </c>
      <c r="J5" s="5"/>
    </row>
    <row r="6" spans="1:10" ht="15.75" customHeight="1">
      <c r="A6" s="5">
        <v>4</v>
      </c>
      <c r="B6" s="6" t="str">
        <f t="shared" si="0"/>
        <v>2023101</v>
      </c>
      <c r="C6" s="6" t="s">
        <v>11</v>
      </c>
      <c r="D6" s="6" t="s">
        <v>12</v>
      </c>
      <c r="E6" s="6" t="str">
        <f>"钱安琪"</f>
        <v>钱安琪</v>
      </c>
      <c r="F6" s="6" t="str">
        <f>"20237160304"</f>
        <v>20237160304</v>
      </c>
      <c r="G6" s="7">
        <v>96.15</v>
      </c>
      <c r="H6" s="7">
        <v>88.3</v>
      </c>
      <c r="I6" s="7">
        <v>91.44</v>
      </c>
      <c r="J6" s="5"/>
    </row>
    <row r="7" spans="1:10" ht="15.75" customHeight="1">
      <c r="A7" s="5">
        <v>5</v>
      </c>
      <c r="B7" s="6" t="str">
        <f t="shared" si="0"/>
        <v>2023101</v>
      </c>
      <c r="C7" s="6" t="s">
        <v>11</v>
      </c>
      <c r="D7" s="6" t="s">
        <v>12</v>
      </c>
      <c r="E7" s="6" t="str">
        <f>"魏馨悦"</f>
        <v>魏馨悦</v>
      </c>
      <c r="F7" s="6" t="str">
        <f>"20237160226"</f>
        <v>20237160226</v>
      </c>
      <c r="G7" s="7">
        <v>91.55</v>
      </c>
      <c r="H7" s="7">
        <v>89.6</v>
      </c>
      <c r="I7" s="7">
        <v>90.38</v>
      </c>
      <c r="J7" s="5"/>
    </row>
    <row r="8" spans="1:10" ht="15.75" customHeight="1">
      <c r="A8" s="5">
        <v>6</v>
      </c>
      <c r="B8" s="6" t="str">
        <f t="shared" si="0"/>
        <v>2023101</v>
      </c>
      <c r="C8" s="6" t="s">
        <v>11</v>
      </c>
      <c r="D8" s="6" t="s">
        <v>12</v>
      </c>
      <c r="E8" s="6" t="str">
        <f>"代佳"</f>
        <v>代佳</v>
      </c>
      <c r="F8" s="6" t="str">
        <f>"20237160130"</f>
        <v>20237160130</v>
      </c>
      <c r="G8" s="7">
        <v>92.85</v>
      </c>
      <c r="H8" s="7">
        <v>88.4</v>
      </c>
      <c r="I8" s="7">
        <v>90.18</v>
      </c>
      <c r="J8" s="5"/>
    </row>
    <row r="9" spans="1:10" ht="15.75" customHeight="1">
      <c r="A9" s="5">
        <v>7</v>
      </c>
      <c r="B9" s="6" t="str">
        <f t="shared" si="0"/>
        <v>2023101</v>
      </c>
      <c r="C9" s="6" t="s">
        <v>11</v>
      </c>
      <c r="D9" s="6" t="s">
        <v>12</v>
      </c>
      <c r="E9" s="6" t="str">
        <f>"黄佳丽"</f>
        <v>黄佳丽</v>
      </c>
      <c r="F9" s="6" t="str">
        <f>"20237160108"</f>
        <v>20237160108</v>
      </c>
      <c r="G9" s="7">
        <v>88.9</v>
      </c>
      <c r="H9" s="7">
        <v>90.8</v>
      </c>
      <c r="I9" s="7">
        <v>90.04</v>
      </c>
      <c r="J9" s="5"/>
    </row>
    <row r="10" spans="1:10" ht="15.75" customHeight="1">
      <c r="A10" s="5">
        <v>8</v>
      </c>
      <c r="B10" s="6" t="str">
        <f t="shared" si="0"/>
        <v>2023101</v>
      </c>
      <c r="C10" s="6" t="s">
        <v>11</v>
      </c>
      <c r="D10" s="6" t="s">
        <v>12</v>
      </c>
      <c r="E10" s="6" t="str">
        <f>"谭梦琪"</f>
        <v>谭梦琪</v>
      </c>
      <c r="F10" s="6" t="str">
        <f>"20237160225"</f>
        <v>20237160225</v>
      </c>
      <c r="G10" s="7">
        <v>94.05</v>
      </c>
      <c r="H10" s="7">
        <v>85.2</v>
      </c>
      <c r="I10" s="7">
        <v>88.74</v>
      </c>
      <c r="J10" s="5"/>
    </row>
    <row r="11" spans="1:10" ht="15.75" customHeight="1">
      <c r="A11" s="5">
        <v>9</v>
      </c>
      <c r="B11" s="6" t="str">
        <f t="shared" si="0"/>
        <v>2023101</v>
      </c>
      <c r="C11" s="6" t="s">
        <v>11</v>
      </c>
      <c r="D11" s="6" t="s">
        <v>12</v>
      </c>
      <c r="E11" s="6" t="str">
        <f>"王梦婷"</f>
        <v>王梦婷</v>
      </c>
      <c r="F11" s="6" t="str">
        <f>"20237160204"</f>
        <v>20237160204</v>
      </c>
      <c r="G11" s="7">
        <v>90.3</v>
      </c>
      <c r="H11" s="7">
        <v>87.6</v>
      </c>
      <c r="I11" s="7">
        <v>88.68</v>
      </c>
      <c r="J11" s="5"/>
    </row>
    <row r="12" spans="1:10" ht="15.75" customHeight="1">
      <c r="A12" s="5">
        <v>10</v>
      </c>
      <c r="B12" s="6" t="str">
        <f t="shared" si="0"/>
        <v>2023101</v>
      </c>
      <c r="C12" s="6" t="s">
        <v>11</v>
      </c>
      <c r="D12" s="6" t="s">
        <v>12</v>
      </c>
      <c r="E12" s="6" t="str">
        <f>"李思琪"</f>
        <v>李思琪</v>
      </c>
      <c r="F12" s="6" t="str">
        <f>"20237160102"</f>
        <v>20237160102</v>
      </c>
      <c r="G12" s="7">
        <v>83.1</v>
      </c>
      <c r="H12" s="7">
        <v>91.4</v>
      </c>
      <c r="I12" s="7">
        <v>88.08</v>
      </c>
      <c r="J12" s="5"/>
    </row>
    <row r="13" spans="1:10" ht="15.75" customHeight="1">
      <c r="A13" s="5">
        <v>11</v>
      </c>
      <c r="B13" s="6" t="str">
        <f t="shared" si="0"/>
        <v>2023101</v>
      </c>
      <c r="C13" s="6" t="s">
        <v>11</v>
      </c>
      <c r="D13" s="6" t="s">
        <v>12</v>
      </c>
      <c r="E13" s="6" t="str">
        <f>"刘倩倩"</f>
        <v>刘倩倩</v>
      </c>
      <c r="F13" s="6" t="str">
        <f>"20237160221"</f>
        <v>20237160221</v>
      </c>
      <c r="G13" s="7">
        <v>94.1</v>
      </c>
      <c r="H13" s="7">
        <v>83.2</v>
      </c>
      <c r="I13" s="7">
        <v>87.56</v>
      </c>
      <c r="J13" s="5"/>
    </row>
    <row r="14" spans="1:10" ht="15.75" customHeight="1">
      <c r="A14" s="5">
        <v>12</v>
      </c>
      <c r="B14" s="6" t="str">
        <f t="shared" si="0"/>
        <v>2023101</v>
      </c>
      <c r="C14" s="6" t="s">
        <v>11</v>
      </c>
      <c r="D14" s="6" t="s">
        <v>12</v>
      </c>
      <c r="E14" s="6" t="str">
        <f>"许彤彤"</f>
        <v>许彤彤</v>
      </c>
      <c r="F14" s="6" t="str">
        <f>"20237160123"</f>
        <v>20237160123</v>
      </c>
      <c r="G14" s="7">
        <v>92.2</v>
      </c>
      <c r="H14" s="7">
        <v>82.1</v>
      </c>
      <c r="I14" s="7">
        <v>86.14</v>
      </c>
      <c r="J14" s="5"/>
    </row>
    <row r="15" spans="1:10" ht="15.75" customHeight="1">
      <c r="A15" s="5">
        <v>13</v>
      </c>
      <c r="B15" s="6" t="str">
        <f t="shared" si="0"/>
        <v>2023101</v>
      </c>
      <c r="C15" s="6" t="s">
        <v>11</v>
      </c>
      <c r="D15" s="6" t="s">
        <v>12</v>
      </c>
      <c r="E15" s="6" t="str">
        <f>"吴晓娜"</f>
        <v>吴晓娜</v>
      </c>
      <c r="F15" s="6" t="str">
        <f>"20237160230"</f>
        <v>20237160230</v>
      </c>
      <c r="G15" s="7">
        <v>92</v>
      </c>
      <c r="H15" s="7">
        <v>81</v>
      </c>
      <c r="I15" s="7">
        <v>85.4</v>
      </c>
      <c r="J15" s="5"/>
    </row>
    <row r="16" spans="1:10" ht="15.75" customHeight="1">
      <c r="A16" s="5">
        <v>14</v>
      </c>
      <c r="B16" s="6" t="str">
        <f t="shared" si="0"/>
        <v>2023101</v>
      </c>
      <c r="C16" s="6" t="s">
        <v>11</v>
      </c>
      <c r="D16" s="6" t="s">
        <v>12</v>
      </c>
      <c r="E16" s="6" t="str">
        <f>"刘旋"</f>
        <v>刘旋</v>
      </c>
      <c r="F16" s="6" t="str">
        <f>"20237160116"</f>
        <v>20237160116</v>
      </c>
      <c r="G16" s="7">
        <v>83.4</v>
      </c>
      <c r="H16" s="7">
        <v>86.5</v>
      </c>
      <c r="I16" s="7">
        <v>85.26</v>
      </c>
      <c r="J16" s="5"/>
    </row>
    <row r="17" spans="1:10" ht="15.75" customHeight="1">
      <c r="A17" s="5">
        <v>15</v>
      </c>
      <c r="B17" s="6" t="str">
        <f t="shared" si="0"/>
        <v>2023101</v>
      </c>
      <c r="C17" s="6" t="s">
        <v>11</v>
      </c>
      <c r="D17" s="6" t="s">
        <v>12</v>
      </c>
      <c r="E17" s="6" t="str">
        <f>"郭新"</f>
        <v>郭新</v>
      </c>
      <c r="F17" s="6" t="str">
        <f>"20237160205"</f>
        <v>20237160205</v>
      </c>
      <c r="G17" s="7">
        <v>88.55</v>
      </c>
      <c r="H17" s="7">
        <v>75.7</v>
      </c>
      <c r="I17" s="7">
        <v>80.84</v>
      </c>
      <c r="J17" s="5" t="s">
        <v>13</v>
      </c>
    </row>
    <row r="18" spans="1:10" ht="15.75" customHeight="1">
      <c r="A18" s="5">
        <v>16</v>
      </c>
      <c r="B18" s="6" t="str">
        <f t="shared" si="0"/>
        <v>2023101</v>
      </c>
      <c r="C18" s="6" t="s">
        <v>11</v>
      </c>
      <c r="D18" s="6" t="s">
        <v>12</v>
      </c>
      <c r="E18" s="6" t="str">
        <f>"陈和煦"</f>
        <v>陈和煦</v>
      </c>
      <c r="F18" s="6" t="str">
        <f>"20237160223"</f>
        <v>20237160223</v>
      </c>
      <c r="G18" s="7">
        <v>72.7</v>
      </c>
      <c r="H18" s="7">
        <v>85.5</v>
      </c>
      <c r="I18" s="7">
        <v>80.38</v>
      </c>
      <c r="J18" s="5" t="s">
        <v>13</v>
      </c>
    </row>
    <row r="19" spans="1:10" ht="15.75" customHeight="1">
      <c r="A19" s="5">
        <v>17</v>
      </c>
      <c r="B19" s="6" t="str">
        <f t="shared" si="0"/>
        <v>2023101</v>
      </c>
      <c r="C19" s="6" t="s">
        <v>11</v>
      </c>
      <c r="D19" s="6" t="s">
        <v>12</v>
      </c>
      <c r="E19" s="6" t="str">
        <f>"曹雪"</f>
        <v>曹雪</v>
      </c>
      <c r="F19" s="6" t="str">
        <f>"20237160120"</f>
        <v>20237160120</v>
      </c>
      <c r="G19" s="7">
        <v>79.05</v>
      </c>
      <c r="H19" s="7">
        <v>79</v>
      </c>
      <c r="I19" s="7">
        <v>79.02</v>
      </c>
      <c r="J19" s="5" t="s">
        <v>13</v>
      </c>
    </row>
    <row r="20" spans="1:10" ht="15.75" customHeight="1">
      <c r="A20" s="5">
        <v>18</v>
      </c>
      <c r="B20" s="6" t="str">
        <f t="shared" si="0"/>
        <v>2023101</v>
      </c>
      <c r="C20" s="6" t="s">
        <v>11</v>
      </c>
      <c r="D20" s="6" t="s">
        <v>12</v>
      </c>
      <c r="E20" s="6" t="str">
        <f>"江可滢"</f>
        <v>江可滢</v>
      </c>
      <c r="F20" s="6" t="str">
        <f>"20237160121"</f>
        <v>20237160121</v>
      </c>
      <c r="G20" s="7">
        <v>76.25</v>
      </c>
      <c r="H20" s="7">
        <v>78.8</v>
      </c>
      <c r="I20" s="7">
        <v>77.78</v>
      </c>
      <c r="J20" s="5" t="s">
        <v>13</v>
      </c>
    </row>
    <row r="21" spans="1:10" ht="15.75" customHeight="1">
      <c r="A21" s="5">
        <v>19</v>
      </c>
      <c r="B21" s="6" t="str">
        <f t="shared" si="0"/>
        <v>2023101</v>
      </c>
      <c r="C21" s="6" t="s">
        <v>11</v>
      </c>
      <c r="D21" s="6" t="s">
        <v>12</v>
      </c>
      <c r="E21" s="6" t="str">
        <f>"任方方"</f>
        <v>任方方</v>
      </c>
      <c r="F21" s="6" t="str">
        <f>"20237160213"</f>
        <v>20237160213</v>
      </c>
      <c r="G21" s="7">
        <v>71.9</v>
      </c>
      <c r="H21" s="7">
        <v>80.7</v>
      </c>
      <c r="I21" s="7">
        <v>77.18</v>
      </c>
      <c r="J21" s="5" t="s">
        <v>13</v>
      </c>
    </row>
    <row r="22" spans="1:10" ht="15.75" customHeight="1">
      <c r="A22" s="5">
        <v>20</v>
      </c>
      <c r="B22" s="6" t="str">
        <f t="shared" si="0"/>
        <v>2023101</v>
      </c>
      <c r="C22" s="6" t="s">
        <v>11</v>
      </c>
      <c r="D22" s="6" t="s">
        <v>12</v>
      </c>
      <c r="E22" s="6" t="str">
        <f>"吴书文"</f>
        <v>吴书文</v>
      </c>
      <c r="F22" s="6" t="str">
        <f>"20237160104"</f>
        <v>20237160104</v>
      </c>
      <c r="G22" s="7">
        <v>72.2</v>
      </c>
      <c r="H22" s="7">
        <v>79.8</v>
      </c>
      <c r="I22" s="7">
        <v>76.76</v>
      </c>
      <c r="J22" s="5" t="s">
        <v>13</v>
      </c>
    </row>
    <row r="23" spans="1:10" ht="15.75" customHeight="1">
      <c r="A23" s="5">
        <v>21</v>
      </c>
      <c r="B23" s="6" t="str">
        <f t="shared" si="0"/>
        <v>2023101</v>
      </c>
      <c r="C23" s="6" t="s">
        <v>11</v>
      </c>
      <c r="D23" s="6" t="s">
        <v>12</v>
      </c>
      <c r="E23" s="6" t="str">
        <f>"解欣欣"</f>
        <v>解欣欣</v>
      </c>
      <c r="F23" s="6" t="str">
        <f>"20237160206"</f>
        <v>20237160206</v>
      </c>
      <c r="G23" s="7">
        <v>67.45</v>
      </c>
      <c r="H23" s="7">
        <v>79</v>
      </c>
      <c r="I23" s="7">
        <v>74.38</v>
      </c>
      <c r="J23" s="5" t="s">
        <v>13</v>
      </c>
    </row>
    <row r="24" spans="1:10" ht="15.75" customHeight="1">
      <c r="A24" s="5">
        <v>22</v>
      </c>
      <c r="B24" s="6" t="str">
        <f t="shared" si="0"/>
        <v>2023101</v>
      </c>
      <c r="C24" s="6" t="s">
        <v>11</v>
      </c>
      <c r="D24" s="6" t="s">
        <v>12</v>
      </c>
      <c r="E24" s="6" t="str">
        <f>"李丹丹"</f>
        <v>李丹丹</v>
      </c>
      <c r="F24" s="6" t="str">
        <f>"20237160201"</f>
        <v>20237160201</v>
      </c>
      <c r="G24" s="7">
        <v>75.85</v>
      </c>
      <c r="H24" s="7">
        <v>73.2</v>
      </c>
      <c r="I24" s="7">
        <v>74.26</v>
      </c>
      <c r="J24" s="5" t="s">
        <v>13</v>
      </c>
    </row>
    <row r="25" spans="1:10" ht="15.75" customHeight="1">
      <c r="A25" s="5">
        <v>23</v>
      </c>
      <c r="B25" s="6" t="str">
        <f t="shared" si="0"/>
        <v>2023101</v>
      </c>
      <c r="C25" s="6" t="s">
        <v>11</v>
      </c>
      <c r="D25" s="6" t="s">
        <v>12</v>
      </c>
      <c r="E25" s="6" t="str">
        <f>"谭如梦"</f>
        <v>谭如梦</v>
      </c>
      <c r="F25" s="6" t="str">
        <f>"20237160209"</f>
        <v>20237160209</v>
      </c>
      <c r="G25" s="7">
        <v>65.55</v>
      </c>
      <c r="H25" s="7">
        <v>79.2</v>
      </c>
      <c r="I25" s="7">
        <v>73.74</v>
      </c>
      <c r="J25" s="5" t="s">
        <v>13</v>
      </c>
    </row>
    <row r="26" spans="1:10" ht="15.75" customHeight="1">
      <c r="A26" s="5">
        <v>24</v>
      </c>
      <c r="B26" s="6" t="str">
        <f t="shared" si="0"/>
        <v>2023101</v>
      </c>
      <c r="C26" s="6" t="s">
        <v>11</v>
      </c>
      <c r="D26" s="6" t="s">
        <v>12</v>
      </c>
      <c r="E26" s="6" t="str">
        <f>"董晴"</f>
        <v>董晴</v>
      </c>
      <c r="F26" s="6" t="str">
        <f>"20237160114"</f>
        <v>20237160114</v>
      </c>
      <c r="G26" s="7">
        <v>71.35</v>
      </c>
      <c r="H26" s="7">
        <v>73.3</v>
      </c>
      <c r="I26" s="7">
        <v>72.52</v>
      </c>
      <c r="J26" s="5" t="s">
        <v>13</v>
      </c>
    </row>
    <row r="27" spans="1:10" ht="15.75" customHeight="1">
      <c r="A27" s="5">
        <v>25</v>
      </c>
      <c r="B27" s="6" t="str">
        <f aca="true" t="shared" si="1" ref="B27:B50">"2023102"</f>
        <v>2023102</v>
      </c>
      <c r="C27" s="6" t="s">
        <v>14</v>
      </c>
      <c r="D27" s="6" t="s">
        <v>12</v>
      </c>
      <c r="E27" s="6" t="str">
        <f>"张雨晴"</f>
        <v>张雨晴</v>
      </c>
      <c r="F27" s="6" t="str">
        <f>"20237160407"</f>
        <v>20237160407</v>
      </c>
      <c r="G27" s="7">
        <v>102.8</v>
      </c>
      <c r="H27" s="7">
        <v>104.9</v>
      </c>
      <c r="I27" s="7">
        <v>104.06</v>
      </c>
      <c r="J27" s="5"/>
    </row>
    <row r="28" spans="1:10" ht="15.75" customHeight="1">
      <c r="A28" s="5">
        <v>26</v>
      </c>
      <c r="B28" s="6" t="str">
        <f t="shared" si="1"/>
        <v>2023102</v>
      </c>
      <c r="C28" s="6" t="s">
        <v>14</v>
      </c>
      <c r="D28" s="6" t="s">
        <v>12</v>
      </c>
      <c r="E28" s="6" t="str">
        <f>"高梦茹"</f>
        <v>高梦茹</v>
      </c>
      <c r="F28" s="6" t="str">
        <f>"20237160315"</f>
        <v>20237160315</v>
      </c>
      <c r="G28" s="7">
        <v>100.15</v>
      </c>
      <c r="H28" s="7">
        <v>96.5</v>
      </c>
      <c r="I28" s="7">
        <v>97.96</v>
      </c>
      <c r="J28" s="5"/>
    </row>
    <row r="29" spans="1:10" ht="15.75" customHeight="1">
      <c r="A29" s="5">
        <v>27</v>
      </c>
      <c r="B29" s="6" t="str">
        <f t="shared" si="1"/>
        <v>2023102</v>
      </c>
      <c r="C29" s="6" t="s">
        <v>14</v>
      </c>
      <c r="D29" s="6" t="s">
        <v>12</v>
      </c>
      <c r="E29" s="6" t="str">
        <f>"李岩岩"</f>
        <v>李岩岩</v>
      </c>
      <c r="F29" s="6" t="str">
        <f>"20237160422"</f>
        <v>20237160422</v>
      </c>
      <c r="G29" s="7">
        <v>97.55</v>
      </c>
      <c r="H29" s="7">
        <v>96.9</v>
      </c>
      <c r="I29" s="7">
        <v>97.16</v>
      </c>
      <c r="J29" s="5"/>
    </row>
    <row r="30" spans="1:10" ht="15.75" customHeight="1">
      <c r="A30" s="5">
        <v>28</v>
      </c>
      <c r="B30" s="6" t="str">
        <f t="shared" si="1"/>
        <v>2023102</v>
      </c>
      <c r="C30" s="6" t="s">
        <v>14</v>
      </c>
      <c r="D30" s="6" t="s">
        <v>12</v>
      </c>
      <c r="E30" s="6" t="str">
        <f>"李勇美"</f>
        <v>李勇美</v>
      </c>
      <c r="F30" s="6" t="str">
        <f>"20237160324"</f>
        <v>20237160324</v>
      </c>
      <c r="G30" s="7">
        <v>100.9</v>
      </c>
      <c r="H30" s="7">
        <v>90.7</v>
      </c>
      <c r="I30" s="7">
        <v>94.78</v>
      </c>
      <c r="J30" s="5"/>
    </row>
    <row r="31" spans="1:10" ht="15.75" customHeight="1">
      <c r="A31" s="5">
        <v>29</v>
      </c>
      <c r="B31" s="6" t="str">
        <f t="shared" si="1"/>
        <v>2023102</v>
      </c>
      <c r="C31" s="6" t="s">
        <v>14</v>
      </c>
      <c r="D31" s="6" t="s">
        <v>12</v>
      </c>
      <c r="E31" s="6" t="str">
        <f>"史晓雪"</f>
        <v>史晓雪</v>
      </c>
      <c r="F31" s="6" t="str">
        <f>"20237160410"</f>
        <v>20237160410</v>
      </c>
      <c r="G31" s="7">
        <v>103.8</v>
      </c>
      <c r="H31" s="7">
        <v>88.2</v>
      </c>
      <c r="I31" s="7">
        <v>94.44</v>
      </c>
      <c r="J31" s="5"/>
    </row>
    <row r="32" spans="1:10" ht="15.75" customHeight="1">
      <c r="A32" s="5">
        <v>30</v>
      </c>
      <c r="B32" s="6" t="str">
        <f t="shared" si="1"/>
        <v>2023102</v>
      </c>
      <c r="C32" s="6" t="s">
        <v>14</v>
      </c>
      <c r="D32" s="6" t="s">
        <v>12</v>
      </c>
      <c r="E32" s="6" t="str">
        <f>"武孟雨"</f>
        <v>武孟雨</v>
      </c>
      <c r="F32" s="6" t="str">
        <f>"20237160319"</f>
        <v>20237160319</v>
      </c>
      <c r="G32" s="7">
        <v>93.35</v>
      </c>
      <c r="H32" s="7">
        <v>91.3</v>
      </c>
      <c r="I32" s="7">
        <v>92.12</v>
      </c>
      <c r="J32" s="5"/>
    </row>
    <row r="33" spans="1:10" ht="15.75" customHeight="1">
      <c r="A33" s="5">
        <v>31</v>
      </c>
      <c r="B33" s="6" t="str">
        <f t="shared" si="1"/>
        <v>2023102</v>
      </c>
      <c r="C33" s="6" t="s">
        <v>14</v>
      </c>
      <c r="D33" s="6" t="s">
        <v>12</v>
      </c>
      <c r="E33" s="6" t="str">
        <f>"董诗宇"</f>
        <v>董诗宇</v>
      </c>
      <c r="F33" s="6" t="str">
        <f>"20237160405"</f>
        <v>20237160405</v>
      </c>
      <c r="G33" s="7">
        <v>87.3</v>
      </c>
      <c r="H33" s="7">
        <v>95.1</v>
      </c>
      <c r="I33" s="7">
        <v>91.98</v>
      </c>
      <c r="J33" s="5"/>
    </row>
    <row r="34" spans="1:10" ht="15.75" customHeight="1">
      <c r="A34" s="5">
        <v>32</v>
      </c>
      <c r="B34" s="6" t="str">
        <f t="shared" si="1"/>
        <v>2023102</v>
      </c>
      <c r="C34" s="6" t="s">
        <v>14</v>
      </c>
      <c r="D34" s="6" t="s">
        <v>12</v>
      </c>
      <c r="E34" s="6" t="str">
        <f>"刘奕婧"</f>
        <v>刘奕婧</v>
      </c>
      <c r="F34" s="6" t="str">
        <f>"20237160309"</f>
        <v>20237160309</v>
      </c>
      <c r="G34" s="7">
        <v>91.5</v>
      </c>
      <c r="H34" s="7">
        <v>91.1</v>
      </c>
      <c r="I34" s="7">
        <v>91.26</v>
      </c>
      <c r="J34" s="5"/>
    </row>
    <row r="35" spans="1:10" ht="15.75" customHeight="1">
      <c r="A35" s="5">
        <v>33</v>
      </c>
      <c r="B35" s="6" t="str">
        <f t="shared" si="1"/>
        <v>2023102</v>
      </c>
      <c r="C35" s="6" t="s">
        <v>14</v>
      </c>
      <c r="D35" s="6" t="s">
        <v>12</v>
      </c>
      <c r="E35" s="6" t="str">
        <f>"王艳"</f>
        <v>王艳</v>
      </c>
      <c r="F35" s="6" t="str">
        <f>"20237160313"</f>
        <v>20237160313</v>
      </c>
      <c r="G35" s="7">
        <v>95.8</v>
      </c>
      <c r="H35" s="7">
        <v>87.3</v>
      </c>
      <c r="I35" s="7">
        <v>90.7</v>
      </c>
      <c r="J35" s="5"/>
    </row>
    <row r="36" spans="1:10" ht="15.75" customHeight="1">
      <c r="A36" s="5">
        <v>34</v>
      </c>
      <c r="B36" s="6" t="str">
        <f t="shared" si="1"/>
        <v>2023102</v>
      </c>
      <c r="C36" s="6" t="s">
        <v>14</v>
      </c>
      <c r="D36" s="6" t="s">
        <v>12</v>
      </c>
      <c r="E36" s="6" t="str">
        <f>"吴金伟"</f>
        <v>吴金伟</v>
      </c>
      <c r="F36" s="6" t="str">
        <f>"20237160312"</f>
        <v>20237160312</v>
      </c>
      <c r="G36" s="7">
        <v>88.95</v>
      </c>
      <c r="H36" s="7">
        <v>91.6</v>
      </c>
      <c r="I36" s="7">
        <v>90.54</v>
      </c>
      <c r="J36" s="5"/>
    </row>
    <row r="37" spans="1:10" ht="15.75" customHeight="1">
      <c r="A37" s="5">
        <v>35</v>
      </c>
      <c r="B37" s="6" t="str">
        <f t="shared" si="1"/>
        <v>2023102</v>
      </c>
      <c r="C37" s="6" t="s">
        <v>14</v>
      </c>
      <c r="D37" s="6" t="s">
        <v>12</v>
      </c>
      <c r="E37" s="6" t="str">
        <f>"汤梦楠"</f>
        <v>汤梦楠</v>
      </c>
      <c r="F37" s="6" t="str">
        <f>"20237160416"</f>
        <v>20237160416</v>
      </c>
      <c r="G37" s="7">
        <v>90.4</v>
      </c>
      <c r="H37" s="7">
        <v>86.7</v>
      </c>
      <c r="I37" s="7">
        <v>88.18</v>
      </c>
      <c r="J37" s="5"/>
    </row>
    <row r="38" spans="1:10" ht="15.75" customHeight="1">
      <c r="A38" s="5">
        <v>36</v>
      </c>
      <c r="B38" s="6" t="str">
        <f t="shared" si="1"/>
        <v>2023102</v>
      </c>
      <c r="C38" s="6" t="s">
        <v>14</v>
      </c>
      <c r="D38" s="6" t="s">
        <v>12</v>
      </c>
      <c r="E38" s="6" t="str">
        <f>"孙晓庆"</f>
        <v>孙晓庆</v>
      </c>
      <c r="F38" s="6" t="str">
        <f>"20237160412"</f>
        <v>20237160412</v>
      </c>
      <c r="G38" s="7">
        <v>95.15</v>
      </c>
      <c r="H38" s="7">
        <v>80.8</v>
      </c>
      <c r="I38" s="7">
        <v>86.54</v>
      </c>
      <c r="J38" s="5"/>
    </row>
    <row r="39" spans="1:10" ht="15.75" customHeight="1">
      <c r="A39" s="5">
        <v>37</v>
      </c>
      <c r="B39" s="6" t="str">
        <f t="shared" si="1"/>
        <v>2023102</v>
      </c>
      <c r="C39" s="6" t="s">
        <v>14</v>
      </c>
      <c r="D39" s="6" t="s">
        <v>12</v>
      </c>
      <c r="E39" s="6" t="str">
        <f>"李灿"</f>
        <v>李灿</v>
      </c>
      <c r="F39" s="6" t="str">
        <f>"20237160317"</f>
        <v>20237160317</v>
      </c>
      <c r="G39" s="7">
        <v>89.95</v>
      </c>
      <c r="H39" s="7">
        <v>82.6</v>
      </c>
      <c r="I39" s="7">
        <v>85.54</v>
      </c>
      <c r="J39" s="5"/>
    </row>
    <row r="40" spans="1:10" ht="15.75" customHeight="1">
      <c r="A40" s="5">
        <v>38</v>
      </c>
      <c r="B40" s="6" t="str">
        <f t="shared" si="1"/>
        <v>2023102</v>
      </c>
      <c r="C40" s="6" t="s">
        <v>14</v>
      </c>
      <c r="D40" s="6" t="s">
        <v>12</v>
      </c>
      <c r="E40" s="6" t="str">
        <f>"夏雨濛"</f>
        <v>夏雨濛</v>
      </c>
      <c r="F40" s="6" t="str">
        <f>"20237160325"</f>
        <v>20237160325</v>
      </c>
      <c r="G40" s="7">
        <v>76.6</v>
      </c>
      <c r="H40" s="7">
        <v>88.6</v>
      </c>
      <c r="I40" s="7">
        <v>83.8</v>
      </c>
      <c r="J40" s="5"/>
    </row>
    <row r="41" spans="1:10" ht="15.75" customHeight="1">
      <c r="A41" s="5">
        <v>39</v>
      </c>
      <c r="B41" s="6" t="str">
        <f t="shared" si="1"/>
        <v>2023102</v>
      </c>
      <c r="C41" s="6" t="s">
        <v>14</v>
      </c>
      <c r="D41" s="6" t="s">
        <v>12</v>
      </c>
      <c r="E41" s="6" t="str">
        <f>"王建淼"</f>
        <v>王建淼</v>
      </c>
      <c r="F41" s="6" t="str">
        <f>"20237160421"</f>
        <v>20237160421</v>
      </c>
      <c r="G41" s="7">
        <v>81</v>
      </c>
      <c r="H41" s="7">
        <v>85.1</v>
      </c>
      <c r="I41" s="7">
        <v>83.46</v>
      </c>
      <c r="J41" s="5"/>
    </row>
    <row r="42" spans="1:10" ht="15.75" customHeight="1">
      <c r="A42" s="5">
        <v>40</v>
      </c>
      <c r="B42" s="6" t="str">
        <f t="shared" si="1"/>
        <v>2023102</v>
      </c>
      <c r="C42" s="6" t="s">
        <v>14</v>
      </c>
      <c r="D42" s="6" t="s">
        <v>12</v>
      </c>
      <c r="E42" s="6" t="str">
        <f>"王秋怡"</f>
        <v>王秋怡</v>
      </c>
      <c r="F42" s="6" t="str">
        <f>"20237160311"</f>
        <v>20237160311</v>
      </c>
      <c r="G42" s="7">
        <v>94.9</v>
      </c>
      <c r="H42" s="7">
        <v>75.8</v>
      </c>
      <c r="I42" s="7">
        <v>83.44</v>
      </c>
      <c r="J42" s="5"/>
    </row>
    <row r="43" spans="1:10" ht="15.75" customHeight="1">
      <c r="A43" s="5">
        <v>41</v>
      </c>
      <c r="B43" s="6" t="str">
        <f t="shared" si="1"/>
        <v>2023102</v>
      </c>
      <c r="C43" s="6" t="s">
        <v>14</v>
      </c>
      <c r="D43" s="6" t="s">
        <v>12</v>
      </c>
      <c r="E43" s="6" t="str">
        <f>"朱瑞涵"</f>
        <v>朱瑞涵</v>
      </c>
      <c r="F43" s="6" t="str">
        <f>"20237160408"</f>
        <v>20237160408</v>
      </c>
      <c r="G43" s="7">
        <v>83.75</v>
      </c>
      <c r="H43" s="7">
        <v>83.2</v>
      </c>
      <c r="I43" s="7">
        <v>83.42</v>
      </c>
      <c r="J43" s="5"/>
    </row>
    <row r="44" spans="1:10" ht="15.75" customHeight="1">
      <c r="A44" s="5">
        <v>42</v>
      </c>
      <c r="B44" s="6" t="str">
        <f t="shared" si="1"/>
        <v>2023102</v>
      </c>
      <c r="C44" s="6" t="s">
        <v>14</v>
      </c>
      <c r="D44" s="6" t="s">
        <v>12</v>
      </c>
      <c r="E44" s="6" t="str">
        <f>"向丽蓉"</f>
        <v>向丽蓉</v>
      </c>
      <c r="F44" s="6" t="str">
        <f>"20237160326"</f>
        <v>20237160326</v>
      </c>
      <c r="G44" s="7">
        <v>85.75</v>
      </c>
      <c r="H44" s="7">
        <v>80.4</v>
      </c>
      <c r="I44" s="7">
        <v>82.54</v>
      </c>
      <c r="J44" s="5"/>
    </row>
    <row r="45" spans="1:10" ht="15.75" customHeight="1">
      <c r="A45" s="5">
        <v>43</v>
      </c>
      <c r="B45" s="6" t="str">
        <f t="shared" si="1"/>
        <v>2023102</v>
      </c>
      <c r="C45" s="6" t="s">
        <v>14</v>
      </c>
      <c r="D45" s="6" t="s">
        <v>12</v>
      </c>
      <c r="E45" s="6" t="str">
        <f>"任馨铭"</f>
        <v>任馨铭</v>
      </c>
      <c r="F45" s="6" t="str">
        <f>"20237160306"</f>
        <v>20237160306</v>
      </c>
      <c r="G45" s="7">
        <v>89.95</v>
      </c>
      <c r="H45" s="7">
        <v>75.7</v>
      </c>
      <c r="I45" s="7">
        <v>81.4</v>
      </c>
      <c r="J45" s="5" t="s">
        <v>13</v>
      </c>
    </row>
    <row r="46" spans="1:10" ht="15.75" customHeight="1">
      <c r="A46" s="5">
        <v>44</v>
      </c>
      <c r="B46" s="6" t="str">
        <f t="shared" si="1"/>
        <v>2023102</v>
      </c>
      <c r="C46" s="6" t="s">
        <v>14</v>
      </c>
      <c r="D46" s="6" t="s">
        <v>12</v>
      </c>
      <c r="E46" s="6" t="str">
        <f>"王慧"</f>
        <v>王慧</v>
      </c>
      <c r="F46" s="6" t="str">
        <f>"20237160403"</f>
        <v>20237160403</v>
      </c>
      <c r="G46" s="7">
        <v>87.75</v>
      </c>
      <c r="H46" s="7">
        <v>75.4</v>
      </c>
      <c r="I46" s="7">
        <v>80.34</v>
      </c>
      <c r="J46" s="5" t="s">
        <v>13</v>
      </c>
    </row>
    <row r="47" spans="1:10" ht="15.75" customHeight="1">
      <c r="A47" s="5">
        <v>45</v>
      </c>
      <c r="B47" s="6" t="str">
        <f t="shared" si="1"/>
        <v>2023102</v>
      </c>
      <c r="C47" s="6" t="s">
        <v>14</v>
      </c>
      <c r="D47" s="6" t="s">
        <v>12</v>
      </c>
      <c r="E47" s="6" t="str">
        <f>"庞晶晶"</f>
        <v>庞晶晶</v>
      </c>
      <c r="F47" s="6" t="str">
        <f>"20237160328"</f>
        <v>20237160328</v>
      </c>
      <c r="G47" s="7">
        <v>74.95</v>
      </c>
      <c r="H47" s="7">
        <v>82.4</v>
      </c>
      <c r="I47" s="7">
        <v>79.42</v>
      </c>
      <c r="J47" s="5" t="s">
        <v>13</v>
      </c>
    </row>
    <row r="48" spans="1:10" ht="15.75" customHeight="1">
      <c r="A48" s="5">
        <v>46</v>
      </c>
      <c r="B48" s="6" t="str">
        <f t="shared" si="1"/>
        <v>2023102</v>
      </c>
      <c r="C48" s="6" t="s">
        <v>14</v>
      </c>
      <c r="D48" s="6" t="s">
        <v>12</v>
      </c>
      <c r="E48" s="6" t="str">
        <f>"郭宁"</f>
        <v>郭宁</v>
      </c>
      <c r="F48" s="6" t="str">
        <f>"20237160425"</f>
        <v>20237160425</v>
      </c>
      <c r="G48" s="7">
        <v>80.25</v>
      </c>
      <c r="H48" s="7">
        <v>76.7</v>
      </c>
      <c r="I48" s="7">
        <v>78.12</v>
      </c>
      <c r="J48" s="5" t="s">
        <v>13</v>
      </c>
    </row>
    <row r="49" spans="1:10" ht="15.75" customHeight="1">
      <c r="A49" s="5">
        <v>47</v>
      </c>
      <c r="B49" s="6" t="str">
        <f t="shared" si="1"/>
        <v>2023102</v>
      </c>
      <c r="C49" s="6" t="s">
        <v>14</v>
      </c>
      <c r="D49" s="6" t="s">
        <v>12</v>
      </c>
      <c r="E49" s="6" t="str">
        <f>"王文文"</f>
        <v>王文文</v>
      </c>
      <c r="F49" s="6" t="str">
        <f>"20237160305"</f>
        <v>20237160305</v>
      </c>
      <c r="G49" s="7">
        <v>73.6</v>
      </c>
      <c r="H49" s="7">
        <v>80</v>
      </c>
      <c r="I49" s="7">
        <v>77.44</v>
      </c>
      <c r="J49" s="5" t="s">
        <v>13</v>
      </c>
    </row>
    <row r="50" spans="1:10" ht="15.75" customHeight="1">
      <c r="A50" s="5">
        <v>48</v>
      </c>
      <c r="B50" s="6" t="str">
        <f t="shared" si="1"/>
        <v>2023102</v>
      </c>
      <c r="C50" s="6" t="s">
        <v>14</v>
      </c>
      <c r="D50" s="6" t="s">
        <v>12</v>
      </c>
      <c r="E50" s="6" t="str">
        <f>"张多多"</f>
        <v>张多多</v>
      </c>
      <c r="F50" s="6" t="str">
        <f>"20237160322"</f>
        <v>20237160322</v>
      </c>
      <c r="G50" s="7">
        <v>68.45</v>
      </c>
      <c r="H50" s="7">
        <v>83.2</v>
      </c>
      <c r="I50" s="7">
        <v>77.3</v>
      </c>
      <c r="J50" s="5" t="s">
        <v>13</v>
      </c>
    </row>
    <row r="51" spans="1:10" ht="15.75" customHeight="1">
      <c r="A51" s="5">
        <v>49</v>
      </c>
      <c r="B51" s="6" t="str">
        <f aca="true" t="shared" si="2" ref="B51:B76">"2023103"</f>
        <v>2023103</v>
      </c>
      <c r="C51" s="6" t="s">
        <v>15</v>
      </c>
      <c r="D51" s="6" t="s">
        <v>12</v>
      </c>
      <c r="E51" s="6" t="str">
        <f>"魏秀丽"</f>
        <v>魏秀丽</v>
      </c>
      <c r="F51" s="6" t="str">
        <f>"20237160617"</f>
        <v>20237160617</v>
      </c>
      <c r="G51" s="7">
        <v>106.55</v>
      </c>
      <c r="H51" s="7">
        <v>98.5</v>
      </c>
      <c r="I51" s="7">
        <v>101.72</v>
      </c>
      <c r="J51" s="5"/>
    </row>
    <row r="52" spans="1:10" ht="15.75" customHeight="1">
      <c r="A52" s="5">
        <v>50</v>
      </c>
      <c r="B52" s="6" t="str">
        <f t="shared" si="2"/>
        <v>2023103</v>
      </c>
      <c r="C52" s="6" t="s">
        <v>15</v>
      </c>
      <c r="D52" s="6" t="s">
        <v>12</v>
      </c>
      <c r="E52" s="6" t="str">
        <f>"郑晓花"</f>
        <v>郑晓花</v>
      </c>
      <c r="F52" s="6" t="str">
        <f>"20237160523"</f>
        <v>20237160523</v>
      </c>
      <c r="G52" s="7">
        <v>100.15</v>
      </c>
      <c r="H52" s="7">
        <v>100</v>
      </c>
      <c r="I52" s="7">
        <v>100.06</v>
      </c>
      <c r="J52" s="5"/>
    </row>
    <row r="53" spans="1:10" ht="15.75" customHeight="1">
      <c r="A53" s="5">
        <v>51</v>
      </c>
      <c r="B53" s="6" t="str">
        <f t="shared" si="2"/>
        <v>2023103</v>
      </c>
      <c r="C53" s="6" t="s">
        <v>15</v>
      </c>
      <c r="D53" s="6" t="s">
        <v>12</v>
      </c>
      <c r="E53" s="6" t="str">
        <f>"熊家云"</f>
        <v>熊家云</v>
      </c>
      <c r="F53" s="6" t="str">
        <f>"20237160601"</f>
        <v>20237160601</v>
      </c>
      <c r="G53" s="7">
        <v>101.5</v>
      </c>
      <c r="H53" s="7">
        <v>91.7</v>
      </c>
      <c r="I53" s="7">
        <v>95.62</v>
      </c>
      <c r="J53" s="5"/>
    </row>
    <row r="54" spans="1:10" ht="15.75" customHeight="1">
      <c r="A54" s="5">
        <v>52</v>
      </c>
      <c r="B54" s="6" t="str">
        <f t="shared" si="2"/>
        <v>2023103</v>
      </c>
      <c r="C54" s="6" t="s">
        <v>15</v>
      </c>
      <c r="D54" s="6" t="s">
        <v>12</v>
      </c>
      <c r="E54" s="6" t="str">
        <f>"孟娜娜"</f>
        <v>孟娜娜</v>
      </c>
      <c r="F54" s="6" t="str">
        <f>"20237160615"</f>
        <v>20237160615</v>
      </c>
      <c r="G54" s="7">
        <v>92.15</v>
      </c>
      <c r="H54" s="7">
        <v>92.7</v>
      </c>
      <c r="I54" s="7">
        <v>92.48</v>
      </c>
      <c r="J54" s="5"/>
    </row>
    <row r="55" spans="1:10" ht="15.75" customHeight="1">
      <c r="A55" s="5">
        <v>53</v>
      </c>
      <c r="B55" s="6" t="str">
        <f t="shared" si="2"/>
        <v>2023103</v>
      </c>
      <c r="C55" s="6" t="s">
        <v>15</v>
      </c>
      <c r="D55" s="6" t="s">
        <v>12</v>
      </c>
      <c r="E55" s="6" t="str">
        <f>"钱梅婷"</f>
        <v>钱梅婷</v>
      </c>
      <c r="F55" s="6" t="str">
        <f>"20237160611"</f>
        <v>20237160611</v>
      </c>
      <c r="G55" s="7">
        <v>96.3</v>
      </c>
      <c r="H55" s="7">
        <v>89.2</v>
      </c>
      <c r="I55" s="7">
        <v>92.04</v>
      </c>
      <c r="J55" s="5"/>
    </row>
    <row r="56" spans="1:10" ht="15.75" customHeight="1">
      <c r="A56" s="5">
        <v>54</v>
      </c>
      <c r="B56" s="6" t="str">
        <f t="shared" si="2"/>
        <v>2023103</v>
      </c>
      <c r="C56" s="6" t="s">
        <v>15</v>
      </c>
      <c r="D56" s="6" t="s">
        <v>12</v>
      </c>
      <c r="E56" s="6" t="str">
        <f>"张雨晴"</f>
        <v>张雨晴</v>
      </c>
      <c r="F56" s="6" t="str">
        <f>"20237160607"</f>
        <v>20237160607</v>
      </c>
      <c r="G56" s="7">
        <v>94.55</v>
      </c>
      <c r="H56" s="7">
        <v>84.3</v>
      </c>
      <c r="I56" s="7">
        <v>88.4</v>
      </c>
      <c r="J56" s="5"/>
    </row>
    <row r="57" spans="1:10" ht="15.75" customHeight="1">
      <c r="A57" s="5">
        <v>55</v>
      </c>
      <c r="B57" s="6" t="str">
        <f t="shared" si="2"/>
        <v>2023103</v>
      </c>
      <c r="C57" s="6" t="s">
        <v>15</v>
      </c>
      <c r="D57" s="6" t="s">
        <v>12</v>
      </c>
      <c r="E57" s="6" t="str">
        <f>"马静静"</f>
        <v>马静静</v>
      </c>
      <c r="F57" s="6" t="str">
        <f>"20237160502"</f>
        <v>20237160502</v>
      </c>
      <c r="G57" s="7">
        <v>87.7</v>
      </c>
      <c r="H57" s="7">
        <v>88.2</v>
      </c>
      <c r="I57" s="7">
        <v>88</v>
      </c>
      <c r="J57" s="5"/>
    </row>
    <row r="58" spans="1:10" ht="15.75" customHeight="1">
      <c r="A58" s="5">
        <v>56</v>
      </c>
      <c r="B58" s="6" t="str">
        <f t="shared" si="2"/>
        <v>2023103</v>
      </c>
      <c r="C58" s="6" t="s">
        <v>15</v>
      </c>
      <c r="D58" s="6" t="s">
        <v>12</v>
      </c>
      <c r="E58" s="6" t="str">
        <f>"孙文慧"</f>
        <v>孙文慧</v>
      </c>
      <c r="F58" s="6" t="str">
        <f>"20237160512"</f>
        <v>20237160512</v>
      </c>
      <c r="G58" s="7">
        <v>92.2</v>
      </c>
      <c r="H58" s="7">
        <v>81</v>
      </c>
      <c r="I58" s="7">
        <v>85.48</v>
      </c>
      <c r="J58" s="5"/>
    </row>
    <row r="59" spans="1:10" ht="15.75" customHeight="1">
      <c r="A59" s="5">
        <v>57</v>
      </c>
      <c r="B59" s="6" t="str">
        <f t="shared" si="2"/>
        <v>2023103</v>
      </c>
      <c r="C59" s="6" t="s">
        <v>15</v>
      </c>
      <c r="D59" s="6" t="s">
        <v>12</v>
      </c>
      <c r="E59" s="6" t="str">
        <f>"张彤彤"</f>
        <v>张彤彤</v>
      </c>
      <c r="F59" s="6" t="str">
        <f>"20237160504"</f>
        <v>20237160504</v>
      </c>
      <c r="G59" s="7">
        <v>93.05</v>
      </c>
      <c r="H59" s="7">
        <v>80.1</v>
      </c>
      <c r="I59" s="7">
        <v>85.28</v>
      </c>
      <c r="J59" s="5"/>
    </row>
    <row r="60" spans="1:10" ht="15.75" customHeight="1">
      <c r="A60" s="5">
        <v>58</v>
      </c>
      <c r="B60" s="6" t="str">
        <f t="shared" si="2"/>
        <v>2023103</v>
      </c>
      <c r="C60" s="6" t="s">
        <v>15</v>
      </c>
      <c r="D60" s="6" t="s">
        <v>12</v>
      </c>
      <c r="E60" s="6" t="str">
        <f>"王云"</f>
        <v>王云</v>
      </c>
      <c r="F60" s="6" t="str">
        <f>"20237160627"</f>
        <v>20237160627</v>
      </c>
      <c r="G60" s="7">
        <v>81.7</v>
      </c>
      <c r="H60" s="7">
        <v>86.3</v>
      </c>
      <c r="I60" s="7">
        <v>84.46</v>
      </c>
      <c r="J60" s="5"/>
    </row>
    <row r="61" spans="1:10" ht="15.75" customHeight="1">
      <c r="A61" s="5">
        <v>59</v>
      </c>
      <c r="B61" s="6" t="str">
        <f t="shared" si="2"/>
        <v>2023103</v>
      </c>
      <c r="C61" s="6" t="s">
        <v>15</v>
      </c>
      <c r="D61" s="6" t="s">
        <v>12</v>
      </c>
      <c r="E61" s="6" t="str">
        <f>"高若茜"</f>
        <v>高若茜</v>
      </c>
      <c r="F61" s="6" t="str">
        <f>"20237160517"</f>
        <v>20237160517</v>
      </c>
      <c r="G61" s="7">
        <v>82.3</v>
      </c>
      <c r="H61" s="7">
        <v>84.9</v>
      </c>
      <c r="I61" s="7">
        <v>83.86</v>
      </c>
      <c r="J61" s="5"/>
    </row>
    <row r="62" spans="1:10" ht="15.75" customHeight="1">
      <c r="A62" s="5">
        <v>60</v>
      </c>
      <c r="B62" s="6" t="str">
        <f t="shared" si="2"/>
        <v>2023103</v>
      </c>
      <c r="C62" s="6" t="s">
        <v>15</v>
      </c>
      <c r="D62" s="6" t="s">
        <v>12</v>
      </c>
      <c r="E62" s="6" t="str">
        <f>"李舒雅"</f>
        <v>李舒雅</v>
      </c>
      <c r="F62" s="6" t="str">
        <f>"20237160508"</f>
        <v>20237160508</v>
      </c>
      <c r="G62" s="7">
        <v>77.7</v>
      </c>
      <c r="H62" s="7">
        <v>85.3</v>
      </c>
      <c r="I62" s="7">
        <v>82.26</v>
      </c>
      <c r="J62" s="5"/>
    </row>
    <row r="63" spans="1:10" ht="15.75" customHeight="1">
      <c r="A63" s="5">
        <v>61</v>
      </c>
      <c r="B63" s="6" t="str">
        <f t="shared" si="2"/>
        <v>2023103</v>
      </c>
      <c r="C63" s="6" t="s">
        <v>15</v>
      </c>
      <c r="D63" s="6" t="s">
        <v>12</v>
      </c>
      <c r="E63" s="6" t="str">
        <f>"马梦娟"</f>
        <v>马梦娟</v>
      </c>
      <c r="F63" s="6" t="str">
        <f>"20237160612"</f>
        <v>20237160612</v>
      </c>
      <c r="G63" s="7">
        <v>77.65</v>
      </c>
      <c r="H63" s="7">
        <v>84.8</v>
      </c>
      <c r="I63" s="7">
        <v>81.94</v>
      </c>
      <c r="J63" s="5"/>
    </row>
    <row r="64" spans="1:10" ht="15.75" customHeight="1">
      <c r="A64" s="5">
        <v>62</v>
      </c>
      <c r="B64" s="6" t="str">
        <f t="shared" si="2"/>
        <v>2023103</v>
      </c>
      <c r="C64" s="6" t="s">
        <v>15</v>
      </c>
      <c r="D64" s="6" t="s">
        <v>12</v>
      </c>
      <c r="E64" s="6" t="str">
        <f>"孙佳"</f>
        <v>孙佳</v>
      </c>
      <c r="F64" s="6" t="str">
        <f>"20237160516"</f>
        <v>20237160516</v>
      </c>
      <c r="G64" s="7">
        <v>68.1</v>
      </c>
      <c r="H64" s="7">
        <v>90.1</v>
      </c>
      <c r="I64" s="7">
        <v>81.3</v>
      </c>
      <c r="J64" s="5"/>
    </row>
    <row r="65" spans="1:10" ht="15.75" customHeight="1">
      <c r="A65" s="5">
        <v>63</v>
      </c>
      <c r="B65" s="6" t="str">
        <f t="shared" si="2"/>
        <v>2023103</v>
      </c>
      <c r="C65" s="6" t="s">
        <v>15</v>
      </c>
      <c r="D65" s="6" t="s">
        <v>12</v>
      </c>
      <c r="E65" s="6" t="str">
        <f>"汝慧慧"</f>
        <v>汝慧慧</v>
      </c>
      <c r="F65" s="6" t="str">
        <f>"20237160524"</f>
        <v>20237160524</v>
      </c>
      <c r="G65" s="7">
        <v>84.8</v>
      </c>
      <c r="H65" s="7">
        <v>76.5</v>
      </c>
      <c r="I65" s="7">
        <v>79.82</v>
      </c>
      <c r="J65" s="5"/>
    </row>
    <row r="66" spans="1:10" ht="15.75" customHeight="1">
      <c r="A66" s="5">
        <v>64</v>
      </c>
      <c r="B66" s="6" t="str">
        <f t="shared" si="2"/>
        <v>2023103</v>
      </c>
      <c r="C66" s="6" t="s">
        <v>15</v>
      </c>
      <c r="D66" s="6" t="s">
        <v>12</v>
      </c>
      <c r="E66" s="6" t="str">
        <f>"李梦晴"</f>
        <v>李梦晴</v>
      </c>
      <c r="F66" s="6" t="str">
        <f>"20237160518"</f>
        <v>20237160518</v>
      </c>
      <c r="G66" s="7">
        <v>84.25</v>
      </c>
      <c r="H66" s="7">
        <v>73.7</v>
      </c>
      <c r="I66" s="7">
        <v>77.92</v>
      </c>
      <c r="J66" s="5" t="s">
        <v>13</v>
      </c>
    </row>
    <row r="67" spans="1:10" ht="15.75" customHeight="1">
      <c r="A67" s="5">
        <v>65</v>
      </c>
      <c r="B67" s="6" t="str">
        <f t="shared" si="2"/>
        <v>2023103</v>
      </c>
      <c r="C67" s="6" t="s">
        <v>15</v>
      </c>
      <c r="D67" s="6" t="s">
        <v>12</v>
      </c>
      <c r="E67" s="6" t="str">
        <f>"祝景灏"</f>
        <v>祝景灏</v>
      </c>
      <c r="F67" s="6" t="str">
        <f>"20237160501"</f>
        <v>20237160501</v>
      </c>
      <c r="G67" s="7">
        <v>83.05</v>
      </c>
      <c r="H67" s="7">
        <v>71.5</v>
      </c>
      <c r="I67" s="7">
        <v>76.12</v>
      </c>
      <c r="J67" s="5" t="s">
        <v>13</v>
      </c>
    </row>
    <row r="68" spans="1:10" ht="15.75" customHeight="1">
      <c r="A68" s="5">
        <v>66</v>
      </c>
      <c r="B68" s="6" t="str">
        <f t="shared" si="2"/>
        <v>2023103</v>
      </c>
      <c r="C68" s="6" t="s">
        <v>15</v>
      </c>
      <c r="D68" s="6" t="s">
        <v>12</v>
      </c>
      <c r="E68" s="6" t="str">
        <f>"解睿新"</f>
        <v>解睿新</v>
      </c>
      <c r="F68" s="6" t="str">
        <f>"20237160621"</f>
        <v>20237160621</v>
      </c>
      <c r="G68" s="7">
        <v>79.4</v>
      </c>
      <c r="H68" s="7">
        <v>72.1</v>
      </c>
      <c r="I68" s="7">
        <v>75.02</v>
      </c>
      <c r="J68" s="5" t="s">
        <v>13</v>
      </c>
    </row>
    <row r="69" spans="1:10" ht="15.75" customHeight="1">
      <c r="A69" s="5">
        <v>67</v>
      </c>
      <c r="B69" s="6" t="str">
        <f t="shared" si="2"/>
        <v>2023103</v>
      </c>
      <c r="C69" s="6" t="s">
        <v>15</v>
      </c>
      <c r="D69" s="6" t="s">
        <v>12</v>
      </c>
      <c r="E69" s="6" t="str">
        <f>"周秀敏"</f>
        <v>周秀敏</v>
      </c>
      <c r="F69" s="6" t="str">
        <f>"20237160528"</f>
        <v>20237160528</v>
      </c>
      <c r="G69" s="7">
        <v>77.8</v>
      </c>
      <c r="H69" s="7">
        <v>73</v>
      </c>
      <c r="I69" s="7">
        <v>74.92</v>
      </c>
      <c r="J69" s="5" t="s">
        <v>13</v>
      </c>
    </row>
    <row r="70" spans="1:10" ht="15.75" customHeight="1">
      <c r="A70" s="5">
        <v>68</v>
      </c>
      <c r="B70" s="6" t="str">
        <f t="shared" si="2"/>
        <v>2023103</v>
      </c>
      <c r="C70" s="6" t="s">
        <v>15</v>
      </c>
      <c r="D70" s="6" t="s">
        <v>12</v>
      </c>
      <c r="E70" s="6" t="str">
        <f>"吴思齐"</f>
        <v>吴思齐</v>
      </c>
      <c r="F70" s="6" t="str">
        <f>"20237160505"</f>
        <v>20237160505</v>
      </c>
      <c r="G70" s="7">
        <v>79.95</v>
      </c>
      <c r="H70" s="7">
        <v>70.9</v>
      </c>
      <c r="I70" s="7">
        <v>74.52</v>
      </c>
      <c r="J70" s="5" t="s">
        <v>13</v>
      </c>
    </row>
    <row r="71" spans="1:10" ht="15.75" customHeight="1">
      <c r="A71" s="5">
        <v>69</v>
      </c>
      <c r="B71" s="6" t="str">
        <f t="shared" si="2"/>
        <v>2023103</v>
      </c>
      <c r="C71" s="6" t="s">
        <v>15</v>
      </c>
      <c r="D71" s="6" t="s">
        <v>12</v>
      </c>
      <c r="E71" s="6" t="str">
        <f>"侯雪梅"</f>
        <v>侯雪梅</v>
      </c>
      <c r="F71" s="6" t="str">
        <f>"20237160619"</f>
        <v>20237160619</v>
      </c>
      <c r="G71" s="7">
        <v>85.55</v>
      </c>
      <c r="H71" s="7">
        <v>66.7</v>
      </c>
      <c r="I71" s="7">
        <v>74.24</v>
      </c>
      <c r="J71" s="5" t="s">
        <v>13</v>
      </c>
    </row>
    <row r="72" spans="1:10" ht="15.75" customHeight="1">
      <c r="A72" s="5">
        <v>70</v>
      </c>
      <c r="B72" s="6" t="str">
        <f t="shared" si="2"/>
        <v>2023103</v>
      </c>
      <c r="C72" s="6" t="s">
        <v>15</v>
      </c>
      <c r="D72" s="6" t="s">
        <v>12</v>
      </c>
      <c r="E72" s="6" t="str">
        <f>"袁秀秀"</f>
        <v>袁秀秀</v>
      </c>
      <c r="F72" s="6" t="str">
        <f>"20237160622"</f>
        <v>20237160622</v>
      </c>
      <c r="G72" s="7">
        <v>68.1</v>
      </c>
      <c r="H72" s="7">
        <v>78.3</v>
      </c>
      <c r="I72" s="7">
        <v>74.22</v>
      </c>
      <c r="J72" s="5" t="s">
        <v>13</v>
      </c>
    </row>
    <row r="73" spans="1:10" ht="15.75" customHeight="1">
      <c r="A73" s="5">
        <v>71</v>
      </c>
      <c r="B73" s="6" t="str">
        <f t="shared" si="2"/>
        <v>2023103</v>
      </c>
      <c r="C73" s="6" t="s">
        <v>15</v>
      </c>
      <c r="D73" s="6" t="s">
        <v>12</v>
      </c>
      <c r="E73" s="6" t="str">
        <f>"余贝贝"</f>
        <v>余贝贝</v>
      </c>
      <c r="F73" s="6" t="str">
        <f>"20237160626"</f>
        <v>20237160626</v>
      </c>
      <c r="G73" s="7">
        <v>77.35</v>
      </c>
      <c r="H73" s="7">
        <v>71.5</v>
      </c>
      <c r="I73" s="7">
        <v>73.84</v>
      </c>
      <c r="J73" s="5" t="s">
        <v>13</v>
      </c>
    </row>
    <row r="74" spans="1:10" ht="15.75" customHeight="1">
      <c r="A74" s="5">
        <v>72</v>
      </c>
      <c r="B74" s="6" t="str">
        <f t="shared" si="2"/>
        <v>2023103</v>
      </c>
      <c r="C74" s="6" t="s">
        <v>15</v>
      </c>
      <c r="D74" s="6" t="s">
        <v>12</v>
      </c>
      <c r="E74" s="6" t="str">
        <f>"汝晴丽"</f>
        <v>汝晴丽</v>
      </c>
      <c r="F74" s="6" t="str">
        <f>"20237160616"</f>
        <v>20237160616</v>
      </c>
      <c r="G74" s="7">
        <v>74.6</v>
      </c>
      <c r="H74" s="7">
        <v>72.8</v>
      </c>
      <c r="I74" s="7">
        <v>73.52</v>
      </c>
      <c r="J74" s="5" t="s">
        <v>13</v>
      </c>
    </row>
    <row r="75" spans="1:10" ht="15.75" customHeight="1">
      <c r="A75" s="5">
        <v>73</v>
      </c>
      <c r="B75" s="6" t="str">
        <f t="shared" si="2"/>
        <v>2023103</v>
      </c>
      <c r="C75" s="6" t="s">
        <v>15</v>
      </c>
      <c r="D75" s="6" t="s">
        <v>12</v>
      </c>
      <c r="E75" s="6" t="str">
        <f>"于晓静"</f>
        <v>于晓静</v>
      </c>
      <c r="F75" s="6" t="str">
        <f>"20237160624"</f>
        <v>20237160624</v>
      </c>
      <c r="G75" s="7">
        <v>64.5</v>
      </c>
      <c r="H75" s="7">
        <v>77.7</v>
      </c>
      <c r="I75" s="7">
        <v>72.42</v>
      </c>
      <c r="J75" s="5" t="s">
        <v>13</v>
      </c>
    </row>
    <row r="76" spans="1:10" ht="15.75" customHeight="1">
      <c r="A76" s="5">
        <v>74</v>
      </c>
      <c r="B76" s="6" t="str">
        <f t="shared" si="2"/>
        <v>2023103</v>
      </c>
      <c r="C76" s="6" t="s">
        <v>15</v>
      </c>
      <c r="D76" s="6" t="s">
        <v>12</v>
      </c>
      <c r="E76" s="6" t="str">
        <f>"王紫晴"</f>
        <v>王紫晴</v>
      </c>
      <c r="F76" s="6" t="str">
        <f>"20237160509"</f>
        <v>20237160509</v>
      </c>
      <c r="G76" s="7">
        <v>73.6</v>
      </c>
      <c r="H76" s="7">
        <v>70.9</v>
      </c>
      <c r="I76" s="7">
        <v>71.98</v>
      </c>
      <c r="J76" s="5" t="s">
        <v>13</v>
      </c>
    </row>
    <row r="77" spans="1:10" ht="15.75" customHeight="1">
      <c r="A77" s="5">
        <v>75</v>
      </c>
      <c r="B77" s="6" t="str">
        <f aca="true" t="shared" si="3" ref="B77:B101">"2023104"</f>
        <v>2023104</v>
      </c>
      <c r="C77" s="6" t="s">
        <v>16</v>
      </c>
      <c r="D77" s="6" t="s">
        <v>12</v>
      </c>
      <c r="E77" s="6" t="str">
        <f>"王平平"</f>
        <v>王平平</v>
      </c>
      <c r="F77" s="6" t="str">
        <f>"20237160720"</f>
        <v>20237160720</v>
      </c>
      <c r="G77" s="7">
        <v>103.4</v>
      </c>
      <c r="H77" s="7">
        <v>100.6</v>
      </c>
      <c r="I77" s="7">
        <v>101.72</v>
      </c>
      <c r="J77" s="5"/>
    </row>
    <row r="78" spans="1:10" ht="15.75" customHeight="1">
      <c r="A78" s="5">
        <v>76</v>
      </c>
      <c r="B78" s="6" t="str">
        <f t="shared" si="3"/>
        <v>2023104</v>
      </c>
      <c r="C78" s="6" t="s">
        <v>16</v>
      </c>
      <c r="D78" s="6" t="s">
        <v>12</v>
      </c>
      <c r="E78" s="6" t="str">
        <f>"李宝妹"</f>
        <v>李宝妹</v>
      </c>
      <c r="F78" s="6" t="str">
        <f>"20237160815"</f>
        <v>20237160815</v>
      </c>
      <c r="G78" s="7">
        <v>93.95</v>
      </c>
      <c r="H78" s="7">
        <v>101.3</v>
      </c>
      <c r="I78" s="7">
        <v>98.36</v>
      </c>
      <c r="J78" s="5"/>
    </row>
    <row r="79" spans="1:10" ht="15.75" customHeight="1">
      <c r="A79" s="5">
        <v>77</v>
      </c>
      <c r="B79" s="6" t="str">
        <f t="shared" si="3"/>
        <v>2023104</v>
      </c>
      <c r="C79" s="6" t="s">
        <v>16</v>
      </c>
      <c r="D79" s="6" t="s">
        <v>12</v>
      </c>
      <c r="E79" s="6" t="str">
        <f>"董欣悦"</f>
        <v>董欣悦</v>
      </c>
      <c r="F79" s="6" t="str">
        <f>"20237160718"</f>
        <v>20237160718</v>
      </c>
      <c r="G79" s="7">
        <v>93.65</v>
      </c>
      <c r="H79" s="7">
        <v>97.7</v>
      </c>
      <c r="I79" s="7">
        <v>96.08</v>
      </c>
      <c r="J79" s="5"/>
    </row>
    <row r="80" spans="1:10" ht="15.75" customHeight="1">
      <c r="A80" s="5">
        <v>78</v>
      </c>
      <c r="B80" s="6" t="str">
        <f t="shared" si="3"/>
        <v>2023104</v>
      </c>
      <c r="C80" s="6" t="s">
        <v>16</v>
      </c>
      <c r="D80" s="6" t="s">
        <v>12</v>
      </c>
      <c r="E80" s="6" t="str">
        <f>"王雨晴"</f>
        <v>王雨晴</v>
      </c>
      <c r="F80" s="6" t="str">
        <f>"20237160707"</f>
        <v>20237160707</v>
      </c>
      <c r="G80" s="7">
        <v>102.9</v>
      </c>
      <c r="H80" s="7">
        <v>91.2</v>
      </c>
      <c r="I80" s="7">
        <v>95.88</v>
      </c>
      <c r="J80" s="5"/>
    </row>
    <row r="81" spans="1:10" ht="15.75" customHeight="1">
      <c r="A81" s="5">
        <v>79</v>
      </c>
      <c r="B81" s="6" t="str">
        <f t="shared" si="3"/>
        <v>2023104</v>
      </c>
      <c r="C81" s="6" t="s">
        <v>16</v>
      </c>
      <c r="D81" s="6" t="s">
        <v>12</v>
      </c>
      <c r="E81" s="6" t="str">
        <f>"王可"</f>
        <v>王可</v>
      </c>
      <c r="F81" s="6" t="str">
        <f>"20237160820"</f>
        <v>20237160820</v>
      </c>
      <c r="G81" s="7">
        <v>101.25</v>
      </c>
      <c r="H81" s="7">
        <v>91.2</v>
      </c>
      <c r="I81" s="7">
        <v>95.22</v>
      </c>
      <c r="J81" s="5"/>
    </row>
    <row r="82" spans="1:10" ht="15.75" customHeight="1">
      <c r="A82" s="5">
        <v>80</v>
      </c>
      <c r="B82" s="6" t="str">
        <f t="shared" si="3"/>
        <v>2023104</v>
      </c>
      <c r="C82" s="6" t="s">
        <v>16</v>
      </c>
      <c r="D82" s="6" t="s">
        <v>12</v>
      </c>
      <c r="E82" s="6" t="str">
        <f>"谷晓蕾"</f>
        <v>谷晓蕾</v>
      </c>
      <c r="F82" s="6" t="str">
        <f>"20237160821"</f>
        <v>20237160821</v>
      </c>
      <c r="G82" s="7">
        <v>100.8</v>
      </c>
      <c r="H82" s="7">
        <v>89.8</v>
      </c>
      <c r="I82" s="7">
        <v>94.2</v>
      </c>
      <c r="J82" s="5"/>
    </row>
    <row r="83" spans="1:10" ht="15.75" customHeight="1">
      <c r="A83" s="5">
        <v>81</v>
      </c>
      <c r="B83" s="6" t="str">
        <f t="shared" si="3"/>
        <v>2023104</v>
      </c>
      <c r="C83" s="6" t="s">
        <v>16</v>
      </c>
      <c r="D83" s="6" t="s">
        <v>12</v>
      </c>
      <c r="E83" s="6" t="str">
        <f>"王佳倩"</f>
        <v>王佳倩</v>
      </c>
      <c r="F83" s="6" t="str">
        <f>"20237160630"</f>
        <v>20237160630</v>
      </c>
      <c r="G83" s="7">
        <v>97.5</v>
      </c>
      <c r="H83" s="7">
        <v>90.4</v>
      </c>
      <c r="I83" s="7">
        <v>93.24</v>
      </c>
      <c r="J83" s="5"/>
    </row>
    <row r="84" spans="1:10" ht="15.75" customHeight="1">
      <c r="A84" s="5">
        <v>82</v>
      </c>
      <c r="B84" s="6" t="str">
        <f t="shared" si="3"/>
        <v>2023104</v>
      </c>
      <c r="C84" s="6" t="s">
        <v>16</v>
      </c>
      <c r="D84" s="6" t="s">
        <v>12</v>
      </c>
      <c r="E84" s="6" t="str">
        <f>"庞王宁"</f>
        <v>庞王宁</v>
      </c>
      <c r="F84" s="6" t="str">
        <f>"20237160629"</f>
        <v>20237160629</v>
      </c>
      <c r="G84" s="7">
        <v>97</v>
      </c>
      <c r="H84" s="7">
        <v>90.4</v>
      </c>
      <c r="I84" s="7">
        <v>93.04</v>
      </c>
      <c r="J84" s="5"/>
    </row>
    <row r="85" spans="1:10" ht="15.75" customHeight="1">
      <c r="A85" s="5">
        <v>83</v>
      </c>
      <c r="B85" s="6" t="str">
        <f t="shared" si="3"/>
        <v>2023104</v>
      </c>
      <c r="C85" s="6" t="s">
        <v>16</v>
      </c>
      <c r="D85" s="6" t="s">
        <v>12</v>
      </c>
      <c r="E85" s="6" t="str">
        <f>"管明玉"</f>
        <v>管明玉</v>
      </c>
      <c r="F85" s="6" t="str">
        <f>"20237160708"</f>
        <v>20237160708</v>
      </c>
      <c r="G85" s="7">
        <v>93.95</v>
      </c>
      <c r="H85" s="7">
        <v>89.1</v>
      </c>
      <c r="I85" s="7">
        <v>91.04</v>
      </c>
      <c r="J85" s="5"/>
    </row>
    <row r="86" spans="1:10" ht="15.75" customHeight="1">
      <c r="A86" s="5">
        <v>84</v>
      </c>
      <c r="B86" s="6" t="str">
        <f t="shared" si="3"/>
        <v>2023104</v>
      </c>
      <c r="C86" s="6" t="s">
        <v>16</v>
      </c>
      <c r="D86" s="6" t="s">
        <v>12</v>
      </c>
      <c r="E86" s="6" t="str">
        <f>"陆远远"</f>
        <v>陆远远</v>
      </c>
      <c r="F86" s="6" t="str">
        <f>"20237160704"</f>
        <v>20237160704</v>
      </c>
      <c r="G86" s="7">
        <v>99.5</v>
      </c>
      <c r="H86" s="7">
        <v>85.4</v>
      </c>
      <c r="I86" s="7">
        <v>91.04</v>
      </c>
      <c r="J86" s="5"/>
    </row>
    <row r="87" spans="1:10" ht="15.75" customHeight="1">
      <c r="A87" s="5">
        <v>85</v>
      </c>
      <c r="B87" s="6" t="str">
        <f t="shared" si="3"/>
        <v>2023104</v>
      </c>
      <c r="C87" s="6" t="s">
        <v>16</v>
      </c>
      <c r="D87" s="6" t="s">
        <v>12</v>
      </c>
      <c r="E87" s="6" t="str">
        <f>"吴慧美"</f>
        <v>吴慧美</v>
      </c>
      <c r="F87" s="6" t="str">
        <f>"20237160727"</f>
        <v>20237160727</v>
      </c>
      <c r="G87" s="7">
        <v>90.95</v>
      </c>
      <c r="H87" s="7">
        <v>90.6</v>
      </c>
      <c r="I87" s="7">
        <v>90.74</v>
      </c>
      <c r="J87" s="5"/>
    </row>
    <row r="88" spans="1:10" ht="15.75" customHeight="1">
      <c r="A88" s="5">
        <v>86</v>
      </c>
      <c r="B88" s="6" t="str">
        <f t="shared" si="3"/>
        <v>2023104</v>
      </c>
      <c r="C88" s="6" t="s">
        <v>16</v>
      </c>
      <c r="D88" s="6" t="s">
        <v>12</v>
      </c>
      <c r="E88" s="6" t="str">
        <f>"李然"</f>
        <v>李然</v>
      </c>
      <c r="F88" s="6" t="str">
        <f>"20237160726"</f>
        <v>20237160726</v>
      </c>
      <c r="G88" s="7">
        <v>96.95</v>
      </c>
      <c r="H88" s="7">
        <v>86.6</v>
      </c>
      <c r="I88" s="7">
        <v>90.74</v>
      </c>
      <c r="J88" s="5"/>
    </row>
    <row r="89" spans="1:10" ht="15.75" customHeight="1">
      <c r="A89" s="5">
        <v>87</v>
      </c>
      <c r="B89" s="6" t="str">
        <f t="shared" si="3"/>
        <v>2023104</v>
      </c>
      <c r="C89" s="6" t="s">
        <v>16</v>
      </c>
      <c r="D89" s="6" t="s">
        <v>12</v>
      </c>
      <c r="E89" s="6" t="str">
        <f>"陆静"</f>
        <v>陆静</v>
      </c>
      <c r="F89" s="6" t="str">
        <f>"20237160705"</f>
        <v>20237160705</v>
      </c>
      <c r="G89" s="7">
        <v>94.65</v>
      </c>
      <c r="H89" s="7">
        <v>86.8</v>
      </c>
      <c r="I89" s="7">
        <v>89.94</v>
      </c>
      <c r="J89" s="5"/>
    </row>
    <row r="90" spans="1:10" ht="15.75" customHeight="1">
      <c r="A90" s="5">
        <v>88</v>
      </c>
      <c r="B90" s="6" t="str">
        <f t="shared" si="3"/>
        <v>2023104</v>
      </c>
      <c r="C90" s="6" t="s">
        <v>16</v>
      </c>
      <c r="D90" s="6" t="s">
        <v>12</v>
      </c>
      <c r="E90" s="6" t="str">
        <f>"李嘉琪"</f>
        <v>李嘉琪</v>
      </c>
      <c r="F90" s="6" t="str">
        <f>"20237160702"</f>
        <v>20237160702</v>
      </c>
      <c r="G90" s="7">
        <v>93.5</v>
      </c>
      <c r="H90" s="7">
        <v>86.6</v>
      </c>
      <c r="I90" s="7">
        <v>89.36</v>
      </c>
      <c r="J90" s="5"/>
    </row>
    <row r="91" spans="1:10" ht="15.75" customHeight="1">
      <c r="A91" s="5">
        <v>89</v>
      </c>
      <c r="B91" s="6" t="str">
        <f t="shared" si="3"/>
        <v>2023104</v>
      </c>
      <c r="C91" s="6" t="s">
        <v>16</v>
      </c>
      <c r="D91" s="6" t="s">
        <v>12</v>
      </c>
      <c r="E91" s="6" t="str">
        <f>"王雅婷"</f>
        <v>王雅婷</v>
      </c>
      <c r="F91" s="6" t="str">
        <f>"20237160722"</f>
        <v>20237160722</v>
      </c>
      <c r="G91" s="7">
        <v>95.7</v>
      </c>
      <c r="H91" s="7">
        <v>82.3</v>
      </c>
      <c r="I91" s="7">
        <v>87.66</v>
      </c>
      <c r="J91" s="5"/>
    </row>
    <row r="92" spans="1:10" ht="15.75" customHeight="1">
      <c r="A92" s="5">
        <v>90</v>
      </c>
      <c r="B92" s="6" t="str">
        <f t="shared" si="3"/>
        <v>2023104</v>
      </c>
      <c r="C92" s="6" t="s">
        <v>16</v>
      </c>
      <c r="D92" s="6" t="s">
        <v>12</v>
      </c>
      <c r="E92" s="6" t="str">
        <f>"闫玉美"</f>
        <v>闫玉美</v>
      </c>
      <c r="F92" s="6" t="str">
        <f>"20237160813"</f>
        <v>20237160813</v>
      </c>
      <c r="G92" s="7">
        <v>82.35</v>
      </c>
      <c r="H92" s="7">
        <v>91.1</v>
      </c>
      <c r="I92" s="7">
        <v>87.6</v>
      </c>
      <c r="J92" s="5"/>
    </row>
    <row r="93" spans="1:10" ht="15.75" customHeight="1">
      <c r="A93" s="5">
        <v>91</v>
      </c>
      <c r="B93" s="6" t="str">
        <f t="shared" si="3"/>
        <v>2023104</v>
      </c>
      <c r="C93" s="6" t="s">
        <v>16</v>
      </c>
      <c r="D93" s="6" t="s">
        <v>12</v>
      </c>
      <c r="E93" s="6" t="str">
        <f>"李嘉宜"</f>
        <v>李嘉宜</v>
      </c>
      <c r="F93" s="6" t="str">
        <f>"20237160711"</f>
        <v>20237160711</v>
      </c>
      <c r="G93" s="7">
        <v>89.2</v>
      </c>
      <c r="H93" s="7">
        <v>84.1</v>
      </c>
      <c r="I93" s="7">
        <v>86.14</v>
      </c>
      <c r="J93" s="5"/>
    </row>
    <row r="94" spans="1:10" ht="15.75" customHeight="1">
      <c r="A94" s="5">
        <v>92</v>
      </c>
      <c r="B94" s="6" t="str">
        <f t="shared" si="3"/>
        <v>2023104</v>
      </c>
      <c r="C94" s="6" t="s">
        <v>16</v>
      </c>
      <c r="D94" s="6" t="s">
        <v>12</v>
      </c>
      <c r="E94" s="6" t="str">
        <f>"刘浩文"</f>
        <v>刘浩文</v>
      </c>
      <c r="F94" s="6" t="str">
        <f>"20237160805"</f>
        <v>20237160805</v>
      </c>
      <c r="G94" s="7">
        <v>87.1</v>
      </c>
      <c r="H94" s="7">
        <v>82.7</v>
      </c>
      <c r="I94" s="7">
        <v>84.46</v>
      </c>
      <c r="J94" s="5"/>
    </row>
    <row r="95" spans="1:10" ht="15.75" customHeight="1">
      <c r="A95" s="5">
        <v>93</v>
      </c>
      <c r="B95" s="6" t="str">
        <f t="shared" si="3"/>
        <v>2023104</v>
      </c>
      <c r="C95" s="6" t="s">
        <v>16</v>
      </c>
      <c r="D95" s="6" t="s">
        <v>12</v>
      </c>
      <c r="E95" s="6" t="str">
        <f>"刘静静"</f>
        <v>刘静静</v>
      </c>
      <c r="F95" s="6" t="str">
        <f>"20237160817"</f>
        <v>20237160817</v>
      </c>
      <c r="G95" s="7">
        <v>84.35</v>
      </c>
      <c r="H95" s="7">
        <v>83.3</v>
      </c>
      <c r="I95" s="7">
        <v>83.72</v>
      </c>
      <c r="J95" s="5"/>
    </row>
    <row r="96" spans="1:10" ht="15.75" customHeight="1">
      <c r="A96" s="5">
        <v>94</v>
      </c>
      <c r="B96" s="6" t="str">
        <f t="shared" si="3"/>
        <v>2023104</v>
      </c>
      <c r="C96" s="6" t="s">
        <v>16</v>
      </c>
      <c r="D96" s="6" t="s">
        <v>12</v>
      </c>
      <c r="E96" s="6" t="str">
        <f>"宋传秀"</f>
        <v>宋传秀</v>
      </c>
      <c r="F96" s="6" t="str">
        <f>"20237160810"</f>
        <v>20237160810</v>
      </c>
      <c r="G96" s="7">
        <v>78.3</v>
      </c>
      <c r="H96" s="7">
        <v>86.7</v>
      </c>
      <c r="I96" s="7">
        <v>83.34</v>
      </c>
      <c r="J96" s="5"/>
    </row>
    <row r="97" spans="1:10" ht="15.75" customHeight="1">
      <c r="A97" s="5">
        <v>95</v>
      </c>
      <c r="B97" s="6" t="str">
        <f t="shared" si="3"/>
        <v>2023104</v>
      </c>
      <c r="C97" s="6" t="s">
        <v>16</v>
      </c>
      <c r="D97" s="6" t="s">
        <v>12</v>
      </c>
      <c r="E97" s="6" t="str">
        <f>"汝黎娜"</f>
        <v>汝黎娜</v>
      </c>
      <c r="F97" s="6" t="str">
        <f>"20237160729"</f>
        <v>20237160729</v>
      </c>
      <c r="G97" s="7">
        <v>80.25</v>
      </c>
      <c r="H97" s="7">
        <v>83.3</v>
      </c>
      <c r="I97" s="7">
        <v>82.08</v>
      </c>
      <c r="J97" s="5" t="s">
        <v>13</v>
      </c>
    </row>
    <row r="98" spans="1:10" ht="15.75" customHeight="1">
      <c r="A98" s="5">
        <v>96</v>
      </c>
      <c r="B98" s="6" t="str">
        <f t="shared" si="3"/>
        <v>2023104</v>
      </c>
      <c r="C98" s="6" t="s">
        <v>16</v>
      </c>
      <c r="D98" s="6" t="s">
        <v>12</v>
      </c>
      <c r="E98" s="6" t="str">
        <f>"许旭晴"</f>
        <v>许旭晴</v>
      </c>
      <c r="F98" s="6" t="str">
        <f>"20237160712"</f>
        <v>20237160712</v>
      </c>
      <c r="G98" s="7">
        <v>78.45</v>
      </c>
      <c r="H98" s="7">
        <v>83.9</v>
      </c>
      <c r="I98" s="7">
        <v>81.72</v>
      </c>
      <c r="J98" s="5" t="s">
        <v>13</v>
      </c>
    </row>
    <row r="99" spans="1:10" ht="15.75" customHeight="1">
      <c r="A99" s="5">
        <v>97</v>
      </c>
      <c r="B99" s="6" t="str">
        <f t="shared" si="3"/>
        <v>2023104</v>
      </c>
      <c r="C99" s="6" t="s">
        <v>16</v>
      </c>
      <c r="D99" s="6" t="s">
        <v>12</v>
      </c>
      <c r="E99" s="6" t="str">
        <f>"张曼玉"</f>
        <v>张曼玉</v>
      </c>
      <c r="F99" s="6" t="str">
        <f>"20237160809"</f>
        <v>20237160809</v>
      </c>
      <c r="G99" s="7">
        <v>82.1</v>
      </c>
      <c r="H99" s="7">
        <v>76.2</v>
      </c>
      <c r="I99" s="7">
        <v>78.56</v>
      </c>
      <c r="J99" s="5" t="s">
        <v>13</v>
      </c>
    </row>
    <row r="100" spans="1:10" ht="15.75" customHeight="1">
      <c r="A100" s="5">
        <v>98</v>
      </c>
      <c r="B100" s="6" t="str">
        <f t="shared" si="3"/>
        <v>2023104</v>
      </c>
      <c r="C100" s="6" t="s">
        <v>16</v>
      </c>
      <c r="D100" s="6" t="s">
        <v>12</v>
      </c>
      <c r="E100" s="6" t="str">
        <f>"陈俊凤"</f>
        <v>陈俊凤</v>
      </c>
      <c r="F100" s="6" t="str">
        <f>"20237160804"</f>
        <v>20237160804</v>
      </c>
      <c r="G100" s="7">
        <v>80.75</v>
      </c>
      <c r="H100" s="7">
        <v>75.9</v>
      </c>
      <c r="I100" s="7">
        <v>77.84</v>
      </c>
      <c r="J100" s="5" t="s">
        <v>13</v>
      </c>
    </row>
    <row r="101" spans="1:10" ht="15.75" customHeight="1">
      <c r="A101" s="5">
        <v>99</v>
      </c>
      <c r="B101" s="6" t="str">
        <f t="shared" si="3"/>
        <v>2023104</v>
      </c>
      <c r="C101" s="6" t="s">
        <v>16</v>
      </c>
      <c r="D101" s="6" t="s">
        <v>12</v>
      </c>
      <c r="E101" s="6" t="str">
        <f>"徐娟娟"</f>
        <v>徐娟娟</v>
      </c>
      <c r="F101" s="6" t="str">
        <f>"20237160713"</f>
        <v>20237160713</v>
      </c>
      <c r="G101" s="7">
        <v>71.25</v>
      </c>
      <c r="H101" s="7">
        <v>79.8</v>
      </c>
      <c r="I101" s="7">
        <v>76.38</v>
      </c>
      <c r="J101" s="5" t="s">
        <v>13</v>
      </c>
    </row>
    <row r="102" spans="1:10" ht="15.75" customHeight="1">
      <c r="A102" s="5">
        <v>100</v>
      </c>
      <c r="B102" s="6" t="str">
        <f aca="true" t="shared" si="4" ref="B102:B130">"2023105"</f>
        <v>2023105</v>
      </c>
      <c r="C102" s="6" t="s">
        <v>17</v>
      </c>
      <c r="D102" s="6" t="s">
        <v>18</v>
      </c>
      <c r="E102" s="6" t="str">
        <f>"胡欣雅"</f>
        <v>胡欣雅</v>
      </c>
      <c r="F102" s="6" t="str">
        <f>"20237161002"</f>
        <v>20237161002</v>
      </c>
      <c r="G102" s="7">
        <v>108.9</v>
      </c>
      <c r="H102" s="7">
        <v>106.1</v>
      </c>
      <c r="I102" s="7">
        <v>107.22</v>
      </c>
      <c r="J102" s="5"/>
    </row>
    <row r="103" spans="1:10" ht="15.75" customHeight="1">
      <c r="A103" s="5">
        <v>101</v>
      </c>
      <c r="B103" s="6" t="str">
        <f t="shared" si="4"/>
        <v>2023105</v>
      </c>
      <c r="C103" s="6" t="s">
        <v>17</v>
      </c>
      <c r="D103" s="6" t="s">
        <v>18</v>
      </c>
      <c r="E103" s="6" t="str">
        <f>"王诚睿"</f>
        <v>王诚睿</v>
      </c>
      <c r="F103" s="6" t="str">
        <f>"20237160905"</f>
        <v>20237160905</v>
      </c>
      <c r="G103" s="7">
        <v>106.5</v>
      </c>
      <c r="H103" s="7">
        <v>93.3</v>
      </c>
      <c r="I103" s="7">
        <v>98.58</v>
      </c>
      <c r="J103" s="5"/>
    </row>
    <row r="104" spans="1:10" ht="15.75" customHeight="1">
      <c r="A104" s="5">
        <v>102</v>
      </c>
      <c r="B104" s="6" t="str">
        <f t="shared" si="4"/>
        <v>2023105</v>
      </c>
      <c r="C104" s="6" t="s">
        <v>17</v>
      </c>
      <c r="D104" s="6" t="s">
        <v>18</v>
      </c>
      <c r="E104" s="6" t="str">
        <f>"潘家凤"</f>
        <v>潘家凤</v>
      </c>
      <c r="F104" s="6" t="str">
        <f>"20237160912"</f>
        <v>20237160912</v>
      </c>
      <c r="G104" s="7">
        <v>102.7</v>
      </c>
      <c r="H104" s="7">
        <v>88.1</v>
      </c>
      <c r="I104" s="7">
        <v>93.94</v>
      </c>
      <c r="J104" s="5"/>
    </row>
    <row r="105" spans="1:10" ht="15.75" customHeight="1">
      <c r="A105" s="5">
        <v>103</v>
      </c>
      <c r="B105" s="6" t="str">
        <f t="shared" si="4"/>
        <v>2023105</v>
      </c>
      <c r="C105" s="6" t="s">
        <v>17</v>
      </c>
      <c r="D105" s="6" t="s">
        <v>18</v>
      </c>
      <c r="E105" s="6" t="str">
        <f>"张娜"</f>
        <v>张娜</v>
      </c>
      <c r="F105" s="6" t="str">
        <f>"20237160913"</f>
        <v>20237160913</v>
      </c>
      <c r="G105" s="7">
        <v>106.65</v>
      </c>
      <c r="H105" s="7">
        <v>85.1</v>
      </c>
      <c r="I105" s="7">
        <v>93.72</v>
      </c>
      <c r="J105" s="5"/>
    </row>
    <row r="106" spans="1:10" ht="15.75" customHeight="1">
      <c r="A106" s="5">
        <v>104</v>
      </c>
      <c r="B106" s="6" t="str">
        <f t="shared" si="4"/>
        <v>2023105</v>
      </c>
      <c r="C106" s="6" t="s">
        <v>17</v>
      </c>
      <c r="D106" s="6" t="s">
        <v>18</v>
      </c>
      <c r="E106" s="6" t="str">
        <f>"刘家莹"</f>
        <v>刘家莹</v>
      </c>
      <c r="F106" s="6" t="str">
        <f>"20237160830"</f>
        <v>20237160830</v>
      </c>
      <c r="G106" s="7">
        <v>87.65</v>
      </c>
      <c r="H106" s="7">
        <v>94.9</v>
      </c>
      <c r="I106" s="7">
        <v>92</v>
      </c>
      <c r="J106" s="5"/>
    </row>
    <row r="107" spans="1:10" ht="15.75" customHeight="1">
      <c r="A107" s="5">
        <v>105</v>
      </c>
      <c r="B107" s="6" t="str">
        <f t="shared" si="4"/>
        <v>2023105</v>
      </c>
      <c r="C107" s="6" t="s">
        <v>17</v>
      </c>
      <c r="D107" s="6" t="s">
        <v>18</v>
      </c>
      <c r="E107" s="6" t="str">
        <f>"朱庆庆"</f>
        <v>朱庆庆</v>
      </c>
      <c r="F107" s="6" t="str">
        <f>"20237160901"</f>
        <v>20237160901</v>
      </c>
      <c r="G107" s="7">
        <v>96.5</v>
      </c>
      <c r="H107" s="7">
        <v>89</v>
      </c>
      <c r="I107" s="7">
        <v>92</v>
      </c>
      <c r="J107" s="5"/>
    </row>
    <row r="108" spans="1:10" ht="15.75" customHeight="1">
      <c r="A108" s="5">
        <v>106</v>
      </c>
      <c r="B108" s="6" t="str">
        <f t="shared" si="4"/>
        <v>2023105</v>
      </c>
      <c r="C108" s="6" t="s">
        <v>17</v>
      </c>
      <c r="D108" s="6" t="s">
        <v>18</v>
      </c>
      <c r="E108" s="6" t="str">
        <f>"靳楠"</f>
        <v>靳楠</v>
      </c>
      <c r="F108" s="6" t="str">
        <f>"20237160928"</f>
        <v>20237160928</v>
      </c>
      <c r="G108" s="7">
        <v>92.85</v>
      </c>
      <c r="H108" s="7">
        <v>85.9</v>
      </c>
      <c r="I108" s="7">
        <v>88.68</v>
      </c>
      <c r="J108" s="5"/>
    </row>
    <row r="109" spans="1:10" ht="15.75" customHeight="1">
      <c r="A109" s="5">
        <v>107</v>
      </c>
      <c r="B109" s="6" t="str">
        <f t="shared" si="4"/>
        <v>2023105</v>
      </c>
      <c r="C109" s="6" t="s">
        <v>17</v>
      </c>
      <c r="D109" s="6" t="s">
        <v>18</v>
      </c>
      <c r="E109" s="6" t="str">
        <f>"刘文静"</f>
        <v>刘文静</v>
      </c>
      <c r="F109" s="6" t="str">
        <f>"20237160916"</f>
        <v>20237160916</v>
      </c>
      <c r="G109" s="7">
        <v>99.45</v>
      </c>
      <c r="H109" s="7">
        <v>81.4</v>
      </c>
      <c r="I109" s="7">
        <v>88.62</v>
      </c>
      <c r="J109" s="5"/>
    </row>
    <row r="110" spans="1:10" ht="15.75" customHeight="1">
      <c r="A110" s="5">
        <v>108</v>
      </c>
      <c r="B110" s="6" t="str">
        <f t="shared" si="4"/>
        <v>2023105</v>
      </c>
      <c r="C110" s="6" t="s">
        <v>17</v>
      </c>
      <c r="D110" s="6" t="s">
        <v>18</v>
      </c>
      <c r="E110" s="6" t="str">
        <f>"李凯燕"</f>
        <v>李凯燕</v>
      </c>
      <c r="F110" s="6" t="str">
        <f>"20237160920"</f>
        <v>20237160920</v>
      </c>
      <c r="G110" s="7">
        <v>94.15</v>
      </c>
      <c r="H110" s="7">
        <v>82.9</v>
      </c>
      <c r="I110" s="7">
        <v>87.4</v>
      </c>
      <c r="J110" s="5"/>
    </row>
    <row r="111" spans="1:10" ht="15.75" customHeight="1">
      <c r="A111" s="5">
        <v>109</v>
      </c>
      <c r="B111" s="6" t="str">
        <f t="shared" si="4"/>
        <v>2023105</v>
      </c>
      <c r="C111" s="6" t="s">
        <v>17</v>
      </c>
      <c r="D111" s="6" t="s">
        <v>18</v>
      </c>
      <c r="E111" s="6" t="str">
        <f>"王艺甲"</f>
        <v>王艺甲</v>
      </c>
      <c r="F111" s="6" t="str">
        <f>"20237160903"</f>
        <v>20237160903</v>
      </c>
      <c r="G111" s="7">
        <v>82.5</v>
      </c>
      <c r="H111" s="7">
        <v>88.3</v>
      </c>
      <c r="I111" s="7">
        <v>85.98</v>
      </c>
      <c r="J111" s="5"/>
    </row>
    <row r="112" spans="1:10" ht="15.75" customHeight="1">
      <c r="A112" s="5">
        <v>110</v>
      </c>
      <c r="B112" s="6" t="str">
        <f t="shared" si="4"/>
        <v>2023105</v>
      </c>
      <c r="C112" s="6" t="s">
        <v>17</v>
      </c>
      <c r="D112" s="6" t="s">
        <v>18</v>
      </c>
      <c r="E112" s="6" t="str">
        <f>"刘璇"</f>
        <v>刘璇</v>
      </c>
      <c r="F112" s="6" t="str">
        <f>"20237160906"</f>
        <v>20237160906</v>
      </c>
      <c r="G112" s="7">
        <v>81.7</v>
      </c>
      <c r="H112" s="7">
        <v>84.1</v>
      </c>
      <c r="I112" s="7">
        <v>83.14</v>
      </c>
      <c r="J112" s="5"/>
    </row>
    <row r="113" spans="1:10" ht="15.75" customHeight="1">
      <c r="A113" s="5">
        <v>111</v>
      </c>
      <c r="B113" s="6" t="str">
        <f t="shared" si="4"/>
        <v>2023105</v>
      </c>
      <c r="C113" s="6" t="s">
        <v>17</v>
      </c>
      <c r="D113" s="6" t="s">
        <v>18</v>
      </c>
      <c r="E113" s="6" t="str">
        <f>"刘佳瑞"</f>
        <v>刘佳瑞</v>
      </c>
      <c r="F113" s="6" t="str">
        <f>"20237160930"</f>
        <v>20237160930</v>
      </c>
      <c r="G113" s="7">
        <v>76.4</v>
      </c>
      <c r="H113" s="7">
        <v>82.7</v>
      </c>
      <c r="I113" s="7">
        <v>80.18</v>
      </c>
      <c r="J113" s="5"/>
    </row>
    <row r="114" spans="1:10" ht="15.75" customHeight="1">
      <c r="A114" s="5">
        <v>112</v>
      </c>
      <c r="B114" s="6" t="str">
        <f t="shared" si="4"/>
        <v>2023105</v>
      </c>
      <c r="C114" s="6" t="s">
        <v>17</v>
      </c>
      <c r="D114" s="6" t="s">
        <v>18</v>
      </c>
      <c r="E114" s="6" t="str">
        <f>"张思雨"</f>
        <v>张思雨</v>
      </c>
      <c r="F114" s="6" t="str">
        <f>"20237160924"</f>
        <v>20237160924</v>
      </c>
      <c r="G114" s="7">
        <v>77.1</v>
      </c>
      <c r="H114" s="7">
        <v>81.6</v>
      </c>
      <c r="I114" s="7">
        <v>79.8</v>
      </c>
      <c r="J114" s="5"/>
    </row>
    <row r="115" spans="1:10" ht="15.75" customHeight="1">
      <c r="A115" s="5">
        <v>113</v>
      </c>
      <c r="B115" s="6" t="str">
        <f t="shared" si="4"/>
        <v>2023105</v>
      </c>
      <c r="C115" s="6" t="s">
        <v>17</v>
      </c>
      <c r="D115" s="6" t="s">
        <v>18</v>
      </c>
      <c r="E115" s="6" t="str">
        <f>"李雪静"</f>
        <v>李雪静</v>
      </c>
      <c r="F115" s="6" t="str">
        <f>"20237160922"</f>
        <v>20237160922</v>
      </c>
      <c r="G115" s="7">
        <v>73.45</v>
      </c>
      <c r="H115" s="7">
        <v>83.9</v>
      </c>
      <c r="I115" s="7">
        <v>79.72</v>
      </c>
      <c r="J115" s="5"/>
    </row>
    <row r="116" spans="1:10" ht="15.75" customHeight="1">
      <c r="A116" s="5">
        <v>114</v>
      </c>
      <c r="B116" s="6" t="str">
        <f t="shared" si="4"/>
        <v>2023105</v>
      </c>
      <c r="C116" s="6" t="s">
        <v>17</v>
      </c>
      <c r="D116" s="6" t="s">
        <v>18</v>
      </c>
      <c r="E116" s="6" t="str">
        <f>"王苗苗"</f>
        <v>王苗苗</v>
      </c>
      <c r="F116" s="6" t="str">
        <f>"20237161005"</f>
        <v>20237161005</v>
      </c>
      <c r="G116" s="7">
        <v>77.8</v>
      </c>
      <c r="H116" s="7">
        <v>80.1</v>
      </c>
      <c r="I116" s="7">
        <v>79.18</v>
      </c>
      <c r="J116" s="5"/>
    </row>
    <row r="117" spans="1:10" ht="15.75" customHeight="1">
      <c r="A117" s="5">
        <v>115</v>
      </c>
      <c r="B117" s="6" t="str">
        <f t="shared" si="4"/>
        <v>2023105</v>
      </c>
      <c r="C117" s="6" t="s">
        <v>17</v>
      </c>
      <c r="D117" s="6" t="s">
        <v>18</v>
      </c>
      <c r="E117" s="6" t="str">
        <f>"陆晓林"</f>
        <v>陆晓林</v>
      </c>
      <c r="F117" s="6" t="str">
        <f>"20237160926"</f>
        <v>20237160926</v>
      </c>
      <c r="G117" s="7">
        <v>81.9</v>
      </c>
      <c r="H117" s="7">
        <v>77.3</v>
      </c>
      <c r="I117" s="7">
        <v>79.14</v>
      </c>
      <c r="J117" s="5"/>
    </row>
    <row r="118" spans="1:10" ht="15.75" customHeight="1">
      <c r="A118" s="5">
        <v>116</v>
      </c>
      <c r="B118" s="6" t="str">
        <f t="shared" si="4"/>
        <v>2023105</v>
      </c>
      <c r="C118" s="6" t="s">
        <v>17</v>
      </c>
      <c r="D118" s="6" t="s">
        <v>18</v>
      </c>
      <c r="E118" s="6" t="str">
        <f>"韩璐"</f>
        <v>韩璐</v>
      </c>
      <c r="F118" s="6" t="str">
        <f>"20237160914"</f>
        <v>20237160914</v>
      </c>
      <c r="G118" s="7">
        <v>74.05</v>
      </c>
      <c r="H118" s="7">
        <v>80.8</v>
      </c>
      <c r="I118" s="7">
        <v>78.1</v>
      </c>
      <c r="J118" s="5"/>
    </row>
    <row r="119" spans="1:10" ht="15.75" customHeight="1">
      <c r="A119" s="5">
        <v>117</v>
      </c>
      <c r="B119" s="6" t="str">
        <f t="shared" si="4"/>
        <v>2023105</v>
      </c>
      <c r="C119" s="6" t="s">
        <v>17</v>
      </c>
      <c r="D119" s="6" t="s">
        <v>18</v>
      </c>
      <c r="E119" s="6" t="str">
        <f>"张雅倩"</f>
        <v>张雅倩</v>
      </c>
      <c r="F119" s="6" t="str">
        <f>"20237160915"</f>
        <v>20237160915</v>
      </c>
      <c r="G119" s="7">
        <v>79.25</v>
      </c>
      <c r="H119" s="7">
        <v>76.9</v>
      </c>
      <c r="I119" s="7">
        <v>77.84</v>
      </c>
      <c r="J119" s="5"/>
    </row>
    <row r="120" spans="1:10" ht="15.75" customHeight="1">
      <c r="A120" s="5">
        <v>118</v>
      </c>
      <c r="B120" s="6" t="str">
        <f t="shared" si="4"/>
        <v>2023105</v>
      </c>
      <c r="C120" s="6" t="s">
        <v>17</v>
      </c>
      <c r="D120" s="6" t="s">
        <v>18</v>
      </c>
      <c r="E120" s="6" t="str">
        <f>"谢欣育"</f>
        <v>谢欣育</v>
      </c>
      <c r="F120" s="6" t="str">
        <f>"20237160929"</f>
        <v>20237160929</v>
      </c>
      <c r="G120" s="7">
        <v>88.5</v>
      </c>
      <c r="H120" s="7">
        <v>70.2</v>
      </c>
      <c r="I120" s="7">
        <v>77.52</v>
      </c>
      <c r="J120" s="5"/>
    </row>
    <row r="121" spans="1:10" ht="15.75" customHeight="1">
      <c r="A121" s="5">
        <v>119</v>
      </c>
      <c r="B121" s="6" t="str">
        <f t="shared" si="4"/>
        <v>2023105</v>
      </c>
      <c r="C121" s="6" t="s">
        <v>17</v>
      </c>
      <c r="D121" s="6" t="s">
        <v>18</v>
      </c>
      <c r="E121" s="6" t="str">
        <f>"王英帆"</f>
        <v>王英帆</v>
      </c>
      <c r="F121" s="6" t="str">
        <f>"20237160822"</f>
        <v>20237160822</v>
      </c>
      <c r="G121" s="7">
        <v>74.25</v>
      </c>
      <c r="H121" s="7">
        <v>73.9</v>
      </c>
      <c r="I121" s="7">
        <v>74.04</v>
      </c>
      <c r="J121" s="5"/>
    </row>
    <row r="122" spans="1:10" ht="15.75" customHeight="1">
      <c r="A122" s="5">
        <v>120</v>
      </c>
      <c r="B122" s="6" t="str">
        <f t="shared" si="4"/>
        <v>2023105</v>
      </c>
      <c r="C122" s="6" t="s">
        <v>17</v>
      </c>
      <c r="D122" s="6" t="s">
        <v>18</v>
      </c>
      <c r="E122" s="6" t="str">
        <f>"赵文静"</f>
        <v>赵文静</v>
      </c>
      <c r="F122" s="6" t="str">
        <f>"20237160909"</f>
        <v>20237160909</v>
      </c>
      <c r="G122" s="7">
        <v>66.75</v>
      </c>
      <c r="H122" s="7">
        <v>77.7</v>
      </c>
      <c r="I122" s="7">
        <v>73.32</v>
      </c>
      <c r="J122" s="5"/>
    </row>
    <row r="123" spans="1:10" ht="15.75" customHeight="1">
      <c r="A123" s="5">
        <v>121</v>
      </c>
      <c r="B123" s="6" t="str">
        <f t="shared" si="4"/>
        <v>2023105</v>
      </c>
      <c r="C123" s="6" t="s">
        <v>17</v>
      </c>
      <c r="D123" s="6" t="s">
        <v>18</v>
      </c>
      <c r="E123" s="6" t="str">
        <f>"胡若茜"</f>
        <v>胡若茜</v>
      </c>
      <c r="F123" s="6" t="str">
        <f>"20237160927"</f>
        <v>20237160927</v>
      </c>
      <c r="G123" s="7">
        <v>80.7</v>
      </c>
      <c r="H123" s="7">
        <v>67.3</v>
      </c>
      <c r="I123" s="7">
        <v>72.66</v>
      </c>
      <c r="J123" s="5"/>
    </row>
    <row r="124" spans="1:10" ht="15.75" customHeight="1">
      <c r="A124" s="5">
        <v>122</v>
      </c>
      <c r="B124" s="6" t="str">
        <f t="shared" si="4"/>
        <v>2023105</v>
      </c>
      <c r="C124" s="6" t="s">
        <v>17</v>
      </c>
      <c r="D124" s="6" t="s">
        <v>18</v>
      </c>
      <c r="E124" s="6" t="str">
        <f>"朱珊珊"</f>
        <v>朱珊珊</v>
      </c>
      <c r="F124" s="6" t="str">
        <f>"20237160827"</f>
        <v>20237160827</v>
      </c>
      <c r="G124" s="7">
        <v>63.25</v>
      </c>
      <c r="H124" s="7">
        <v>74.4</v>
      </c>
      <c r="I124" s="7">
        <v>69.94</v>
      </c>
      <c r="J124" s="5" t="s">
        <v>13</v>
      </c>
    </row>
    <row r="125" spans="1:10" ht="15.75" customHeight="1">
      <c r="A125" s="5">
        <v>123</v>
      </c>
      <c r="B125" s="6" t="str">
        <f t="shared" si="4"/>
        <v>2023105</v>
      </c>
      <c r="C125" s="6" t="s">
        <v>17</v>
      </c>
      <c r="D125" s="6" t="s">
        <v>18</v>
      </c>
      <c r="E125" s="6" t="str">
        <f>"赵介文"</f>
        <v>赵介文</v>
      </c>
      <c r="F125" s="6" t="str">
        <f>"20237160908"</f>
        <v>20237160908</v>
      </c>
      <c r="G125" s="7">
        <v>64.4</v>
      </c>
      <c r="H125" s="7">
        <v>69.3</v>
      </c>
      <c r="I125" s="7">
        <v>67.34</v>
      </c>
      <c r="J125" s="5" t="s">
        <v>13</v>
      </c>
    </row>
    <row r="126" spans="1:10" ht="15.75" customHeight="1">
      <c r="A126" s="5">
        <v>124</v>
      </c>
      <c r="B126" s="6" t="str">
        <f t="shared" si="4"/>
        <v>2023105</v>
      </c>
      <c r="C126" s="6" t="s">
        <v>17</v>
      </c>
      <c r="D126" s="6" t="s">
        <v>18</v>
      </c>
      <c r="E126" s="6" t="str">
        <f>"王月月"</f>
        <v>王月月</v>
      </c>
      <c r="F126" s="6" t="str">
        <f>"20237160925"</f>
        <v>20237160925</v>
      </c>
      <c r="G126" s="7">
        <v>60.35</v>
      </c>
      <c r="H126" s="7">
        <v>69.8</v>
      </c>
      <c r="I126" s="7">
        <v>66.02</v>
      </c>
      <c r="J126" s="5" t="s">
        <v>13</v>
      </c>
    </row>
    <row r="127" spans="1:10" ht="15.75" customHeight="1">
      <c r="A127" s="5">
        <v>125</v>
      </c>
      <c r="B127" s="6" t="str">
        <f t="shared" si="4"/>
        <v>2023105</v>
      </c>
      <c r="C127" s="6" t="s">
        <v>17</v>
      </c>
      <c r="D127" s="6" t="s">
        <v>18</v>
      </c>
      <c r="E127" s="6" t="str">
        <f>"马远远"</f>
        <v>马远远</v>
      </c>
      <c r="F127" s="6" t="str">
        <f>"20237161003"</f>
        <v>20237161003</v>
      </c>
      <c r="G127" s="7">
        <v>62.5</v>
      </c>
      <c r="H127" s="7">
        <v>66.7</v>
      </c>
      <c r="I127" s="7">
        <v>65.02</v>
      </c>
      <c r="J127" s="5" t="s">
        <v>13</v>
      </c>
    </row>
    <row r="128" spans="1:10" ht="15.75" customHeight="1">
      <c r="A128" s="5">
        <v>126</v>
      </c>
      <c r="B128" s="6" t="str">
        <f t="shared" si="4"/>
        <v>2023105</v>
      </c>
      <c r="C128" s="6" t="s">
        <v>17</v>
      </c>
      <c r="D128" s="6" t="s">
        <v>18</v>
      </c>
      <c r="E128" s="6" t="str">
        <f>"王博文"</f>
        <v>王博文</v>
      </c>
      <c r="F128" s="6" t="str">
        <f>"20237160824"</f>
        <v>20237160824</v>
      </c>
      <c r="G128" s="7">
        <v>52.4</v>
      </c>
      <c r="H128" s="7">
        <v>70.5</v>
      </c>
      <c r="I128" s="7">
        <v>63.26</v>
      </c>
      <c r="J128" s="5" t="s">
        <v>13</v>
      </c>
    </row>
    <row r="129" spans="1:10" ht="15.75" customHeight="1">
      <c r="A129" s="5">
        <v>127</v>
      </c>
      <c r="B129" s="6" t="str">
        <f t="shared" si="4"/>
        <v>2023105</v>
      </c>
      <c r="C129" s="6" t="s">
        <v>17</v>
      </c>
      <c r="D129" s="6" t="s">
        <v>18</v>
      </c>
      <c r="E129" s="6" t="str">
        <f>"蔡婷婷"</f>
        <v>蔡婷婷</v>
      </c>
      <c r="F129" s="6" t="str">
        <f>"20237160910"</f>
        <v>20237160910</v>
      </c>
      <c r="G129" s="7">
        <v>56.25</v>
      </c>
      <c r="H129" s="7">
        <v>67.3</v>
      </c>
      <c r="I129" s="7">
        <v>62.88</v>
      </c>
      <c r="J129" s="5" t="s">
        <v>13</v>
      </c>
    </row>
    <row r="130" spans="1:10" ht="15.75" customHeight="1">
      <c r="A130" s="5">
        <v>128</v>
      </c>
      <c r="B130" s="6" t="str">
        <f t="shared" si="4"/>
        <v>2023105</v>
      </c>
      <c r="C130" s="6" t="s">
        <v>17</v>
      </c>
      <c r="D130" s="6" t="s">
        <v>18</v>
      </c>
      <c r="E130" s="6" t="str">
        <f>"范皖豫"</f>
        <v>范皖豫</v>
      </c>
      <c r="F130" s="6" t="str">
        <f>"20237160917"</f>
        <v>20237160917</v>
      </c>
      <c r="G130" s="7">
        <v>62.4</v>
      </c>
      <c r="H130" s="7">
        <v>62.9</v>
      </c>
      <c r="I130" s="7">
        <v>62.7</v>
      </c>
      <c r="J130" s="5" t="s">
        <v>13</v>
      </c>
    </row>
    <row r="131" spans="1:10" ht="15.75" customHeight="1">
      <c r="A131" s="5">
        <v>129</v>
      </c>
      <c r="B131" s="6" t="str">
        <f aca="true" t="shared" si="5" ref="B131:B155">"2023106"</f>
        <v>2023106</v>
      </c>
      <c r="C131" s="6" t="s">
        <v>19</v>
      </c>
      <c r="D131" s="6" t="s">
        <v>18</v>
      </c>
      <c r="E131" s="6" t="str">
        <f>"潘雨雨"</f>
        <v>潘雨雨</v>
      </c>
      <c r="F131" s="6" t="str">
        <f>"20237161015"</f>
        <v>20237161015</v>
      </c>
      <c r="G131" s="7">
        <v>105.5</v>
      </c>
      <c r="H131" s="7">
        <v>89.7</v>
      </c>
      <c r="I131" s="7">
        <v>96.02</v>
      </c>
      <c r="J131" s="5"/>
    </row>
    <row r="132" spans="1:10" ht="15.75" customHeight="1">
      <c r="A132" s="5">
        <v>130</v>
      </c>
      <c r="B132" s="6" t="str">
        <f t="shared" si="5"/>
        <v>2023106</v>
      </c>
      <c r="C132" s="6" t="s">
        <v>19</v>
      </c>
      <c r="D132" s="6" t="s">
        <v>18</v>
      </c>
      <c r="E132" s="6" t="str">
        <f>"李长影"</f>
        <v>李长影</v>
      </c>
      <c r="F132" s="6" t="str">
        <f>"20237161108"</f>
        <v>20237161108</v>
      </c>
      <c r="G132" s="7">
        <v>97.3</v>
      </c>
      <c r="H132" s="7">
        <v>89.5</v>
      </c>
      <c r="I132" s="7">
        <v>92.62</v>
      </c>
      <c r="J132" s="5"/>
    </row>
    <row r="133" spans="1:10" ht="15.75" customHeight="1">
      <c r="A133" s="5">
        <v>131</v>
      </c>
      <c r="B133" s="6" t="str">
        <f t="shared" si="5"/>
        <v>2023106</v>
      </c>
      <c r="C133" s="6" t="s">
        <v>19</v>
      </c>
      <c r="D133" s="6" t="s">
        <v>18</v>
      </c>
      <c r="E133" s="6" t="str">
        <f>"张贝贝"</f>
        <v>张贝贝</v>
      </c>
      <c r="F133" s="6" t="str">
        <f>"20237161030"</f>
        <v>20237161030</v>
      </c>
      <c r="G133" s="7">
        <v>90.05</v>
      </c>
      <c r="H133" s="7">
        <v>94</v>
      </c>
      <c r="I133" s="7">
        <v>92.42</v>
      </c>
      <c r="J133" s="5"/>
    </row>
    <row r="134" spans="1:10" ht="15.75" customHeight="1">
      <c r="A134" s="5">
        <v>132</v>
      </c>
      <c r="B134" s="6" t="str">
        <f t="shared" si="5"/>
        <v>2023106</v>
      </c>
      <c r="C134" s="6" t="s">
        <v>19</v>
      </c>
      <c r="D134" s="6" t="s">
        <v>18</v>
      </c>
      <c r="E134" s="6" t="str">
        <f>"陶雪婷"</f>
        <v>陶雪婷</v>
      </c>
      <c r="F134" s="6" t="str">
        <f>"20237161113"</f>
        <v>20237161113</v>
      </c>
      <c r="G134" s="7">
        <v>91.85</v>
      </c>
      <c r="H134" s="7">
        <v>91</v>
      </c>
      <c r="I134" s="7">
        <v>91.34</v>
      </c>
      <c r="J134" s="5"/>
    </row>
    <row r="135" spans="1:10" ht="15.75" customHeight="1">
      <c r="A135" s="5">
        <v>133</v>
      </c>
      <c r="B135" s="6" t="str">
        <f t="shared" si="5"/>
        <v>2023106</v>
      </c>
      <c r="C135" s="6" t="s">
        <v>19</v>
      </c>
      <c r="D135" s="6" t="s">
        <v>18</v>
      </c>
      <c r="E135" s="6" t="str">
        <f>"李静雅"</f>
        <v>李静雅</v>
      </c>
      <c r="F135" s="6" t="str">
        <f>"20237161103"</f>
        <v>20237161103</v>
      </c>
      <c r="G135" s="7">
        <v>96.7</v>
      </c>
      <c r="H135" s="7">
        <v>86.6</v>
      </c>
      <c r="I135" s="7">
        <v>90.64</v>
      </c>
      <c r="J135" s="5"/>
    </row>
    <row r="136" spans="1:10" ht="15.75" customHeight="1">
      <c r="A136" s="5">
        <v>134</v>
      </c>
      <c r="B136" s="6" t="str">
        <f t="shared" si="5"/>
        <v>2023106</v>
      </c>
      <c r="C136" s="6" t="s">
        <v>19</v>
      </c>
      <c r="D136" s="6" t="s">
        <v>18</v>
      </c>
      <c r="E136" s="6" t="str">
        <f>"朱明月"</f>
        <v>朱明月</v>
      </c>
      <c r="F136" s="6" t="str">
        <f>"20237161102"</f>
        <v>20237161102</v>
      </c>
      <c r="G136" s="7">
        <v>95.05</v>
      </c>
      <c r="H136" s="7">
        <v>85.6</v>
      </c>
      <c r="I136" s="7">
        <v>89.38</v>
      </c>
      <c r="J136" s="5"/>
    </row>
    <row r="137" spans="1:10" ht="15.75" customHeight="1">
      <c r="A137" s="5">
        <v>135</v>
      </c>
      <c r="B137" s="6" t="str">
        <f t="shared" si="5"/>
        <v>2023106</v>
      </c>
      <c r="C137" s="6" t="s">
        <v>19</v>
      </c>
      <c r="D137" s="6" t="s">
        <v>18</v>
      </c>
      <c r="E137" s="6" t="str">
        <f>"马兰"</f>
        <v>马兰</v>
      </c>
      <c r="F137" s="6" t="str">
        <f>"20237161022"</f>
        <v>20237161022</v>
      </c>
      <c r="G137" s="7">
        <v>88.55</v>
      </c>
      <c r="H137" s="7">
        <v>83.2</v>
      </c>
      <c r="I137" s="7">
        <v>85.34</v>
      </c>
      <c r="J137" s="5"/>
    </row>
    <row r="138" spans="1:10" ht="15.75" customHeight="1">
      <c r="A138" s="5">
        <v>136</v>
      </c>
      <c r="B138" s="6" t="str">
        <f t="shared" si="5"/>
        <v>2023106</v>
      </c>
      <c r="C138" s="6" t="s">
        <v>19</v>
      </c>
      <c r="D138" s="6" t="s">
        <v>18</v>
      </c>
      <c r="E138" s="6" t="str">
        <f>"郭洪梅"</f>
        <v>郭洪梅</v>
      </c>
      <c r="F138" s="6" t="str">
        <f>"20237161007"</f>
        <v>20237161007</v>
      </c>
      <c r="G138" s="7">
        <v>86.6</v>
      </c>
      <c r="H138" s="7">
        <v>84.4</v>
      </c>
      <c r="I138" s="7">
        <v>85.28</v>
      </c>
      <c r="J138" s="5"/>
    </row>
    <row r="139" spans="1:10" ht="15.75" customHeight="1">
      <c r="A139" s="5">
        <v>137</v>
      </c>
      <c r="B139" s="6" t="str">
        <f t="shared" si="5"/>
        <v>2023106</v>
      </c>
      <c r="C139" s="6" t="s">
        <v>19</v>
      </c>
      <c r="D139" s="6" t="s">
        <v>18</v>
      </c>
      <c r="E139" s="6" t="str">
        <f>"马可可"</f>
        <v>马可可</v>
      </c>
      <c r="F139" s="6" t="str">
        <f>"20237161111"</f>
        <v>20237161111</v>
      </c>
      <c r="G139" s="7">
        <v>86.8</v>
      </c>
      <c r="H139" s="7">
        <v>82.9</v>
      </c>
      <c r="I139" s="7">
        <v>84.46</v>
      </c>
      <c r="J139" s="5"/>
    </row>
    <row r="140" spans="1:10" ht="15.75" customHeight="1">
      <c r="A140" s="5">
        <v>138</v>
      </c>
      <c r="B140" s="6" t="str">
        <f t="shared" si="5"/>
        <v>2023106</v>
      </c>
      <c r="C140" s="6" t="s">
        <v>19</v>
      </c>
      <c r="D140" s="6" t="s">
        <v>18</v>
      </c>
      <c r="E140" s="6" t="str">
        <f>"潘静静"</f>
        <v>潘静静</v>
      </c>
      <c r="F140" s="6" t="str">
        <f>"20237161112"</f>
        <v>20237161112</v>
      </c>
      <c r="G140" s="7">
        <v>87.6</v>
      </c>
      <c r="H140" s="7">
        <v>79.8</v>
      </c>
      <c r="I140" s="7">
        <v>82.92</v>
      </c>
      <c r="J140" s="5"/>
    </row>
    <row r="141" spans="1:10" ht="15.75" customHeight="1">
      <c r="A141" s="5">
        <v>139</v>
      </c>
      <c r="B141" s="6" t="str">
        <f t="shared" si="5"/>
        <v>2023106</v>
      </c>
      <c r="C141" s="6" t="s">
        <v>19</v>
      </c>
      <c r="D141" s="6" t="s">
        <v>18</v>
      </c>
      <c r="E141" s="6" t="str">
        <f>"孙悦悦"</f>
        <v>孙悦悦</v>
      </c>
      <c r="F141" s="6" t="str">
        <f>"20237161029"</f>
        <v>20237161029</v>
      </c>
      <c r="G141" s="7">
        <v>80.1</v>
      </c>
      <c r="H141" s="7">
        <v>80.7</v>
      </c>
      <c r="I141" s="7">
        <v>80.46</v>
      </c>
      <c r="J141" s="5"/>
    </row>
    <row r="142" spans="1:10" ht="15.75" customHeight="1">
      <c r="A142" s="5">
        <v>140</v>
      </c>
      <c r="B142" s="6" t="str">
        <f t="shared" si="5"/>
        <v>2023106</v>
      </c>
      <c r="C142" s="6" t="s">
        <v>19</v>
      </c>
      <c r="D142" s="6" t="s">
        <v>18</v>
      </c>
      <c r="E142" s="6" t="str">
        <f>"牛亚楠"</f>
        <v>牛亚楠</v>
      </c>
      <c r="F142" s="6" t="str">
        <f>"20237161020"</f>
        <v>20237161020</v>
      </c>
      <c r="G142" s="7">
        <v>79.05</v>
      </c>
      <c r="H142" s="7">
        <v>79.6</v>
      </c>
      <c r="I142" s="7">
        <v>79.38</v>
      </c>
      <c r="J142" s="5"/>
    </row>
    <row r="143" spans="1:10" ht="15.75" customHeight="1">
      <c r="A143" s="5">
        <v>141</v>
      </c>
      <c r="B143" s="6" t="str">
        <f t="shared" si="5"/>
        <v>2023106</v>
      </c>
      <c r="C143" s="6" t="s">
        <v>19</v>
      </c>
      <c r="D143" s="6" t="s">
        <v>18</v>
      </c>
      <c r="E143" s="6" t="str">
        <f>"黄雪丽"</f>
        <v>黄雪丽</v>
      </c>
      <c r="F143" s="6" t="str">
        <f>"20237161105"</f>
        <v>20237161105</v>
      </c>
      <c r="G143" s="7">
        <v>70.85</v>
      </c>
      <c r="H143" s="7">
        <v>83.2</v>
      </c>
      <c r="I143" s="7">
        <v>78.26</v>
      </c>
      <c r="J143" s="5"/>
    </row>
    <row r="144" spans="1:10" ht="15.75" customHeight="1">
      <c r="A144" s="5">
        <v>142</v>
      </c>
      <c r="B144" s="6" t="str">
        <f t="shared" si="5"/>
        <v>2023106</v>
      </c>
      <c r="C144" s="6" t="s">
        <v>19</v>
      </c>
      <c r="D144" s="6" t="s">
        <v>18</v>
      </c>
      <c r="E144" s="6" t="str">
        <f>"胡静怡"</f>
        <v>胡静怡</v>
      </c>
      <c r="F144" s="6" t="str">
        <f>"20237161013"</f>
        <v>20237161013</v>
      </c>
      <c r="G144" s="7">
        <v>74</v>
      </c>
      <c r="H144" s="7">
        <v>80.1</v>
      </c>
      <c r="I144" s="7">
        <v>77.66</v>
      </c>
      <c r="J144" s="5"/>
    </row>
    <row r="145" spans="1:10" ht="15.75" customHeight="1">
      <c r="A145" s="5">
        <v>143</v>
      </c>
      <c r="B145" s="6" t="str">
        <f t="shared" si="5"/>
        <v>2023106</v>
      </c>
      <c r="C145" s="6" t="s">
        <v>19</v>
      </c>
      <c r="D145" s="6" t="s">
        <v>18</v>
      </c>
      <c r="E145" s="6" t="str">
        <f>"孙祥祥"</f>
        <v>孙祥祥</v>
      </c>
      <c r="F145" s="6" t="str">
        <f>"20237161010"</f>
        <v>20237161010</v>
      </c>
      <c r="G145" s="7">
        <v>76.15</v>
      </c>
      <c r="H145" s="7">
        <v>76.9</v>
      </c>
      <c r="I145" s="7">
        <v>76.6</v>
      </c>
      <c r="J145" s="5"/>
    </row>
    <row r="146" spans="1:10" ht="15.75" customHeight="1">
      <c r="A146" s="5">
        <v>144</v>
      </c>
      <c r="B146" s="6" t="str">
        <f t="shared" si="5"/>
        <v>2023106</v>
      </c>
      <c r="C146" s="6" t="s">
        <v>19</v>
      </c>
      <c r="D146" s="6" t="s">
        <v>18</v>
      </c>
      <c r="E146" s="6" t="str">
        <f>"马大伟"</f>
        <v>马大伟</v>
      </c>
      <c r="F146" s="6" t="str">
        <f>"20237161023"</f>
        <v>20237161023</v>
      </c>
      <c r="G146" s="7">
        <v>74.75</v>
      </c>
      <c r="H146" s="7">
        <v>72.4</v>
      </c>
      <c r="I146" s="7">
        <v>73.34</v>
      </c>
      <c r="J146" s="5"/>
    </row>
    <row r="147" spans="1:10" ht="15.75" customHeight="1">
      <c r="A147" s="5">
        <v>145</v>
      </c>
      <c r="B147" s="6" t="str">
        <f t="shared" si="5"/>
        <v>2023106</v>
      </c>
      <c r="C147" s="6" t="s">
        <v>19</v>
      </c>
      <c r="D147" s="6" t="s">
        <v>18</v>
      </c>
      <c r="E147" s="6" t="str">
        <f>"武秋阳"</f>
        <v>武秋阳</v>
      </c>
      <c r="F147" s="6" t="str">
        <f>"20237161016"</f>
        <v>20237161016</v>
      </c>
      <c r="G147" s="7">
        <v>75.05</v>
      </c>
      <c r="H147" s="7">
        <v>72.1</v>
      </c>
      <c r="I147" s="7">
        <v>73.28</v>
      </c>
      <c r="J147" s="5"/>
    </row>
    <row r="148" spans="1:10" ht="15.75" customHeight="1">
      <c r="A148" s="5">
        <v>146</v>
      </c>
      <c r="B148" s="6" t="str">
        <f t="shared" si="5"/>
        <v>2023106</v>
      </c>
      <c r="C148" s="6" t="s">
        <v>19</v>
      </c>
      <c r="D148" s="6" t="s">
        <v>18</v>
      </c>
      <c r="E148" s="6" t="str">
        <f>"张梦晴"</f>
        <v>张梦晴</v>
      </c>
      <c r="F148" s="6" t="str">
        <f>"20237161109"</f>
        <v>20237161109</v>
      </c>
      <c r="G148" s="7">
        <v>80.5</v>
      </c>
      <c r="H148" s="7">
        <v>67.1</v>
      </c>
      <c r="I148" s="7">
        <v>72.46</v>
      </c>
      <c r="J148" s="5"/>
    </row>
    <row r="149" spans="1:10" ht="15.75" customHeight="1">
      <c r="A149" s="5">
        <v>147</v>
      </c>
      <c r="B149" s="6" t="str">
        <f t="shared" si="5"/>
        <v>2023106</v>
      </c>
      <c r="C149" s="6" t="s">
        <v>19</v>
      </c>
      <c r="D149" s="6" t="s">
        <v>18</v>
      </c>
      <c r="E149" s="6" t="str">
        <f>"刘宇"</f>
        <v>刘宇</v>
      </c>
      <c r="F149" s="6" t="str">
        <f>"20237161021"</f>
        <v>20237161021</v>
      </c>
      <c r="G149" s="7">
        <v>72.65</v>
      </c>
      <c r="H149" s="7">
        <v>67.2</v>
      </c>
      <c r="I149" s="7">
        <v>69.38</v>
      </c>
      <c r="J149" s="5"/>
    </row>
    <row r="150" spans="1:10" ht="15.75" customHeight="1">
      <c r="A150" s="5">
        <v>148</v>
      </c>
      <c r="B150" s="6" t="str">
        <f t="shared" si="5"/>
        <v>2023106</v>
      </c>
      <c r="C150" s="6" t="s">
        <v>19</v>
      </c>
      <c r="D150" s="6" t="s">
        <v>18</v>
      </c>
      <c r="E150" s="6" t="str">
        <f>"李双"</f>
        <v>李双</v>
      </c>
      <c r="F150" s="6" t="str">
        <f>"20237161019"</f>
        <v>20237161019</v>
      </c>
      <c r="G150" s="7">
        <v>64.25</v>
      </c>
      <c r="H150" s="7">
        <v>72.8</v>
      </c>
      <c r="I150" s="7">
        <v>69.38</v>
      </c>
      <c r="J150" s="5"/>
    </row>
    <row r="151" spans="1:10" ht="15.75" customHeight="1">
      <c r="A151" s="5">
        <v>149</v>
      </c>
      <c r="B151" s="6" t="str">
        <f t="shared" si="5"/>
        <v>2023106</v>
      </c>
      <c r="C151" s="6" t="s">
        <v>19</v>
      </c>
      <c r="D151" s="6" t="s">
        <v>18</v>
      </c>
      <c r="E151" s="6" t="str">
        <f>"贾婷利"</f>
        <v>贾婷利</v>
      </c>
      <c r="F151" s="6" t="str">
        <f>"20237161012"</f>
        <v>20237161012</v>
      </c>
      <c r="G151" s="7">
        <v>71.55</v>
      </c>
      <c r="H151" s="7">
        <v>67.1</v>
      </c>
      <c r="I151" s="7">
        <v>68.88</v>
      </c>
      <c r="J151" s="5"/>
    </row>
    <row r="152" spans="1:10" ht="15.75" customHeight="1">
      <c r="A152" s="5">
        <v>150</v>
      </c>
      <c r="B152" s="6" t="str">
        <f t="shared" si="5"/>
        <v>2023106</v>
      </c>
      <c r="C152" s="6" t="s">
        <v>19</v>
      </c>
      <c r="D152" s="6" t="s">
        <v>18</v>
      </c>
      <c r="E152" s="6" t="str">
        <f>"楚紫微"</f>
        <v>楚紫微</v>
      </c>
      <c r="F152" s="6" t="str">
        <f>"20237161011"</f>
        <v>20237161011</v>
      </c>
      <c r="G152" s="7">
        <v>70.85</v>
      </c>
      <c r="H152" s="7">
        <v>66.7</v>
      </c>
      <c r="I152" s="7">
        <v>68.36</v>
      </c>
      <c r="J152" s="5"/>
    </row>
    <row r="153" spans="1:10" ht="15.75" customHeight="1">
      <c r="A153" s="5">
        <v>151</v>
      </c>
      <c r="B153" s="6" t="str">
        <f t="shared" si="5"/>
        <v>2023106</v>
      </c>
      <c r="C153" s="6" t="s">
        <v>19</v>
      </c>
      <c r="D153" s="6" t="s">
        <v>18</v>
      </c>
      <c r="E153" s="6" t="str">
        <f>"贾欣悦"</f>
        <v>贾欣悦</v>
      </c>
      <c r="F153" s="6" t="str">
        <f>"20237161104"</f>
        <v>20237161104</v>
      </c>
      <c r="G153" s="7">
        <v>64.15</v>
      </c>
      <c r="H153" s="7">
        <v>68.1</v>
      </c>
      <c r="I153" s="7">
        <v>66.52</v>
      </c>
      <c r="J153" s="5" t="s">
        <v>13</v>
      </c>
    </row>
    <row r="154" spans="1:10" ht="15.75" customHeight="1">
      <c r="A154" s="5">
        <v>152</v>
      </c>
      <c r="B154" s="6" t="str">
        <f t="shared" si="5"/>
        <v>2023106</v>
      </c>
      <c r="C154" s="6" t="s">
        <v>19</v>
      </c>
      <c r="D154" s="6" t="s">
        <v>18</v>
      </c>
      <c r="E154" s="6" t="str">
        <f>"王会会"</f>
        <v>王会会</v>
      </c>
      <c r="F154" s="6" t="str">
        <f>"20237161006"</f>
        <v>20237161006</v>
      </c>
      <c r="G154" s="7">
        <v>62.45</v>
      </c>
      <c r="H154" s="7">
        <v>65.3</v>
      </c>
      <c r="I154" s="7">
        <v>64.16</v>
      </c>
      <c r="J154" s="5" t="s">
        <v>13</v>
      </c>
    </row>
    <row r="155" spans="1:10" ht="15.75" customHeight="1">
      <c r="A155" s="5">
        <v>153</v>
      </c>
      <c r="B155" s="6" t="str">
        <f t="shared" si="5"/>
        <v>2023106</v>
      </c>
      <c r="C155" s="6" t="s">
        <v>19</v>
      </c>
      <c r="D155" s="6" t="s">
        <v>18</v>
      </c>
      <c r="E155" s="6" t="str">
        <f>"梁珊"</f>
        <v>梁珊</v>
      </c>
      <c r="F155" s="6" t="str">
        <f>"20237161025"</f>
        <v>20237161025</v>
      </c>
      <c r="G155" s="7">
        <v>55.75</v>
      </c>
      <c r="H155" s="7">
        <v>65.1</v>
      </c>
      <c r="I155" s="7">
        <v>61.36</v>
      </c>
      <c r="J155" s="5" t="s">
        <v>13</v>
      </c>
    </row>
    <row r="156" spans="1:10" ht="15.75" customHeight="1">
      <c r="A156" s="5">
        <v>154</v>
      </c>
      <c r="B156" s="6" t="str">
        <f aca="true" t="shared" si="6" ref="B156:B185">"2023107"</f>
        <v>2023107</v>
      </c>
      <c r="C156" s="6" t="s">
        <v>20</v>
      </c>
      <c r="D156" s="6" t="s">
        <v>18</v>
      </c>
      <c r="E156" s="6" t="str">
        <f>"汪茜若"</f>
        <v>汪茜若</v>
      </c>
      <c r="F156" s="6" t="str">
        <f>"20237161126"</f>
        <v>20237161126</v>
      </c>
      <c r="G156" s="7">
        <v>97.05</v>
      </c>
      <c r="H156" s="7">
        <v>102.9</v>
      </c>
      <c r="I156" s="7">
        <v>100.56</v>
      </c>
      <c r="J156" s="5"/>
    </row>
    <row r="157" spans="1:10" ht="15.75" customHeight="1">
      <c r="A157" s="5">
        <v>155</v>
      </c>
      <c r="B157" s="6" t="str">
        <f t="shared" si="6"/>
        <v>2023107</v>
      </c>
      <c r="C157" s="6" t="s">
        <v>20</v>
      </c>
      <c r="D157" s="6" t="s">
        <v>18</v>
      </c>
      <c r="E157" s="6" t="str">
        <f>"孙丽"</f>
        <v>孙丽</v>
      </c>
      <c r="F157" s="6" t="str">
        <f>"20237161122"</f>
        <v>20237161122</v>
      </c>
      <c r="G157" s="7">
        <v>106.1</v>
      </c>
      <c r="H157" s="7">
        <v>93.5</v>
      </c>
      <c r="I157" s="7">
        <v>98.54</v>
      </c>
      <c r="J157" s="5"/>
    </row>
    <row r="158" spans="1:10" ht="15.75" customHeight="1">
      <c r="A158" s="5">
        <v>156</v>
      </c>
      <c r="B158" s="6" t="str">
        <f t="shared" si="6"/>
        <v>2023107</v>
      </c>
      <c r="C158" s="6" t="s">
        <v>20</v>
      </c>
      <c r="D158" s="6" t="s">
        <v>18</v>
      </c>
      <c r="E158" s="6" t="str">
        <f>"闫宇涵"</f>
        <v>闫宇涵</v>
      </c>
      <c r="F158" s="6" t="str">
        <f>"20237161216"</f>
        <v>20237161216</v>
      </c>
      <c r="G158" s="7">
        <v>104.65</v>
      </c>
      <c r="H158" s="7">
        <v>91.7</v>
      </c>
      <c r="I158" s="7">
        <v>96.88</v>
      </c>
      <c r="J158" s="5"/>
    </row>
    <row r="159" spans="1:10" ht="15.75" customHeight="1">
      <c r="A159" s="5">
        <v>157</v>
      </c>
      <c r="B159" s="6" t="str">
        <f t="shared" si="6"/>
        <v>2023107</v>
      </c>
      <c r="C159" s="6" t="s">
        <v>20</v>
      </c>
      <c r="D159" s="6" t="s">
        <v>18</v>
      </c>
      <c r="E159" s="6" t="str">
        <f>"钱程云"</f>
        <v>钱程云</v>
      </c>
      <c r="F159" s="6" t="str">
        <f>"20237161213"</f>
        <v>20237161213</v>
      </c>
      <c r="G159" s="7">
        <v>96.75</v>
      </c>
      <c r="H159" s="7">
        <v>93.7</v>
      </c>
      <c r="I159" s="7">
        <v>94.92</v>
      </c>
      <c r="J159" s="5"/>
    </row>
    <row r="160" spans="1:10" ht="15.75" customHeight="1">
      <c r="A160" s="5">
        <v>158</v>
      </c>
      <c r="B160" s="6" t="str">
        <f t="shared" si="6"/>
        <v>2023107</v>
      </c>
      <c r="C160" s="6" t="s">
        <v>20</v>
      </c>
      <c r="D160" s="6" t="s">
        <v>18</v>
      </c>
      <c r="E160" s="6" t="str">
        <f>"李云艳"</f>
        <v>李云艳</v>
      </c>
      <c r="F160" s="6" t="str">
        <f>"20237161121"</f>
        <v>20237161121</v>
      </c>
      <c r="G160" s="7">
        <v>89.4</v>
      </c>
      <c r="H160" s="7">
        <v>96.8</v>
      </c>
      <c r="I160" s="7">
        <v>93.84</v>
      </c>
      <c r="J160" s="5"/>
    </row>
    <row r="161" spans="1:10" ht="15.75" customHeight="1">
      <c r="A161" s="5">
        <v>159</v>
      </c>
      <c r="B161" s="6" t="str">
        <f t="shared" si="6"/>
        <v>2023107</v>
      </c>
      <c r="C161" s="6" t="s">
        <v>20</v>
      </c>
      <c r="D161" s="6" t="s">
        <v>18</v>
      </c>
      <c r="E161" s="6" t="str">
        <f>"葛飞艳"</f>
        <v>葛飞艳</v>
      </c>
      <c r="F161" s="6" t="str">
        <f>"20237161217"</f>
        <v>20237161217</v>
      </c>
      <c r="G161" s="7">
        <v>85.15</v>
      </c>
      <c r="H161" s="7">
        <v>94.9</v>
      </c>
      <c r="I161" s="7">
        <v>91</v>
      </c>
      <c r="J161" s="5"/>
    </row>
    <row r="162" spans="1:10" ht="15.75" customHeight="1">
      <c r="A162" s="5">
        <v>160</v>
      </c>
      <c r="B162" s="6" t="str">
        <f t="shared" si="6"/>
        <v>2023107</v>
      </c>
      <c r="C162" s="6" t="s">
        <v>20</v>
      </c>
      <c r="D162" s="6" t="s">
        <v>18</v>
      </c>
      <c r="E162" s="6" t="str">
        <f>"卢松翠"</f>
        <v>卢松翠</v>
      </c>
      <c r="F162" s="6" t="str">
        <f>"20237161127"</f>
        <v>20237161127</v>
      </c>
      <c r="G162" s="7">
        <v>98.8</v>
      </c>
      <c r="H162" s="7">
        <v>84.7</v>
      </c>
      <c r="I162" s="7">
        <v>90.34</v>
      </c>
      <c r="J162" s="5"/>
    </row>
    <row r="163" spans="1:10" ht="15.75" customHeight="1">
      <c r="A163" s="5">
        <v>161</v>
      </c>
      <c r="B163" s="6" t="str">
        <f t="shared" si="6"/>
        <v>2023107</v>
      </c>
      <c r="C163" s="6" t="s">
        <v>20</v>
      </c>
      <c r="D163" s="6" t="s">
        <v>18</v>
      </c>
      <c r="E163" s="6" t="str">
        <f>"王婉婷"</f>
        <v>王婉婷</v>
      </c>
      <c r="F163" s="6" t="str">
        <f>"20237161204"</f>
        <v>20237161204</v>
      </c>
      <c r="G163" s="7">
        <v>94.9</v>
      </c>
      <c r="H163" s="7">
        <v>83.2</v>
      </c>
      <c r="I163" s="7">
        <v>87.88</v>
      </c>
      <c r="J163" s="5"/>
    </row>
    <row r="164" spans="1:10" ht="15.75" customHeight="1">
      <c r="A164" s="5">
        <v>162</v>
      </c>
      <c r="B164" s="6" t="str">
        <f t="shared" si="6"/>
        <v>2023107</v>
      </c>
      <c r="C164" s="6" t="s">
        <v>20</v>
      </c>
      <c r="D164" s="6" t="s">
        <v>18</v>
      </c>
      <c r="E164" s="6" t="str">
        <f>"刘梦梦"</f>
        <v>刘梦梦</v>
      </c>
      <c r="F164" s="6" t="str">
        <f>"20237161205"</f>
        <v>20237161205</v>
      </c>
      <c r="G164" s="7">
        <v>73.85</v>
      </c>
      <c r="H164" s="7">
        <v>97.2</v>
      </c>
      <c r="I164" s="7">
        <v>87.86</v>
      </c>
      <c r="J164" s="5"/>
    </row>
    <row r="165" spans="1:10" ht="15.75" customHeight="1">
      <c r="A165" s="5">
        <v>163</v>
      </c>
      <c r="B165" s="6" t="str">
        <f t="shared" si="6"/>
        <v>2023107</v>
      </c>
      <c r="C165" s="6" t="s">
        <v>20</v>
      </c>
      <c r="D165" s="6" t="s">
        <v>18</v>
      </c>
      <c r="E165" s="6" t="str">
        <f>"蔡馨怡"</f>
        <v>蔡馨怡</v>
      </c>
      <c r="F165" s="6" t="str">
        <f>"20237161214"</f>
        <v>20237161214</v>
      </c>
      <c r="G165" s="7">
        <v>94.8</v>
      </c>
      <c r="H165" s="7">
        <v>81.9</v>
      </c>
      <c r="I165" s="7">
        <v>87.06</v>
      </c>
      <c r="J165" s="5"/>
    </row>
    <row r="166" spans="1:10" ht="15.75" customHeight="1">
      <c r="A166" s="5">
        <v>164</v>
      </c>
      <c r="B166" s="6" t="str">
        <f t="shared" si="6"/>
        <v>2023107</v>
      </c>
      <c r="C166" s="6" t="s">
        <v>20</v>
      </c>
      <c r="D166" s="6" t="s">
        <v>18</v>
      </c>
      <c r="E166" s="6" t="str">
        <f>"吕若晴"</f>
        <v>吕若晴</v>
      </c>
      <c r="F166" s="6" t="str">
        <f>"20237161202"</f>
        <v>20237161202</v>
      </c>
      <c r="G166" s="7">
        <v>93.65</v>
      </c>
      <c r="H166" s="7">
        <v>82.4</v>
      </c>
      <c r="I166" s="7">
        <v>86.9</v>
      </c>
      <c r="J166" s="5"/>
    </row>
    <row r="167" spans="1:10" ht="15.75" customHeight="1">
      <c r="A167" s="5">
        <v>165</v>
      </c>
      <c r="B167" s="6" t="str">
        <f t="shared" si="6"/>
        <v>2023107</v>
      </c>
      <c r="C167" s="6" t="s">
        <v>20</v>
      </c>
      <c r="D167" s="6" t="s">
        <v>18</v>
      </c>
      <c r="E167" s="6" t="str">
        <f>"彭艳"</f>
        <v>彭艳</v>
      </c>
      <c r="F167" s="6" t="str">
        <f>"20237161119"</f>
        <v>20237161119</v>
      </c>
      <c r="G167" s="7">
        <v>88.05</v>
      </c>
      <c r="H167" s="7">
        <v>85</v>
      </c>
      <c r="I167" s="7">
        <v>86.22</v>
      </c>
      <c r="J167" s="5"/>
    </row>
    <row r="168" spans="1:10" ht="15.75" customHeight="1">
      <c r="A168" s="5">
        <v>166</v>
      </c>
      <c r="B168" s="6" t="str">
        <f t="shared" si="6"/>
        <v>2023107</v>
      </c>
      <c r="C168" s="6" t="s">
        <v>20</v>
      </c>
      <c r="D168" s="6" t="s">
        <v>18</v>
      </c>
      <c r="E168" s="6" t="str">
        <f>"邵雨婷"</f>
        <v>邵雨婷</v>
      </c>
      <c r="F168" s="6" t="str">
        <f>"20237161115"</f>
        <v>20237161115</v>
      </c>
      <c r="G168" s="7">
        <v>73.25</v>
      </c>
      <c r="H168" s="7">
        <v>91.3</v>
      </c>
      <c r="I168" s="7">
        <v>84.08</v>
      </c>
      <c r="J168" s="5"/>
    </row>
    <row r="169" spans="1:10" ht="15.75" customHeight="1">
      <c r="A169" s="5">
        <v>167</v>
      </c>
      <c r="B169" s="6" t="str">
        <f t="shared" si="6"/>
        <v>2023107</v>
      </c>
      <c r="C169" s="6" t="s">
        <v>20</v>
      </c>
      <c r="D169" s="6" t="s">
        <v>18</v>
      </c>
      <c r="E169" s="6" t="str">
        <f>"赵圆圆"</f>
        <v>赵圆圆</v>
      </c>
      <c r="F169" s="6" t="str">
        <f>"20237161116"</f>
        <v>20237161116</v>
      </c>
      <c r="G169" s="7">
        <v>75.2</v>
      </c>
      <c r="H169" s="7">
        <v>89.9</v>
      </c>
      <c r="I169" s="7">
        <v>84.02</v>
      </c>
      <c r="J169" s="5"/>
    </row>
    <row r="170" spans="1:10" ht="15.75" customHeight="1">
      <c r="A170" s="5">
        <v>168</v>
      </c>
      <c r="B170" s="6" t="str">
        <f t="shared" si="6"/>
        <v>2023107</v>
      </c>
      <c r="C170" s="6" t="s">
        <v>20</v>
      </c>
      <c r="D170" s="6" t="s">
        <v>18</v>
      </c>
      <c r="E170" s="6" t="str">
        <f>"李莎"</f>
        <v>李莎</v>
      </c>
      <c r="F170" s="6" t="str">
        <f>"20237161207"</f>
        <v>20237161207</v>
      </c>
      <c r="G170" s="7">
        <v>94.6</v>
      </c>
      <c r="H170" s="7">
        <v>76.9</v>
      </c>
      <c r="I170" s="7">
        <v>83.98</v>
      </c>
      <c r="J170" s="5"/>
    </row>
    <row r="171" spans="1:10" ht="15.75" customHeight="1">
      <c r="A171" s="5">
        <v>169</v>
      </c>
      <c r="B171" s="6" t="str">
        <f t="shared" si="6"/>
        <v>2023107</v>
      </c>
      <c r="C171" s="6" t="s">
        <v>20</v>
      </c>
      <c r="D171" s="6" t="s">
        <v>18</v>
      </c>
      <c r="E171" s="6" t="str">
        <f>"刘锦洋"</f>
        <v>刘锦洋</v>
      </c>
      <c r="F171" s="6" t="str">
        <f>"20237161125"</f>
        <v>20237161125</v>
      </c>
      <c r="G171" s="7">
        <v>77.85</v>
      </c>
      <c r="H171" s="7">
        <v>87.1</v>
      </c>
      <c r="I171" s="7">
        <v>83.4</v>
      </c>
      <c r="J171" s="5"/>
    </row>
    <row r="172" spans="1:10" ht="15.75" customHeight="1">
      <c r="A172" s="5">
        <v>170</v>
      </c>
      <c r="B172" s="6" t="str">
        <f t="shared" si="6"/>
        <v>2023107</v>
      </c>
      <c r="C172" s="6" t="s">
        <v>20</v>
      </c>
      <c r="D172" s="6" t="s">
        <v>18</v>
      </c>
      <c r="E172" s="6" t="str">
        <f>"袁珂珂"</f>
        <v>袁珂珂</v>
      </c>
      <c r="F172" s="6" t="str">
        <f>"20237161201"</f>
        <v>20237161201</v>
      </c>
      <c r="G172" s="7">
        <v>87.55</v>
      </c>
      <c r="H172" s="7">
        <v>78.9</v>
      </c>
      <c r="I172" s="7">
        <v>82.36</v>
      </c>
      <c r="J172" s="5"/>
    </row>
    <row r="173" spans="1:10" ht="15.75" customHeight="1">
      <c r="A173" s="5">
        <v>171</v>
      </c>
      <c r="B173" s="6" t="str">
        <f t="shared" si="6"/>
        <v>2023107</v>
      </c>
      <c r="C173" s="6" t="s">
        <v>20</v>
      </c>
      <c r="D173" s="6" t="s">
        <v>18</v>
      </c>
      <c r="E173" s="6" t="str">
        <f>"袁树玲"</f>
        <v>袁树玲</v>
      </c>
      <c r="F173" s="6" t="str">
        <f>"20237161218"</f>
        <v>20237161218</v>
      </c>
      <c r="G173" s="7">
        <v>91.5</v>
      </c>
      <c r="H173" s="7">
        <v>76.2</v>
      </c>
      <c r="I173" s="7">
        <v>82.32</v>
      </c>
      <c r="J173" s="5"/>
    </row>
    <row r="174" spans="1:10" ht="15.75" customHeight="1">
      <c r="A174" s="5">
        <v>172</v>
      </c>
      <c r="B174" s="6" t="str">
        <f t="shared" si="6"/>
        <v>2023107</v>
      </c>
      <c r="C174" s="6" t="s">
        <v>20</v>
      </c>
      <c r="D174" s="6" t="s">
        <v>18</v>
      </c>
      <c r="E174" s="6" t="str">
        <f>"潘如歌"</f>
        <v>潘如歌</v>
      </c>
      <c r="F174" s="6" t="str">
        <f>"20237161219"</f>
        <v>20237161219</v>
      </c>
      <c r="G174" s="7">
        <v>79.8</v>
      </c>
      <c r="H174" s="7">
        <v>81</v>
      </c>
      <c r="I174" s="7">
        <v>80.52</v>
      </c>
      <c r="J174" s="5"/>
    </row>
    <row r="175" spans="1:10" ht="15.75" customHeight="1">
      <c r="A175" s="5">
        <v>173</v>
      </c>
      <c r="B175" s="6" t="str">
        <f t="shared" si="6"/>
        <v>2023107</v>
      </c>
      <c r="C175" s="6" t="s">
        <v>20</v>
      </c>
      <c r="D175" s="6" t="s">
        <v>18</v>
      </c>
      <c r="E175" s="6" t="str">
        <f>"李娜"</f>
        <v>李娜</v>
      </c>
      <c r="F175" s="6" t="str">
        <f>"20237161117"</f>
        <v>20237161117</v>
      </c>
      <c r="G175" s="7">
        <v>72.2</v>
      </c>
      <c r="H175" s="7">
        <v>78.1</v>
      </c>
      <c r="I175" s="7">
        <v>75.74</v>
      </c>
      <c r="J175" s="5"/>
    </row>
    <row r="176" spans="1:10" ht="15.75" customHeight="1">
      <c r="A176" s="5">
        <v>174</v>
      </c>
      <c r="B176" s="6" t="str">
        <f t="shared" si="6"/>
        <v>2023107</v>
      </c>
      <c r="C176" s="6" t="s">
        <v>20</v>
      </c>
      <c r="D176" s="6" t="s">
        <v>18</v>
      </c>
      <c r="E176" s="6" t="str">
        <f>"张子怡"</f>
        <v>张子怡</v>
      </c>
      <c r="F176" s="6" t="str">
        <f>"20237161128"</f>
        <v>20237161128</v>
      </c>
      <c r="G176" s="7">
        <v>74.15</v>
      </c>
      <c r="H176" s="7">
        <v>76.5</v>
      </c>
      <c r="I176" s="7">
        <v>75.56</v>
      </c>
      <c r="J176" s="5"/>
    </row>
    <row r="177" spans="1:10" ht="15.75" customHeight="1">
      <c r="A177" s="5">
        <v>175</v>
      </c>
      <c r="B177" s="6" t="str">
        <f t="shared" si="6"/>
        <v>2023107</v>
      </c>
      <c r="C177" s="6" t="s">
        <v>20</v>
      </c>
      <c r="D177" s="6" t="s">
        <v>18</v>
      </c>
      <c r="E177" s="6" t="str">
        <f>"王舒"</f>
        <v>王舒</v>
      </c>
      <c r="F177" s="6" t="str">
        <f>"20237161212"</f>
        <v>20237161212</v>
      </c>
      <c r="G177" s="7">
        <v>73.75</v>
      </c>
      <c r="H177" s="7">
        <v>75.6</v>
      </c>
      <c r="I177" s="7">
        <v>74.86</v>
      </c>
      <c r="J177" s="5"/>
    </row>
    <row r="178" spans="1:10" ht="15.75" customHeight="1">
      <c r="A178" s="5">
        <v>176</v>
      </c>
      <c r="B178" s="6" t="str">
        <f t="shared" si="6"/>
        <v>2023107</v>
      </c>
      <c r="C178" s="6" t="s">
        <v>20</v>
      </c>
      <c r="D178" s="6" t="s">
        <v>18</v>
      </c>
      <c r="E178" s="6" t="str">
        <f>"葛梦楠"</f>
        <v>葛梦楠</v>
      </c>
      <c r="F178" s="6" t="str">
        <f>"20237161130"</f>
        <v>20237161130</v>
      </c>
      <c r="G178" s="7">
        <v>69.9</v>
      </c>
      <c r="H178" s="7">
        <v>75.9</v>
      </c>
      <c r="I178" s="7">
        <v>73.5</v>
      </c>
      <c r="J178" s="5"/>
    </row>
    <row r="179" spans="1:10" ht="15.75" customHeight="1">
      <c r="A179" s="5">
        <v>177</v>
      </c>
      <c r="B179" s="6" t="str">
        <f t="shared" si="6"/>
        <v>2023107</v>
      </c>
      <c r="C179" s="6" t="s">
        <v>20</v>
      </c>
      <c r="D179" s="6" t="s">
        <v>18</v>
      </c>
      <c r="E179" s="6" t="str">
        <f>"李彤彤"</f>
        <v>李彤彤</v>
      </c>
      <c r="F179" s="6" t="str">
        <f>"20237161129"</f>
        <v>20237161129</v>
      </c>
      <c r="G179" s="7">
        <v>72</v>
      </c>
      <c r="H179" s="7">
        <v>71.8</v>
      </c>
      <c r="I179" s="7">
        <v>71.88</v>
      </c>
      <c r="J179" s="5"/>
    </row>
    <row r="180" spans="1:10" ht="15.75" customHeight="1">
      <c r="A180" s="5">
        <v>178</v>
      </c>
      <c r="B180" s="6" t="str">
        <f t="shared" si="6"/>
        <v>2023107</v>
      </c>
      <c r="C180" s="6" t="s">
        <v>20</v>
      </c>
      <c r="D180" s="6" t="s">
        <v>18</v>
      </c>
      <c r="E180" s="6" t="str">
        <f>"韩雪"</f>
        <v>韩雪</v>
      </c>
      <c r="F180" s="6" t="str">
        <f>"20237161120"</f>
        <v>20237161120</v>
      </c>
      <c r="G180" s="7">
        <v>76.2</v>
      </c>
      <c r="H180" s="7">
        <v>66.7</v>
      </c>
      <c r="I180" s="7">
        <v>70.5</v>
      </c>
      <c r="J180" s="5"/>
    </row>
    <row r="181" spans="1:10" ht="15.75" customHeight="1">
      <c r="A181" s="5">
        <v>179</v>
      </c>
      <c r="B181" s="6" t="str">
        <f t="shared" si="6"/>
        <v>2023107</v>
      </c>
      <c r="C181" s="6" t="s">
        <v>20</v>
      </c>
      <c r="D181" s="6" t="s">
        <v>18</v>
      </c>
      <c r="E181" s="6" t="str">
        <f>"杨子颜"</f>
        <v>杨子颜</v>
      </c>
      <c r="F181" s="6" t="str">
        <f>"20237161124"</f>
        <v>20237161124</v>
      </c>
      <c r="G181" s="7">
        <v>74.4</v>
      </c>
      <c r="H181" s="7">
        <v>67.3</v>
      </c>
      <c r="I181" s="7">
        <v>70.14</v>
      </c>
      <c r="J181" s="5"/>
    </row>
    <row r="182" spans="1:10" ht="15.75" customHeight="1">
      <c r="A182" s="5">
        <v>180</v>
      </c>
      <c r="B182" s="6" t="str">
        <f t="shared" si="6"/>
        <v>2023107</v>
      </c>
      <c r="C182" s="6" t="s">
        <v>20</v>
      </c>
      <c r="D182" s="6" t="s">
        <v>18</v>
      </c>
      <c r="E182" s="6" t="str">
        <f>"代馨彤"</f>
        <v>代馨彤</v>
      </c>
      <c r="F182" s="6" t="str">
        <f>"20237161208"</f>
        <v>20237161208</v>
      </c>
      <c r="G182" s="7">
        <v>77.4</v>
      </c>
      <c r="H182" s="7">
        <v>64.2</v>
      </c>
      <c r="I182" s="7">
        <v>69.48</v>
      </c>
      <c r="J182" s="5"/>
    </row>
    <row r="183" spans="1:10" ht="15.75" customHeight="1">
      <c r="A183" s="5">
        <v>181</v>
      </c>
      <c r="B183" s="6" t="str">
        <f t="shared" si="6"/>
        <v>2023107</v>
      </c>
      <c r="C183" s="6" t="s">
        <v>20</v>
      </c>
      <c r="D183" s="6" t="s">
        <v>18</v>
      </c>
      <c r="E183" s="6" t="str">
        <f>"王新宇"</f>
        <v>王新宇</v>
      </c>
      <c r="F183" s="6" t="str">
        <f>"20237161203"</f>
        <v>20237161203</v>
      </c>
      <c r="G183" s="7">
        <v>68.55</v>
      </c>
      <c r="H183" s="7">
        <v>67.9</v>
      </c>
      <c r="I183" s="7">
        <v>68.16</v>
      </c>
      <c r="J183" s="5" t="s">
        <v>13</v>
      </c>
    </row>
    <row r="184" spans="1:10" ht="15.75" customHeight="1">
      <c r="A184" s="5">
        <v>182</v>
      </c>
      <c r="B184" s="6" t="str">
        <f t="shared" si="6"/>
        <v>2023107</v>
      </c>
      <c r="C184" s="6" t="s">
        <v>20</v>
      </c>
      <c r="D184" s="6" t="s">
        <v>18</v>
      </c>
      <c r="E184" s="6" t="str">
        <f>"代瑞艳"</f>
        <v>代瑞艳</v>
      </c>
      <c r="F184" s="6" t="str">
        <f>"20237161123"</f>
        <v>20237161123</v>
      </c>
      <c r="G184" s="7">
        <v>59.95</v>
      </c>
      <c r="H184" s="7">
        <v>71.3</v>
      </c>
      <c r="I184" s="7">
        <v>66.76</v>
      </c>
      <c r="J184" s="5" t="s">
        <v>13</v>
      </c>
    </row>
    <row r="185" spans="1:10" ht="15.75" customHeight="1">
      <c r="A185" s="5">
        <v>183</v>
      </c>
      <c r="B185" s="6" t="str">
        <f t="shared" si="6"/>
        <v>2023107</v>
      </c>
      <c r="C185" s="6" t="s">
        <v>20</v>
      </c>
      <c r="D185" s="6" t="s">
        <v>18</v>
      </c>
      <c r="E185" s="6" t="str">
        <f>"徐莹莹"</f>
        <v>徐莹莹</v>
      </c>
      <c r="F185" s="6" t="str">
        <f>"20237161206"</f>
        <v>20237161206</v>
      </c>
      <c r="G185" s="7">
        <v>61.35</v>
      </c>
      <c r="H185" s="7">
        <v>62</v>
      </c>
      <c r="I185" s="7">
        <v>61.74</v>
      </c>
      <c r="J185" s="5" t="s">
        <v>13</v>
      </c>
    </row>
    <row r="186" spans="1:10" ht="15.75" customHeight="1">
      <c r="A186" s="5">
        <v>184</v>
      </c>
      <c r="B186" s="6" t="str">
        <f aca="true" t="shared" si="7" ref="B186:B215">"2023108"</f>
        <v>2023108</v>
      </c>
      <c r="C186" s="6" t="s">
        <v>21</v>
      </c>
      <c r="D186" s="6" t="s">
        <v>18</v>
      </c>
      <c r="E186" s="6" t="str">
        <f>"徐冰冰"</f>
        <v>徐冰冰</v>
      </c>
      <c r="F186" s="6" t="str">
        <f>"20237161312"</f>
        <v>20237161312</v>
      </c>
      <c r="G186" s="7">
        <v>86.25</v>
      </c>
      <c r="H186" s="7">
        <v>99.4</v>
      </c>
      <c r="I186" s="7">
        <v>94.14</v>
      </c>
      <c r="J186" s="5"/>
    </row>
    <row r="187" spans="1:10" ht="15.75" customHeight="1">
      <c r="A187" s="5">
        <v>185</v>
      </c>
      <c r="B187" s="6" t="str">
        <f t="shared" si="7"/>
        <v>2023108</v>
      </c>
      <c r="C187" s="6" t="s">
        <v>21</v>
      </c>
      <c r="D187" s="6" t="s">
        <v>18</v>
      </c>
      <c r="E187" s="6" t="str">
        <f>"田瑞"</f>
        <v>田瑞</v>
      </c>
      <c r="F187" s="6" t="str">
        <f>"20237161306"</f>
        <v>20237161306</v>
      </c>
      <c r="G187" s="7">
        <v>88.15</v>
      </c>
      <c r="H187" s="7">
        <v>95.5</v>
      </c>
      <c r="I187" s="7">
        <v>92.56</v>
      </c>
      <c r="J187" s="5"/>
    </row>
    <row r="188" spans="1:10" ht="15.75" customHeight="1">
      <c r="A188" s="5">
        <v>186</v>
      </c>
      <c r="B188" s="6" t="str">
        <f t="shared" si="7"/>
        <v>2023108</v>
      </c>
      <c r="C188" s="6" t="s">
        <v>21</v>
      </c>
      <c r="D188" s="6" t="s">
        <v>18</v>
      </c>
      <c r="E188" s="6" t="str">
        <f>"王飞雪"</f>
        <v>王飞雪</v>
      </c>
      <c r="F188" s="6" t="str">
        <f>"20237161317"</f>
        <v>20237161317</v>
      </c>
      <c r="G188" s="7">
        <v>99.45</v>
      </c>
      <c r="H188" s="7">
        <v>85.1</v>
      </c>
      <c r="I188" s="7">
        <v>90.84</v>
      </c>
      <c r="J188" s="5"/>
    </row>
    <row r="189" spans="1:10" ht="15.75" customHeight="1">
      <c r="A189" s="5">
        <v>187</v>
      </c>
      <c r="B189" s="6" t="str">
        <f t="shared" si="7"/>
        <v>2023108</v>
      </c>
      <c r="C189" s="6" t="s">
        <v>21</v>
      </c>
      <c r="D189" s="6" t="s">
        <v>18</v>
      </c>
      <c r="E189" s="6" t="str">
        <f>"宋雪梅"</f>
        <v>宋雪梅</v>
      </c>
      <c r="F189" s="6" t="str">
        <f>"20237161316"</f>
        <v>20237161316</v>
      </c>
      <c r="G189" s="7">
        <v>93.15</v>
      </c>
      <c r="H189" s="7">
        <v>88.4</v>
      </c>
      <c r="I189" s="7">
        <v>90.3</v>
      </c>
      <c r="J189" s="5"/>
    </row>
    <row r="190" spans="1:10" ht="15.75" customHeight="1">
      <c r="A190" s="5">
        <v>188</v>
      </c>
      <c r="B190" s="6" t="str">
        <f t="shared" si="7"/>
        <v>2023108</v>
      </c>
      <c r="C190" s="6" t="s">
        <v>21</v>
      </c>
      <c r="D190" s="6" t="s">
        <v>18</v>
      </c>
      <c r="E190" s="6" t="str">
        <f>"牛燕宇"</f>
        <v>牛燕宇</v>
      </c>
      <c r="F190" s="6" t="str">
        <f>"20237161326"</f>
        <v>20237161326</v>
      </c>
      <c r="G190" s="7">
        <v>81.95</v>
      </c>
      <c r="H190" s="7">
        <v>93.3</v>
      </c>
      <c r="I190" s="7">
        <v>88.76</v>
      </c>
      <c r="J190" s="5"/>
    </row>
    <row r="191" spans="1:10" ht="15.75" customHeight="1">
      <c r="A191" s="5">
        <v>189</v>
      </c>
      <c r="B191" s="6" t="str">
        <f t="shared" si="7"/>
        <v>2023108</v>
      </c>
      <c r="C191" s="6" t="s">
        <v>21</v>
      </c>
      <c r="D191" s="6" t="s">
        <v>18</v>
      </c>
      <c r="E191" s="6" t="str">
        <f>"朴珊珊"</f>
        <v>朴珊珊</v>
      </c>
      <c r="F191" s="6" t="str">
        <f>"20237161220"</f>
        <v>20237161220</v>
      </c>
      <c r="G191" s="7">
        <v>89.2</v>
      </c>
      <c r="H191" s="7">
        <v>82.4</v>
      </c>
      <c r="I191" s="7">
        <v>85.12</v>
      </c>
      <c r="J191" s="5"/>
    </row>
    <row r="192" spans="1:10" ht="15.75" customHeight="1">
      <c r="A192" s="5">
        <v>190</v>
      </c>
      <c r="B192" s="6" t="str">
        <f t="shared" si="7"/>
        <v>2023108</v>
      </c>
      <c r="C192" s="6" t="s">
        <v>21</v>
      </c>
      <c r="D192" s="6" t="s">
        <v>18</v>
      </c>
      <c r="E192" s="6" t="str">
        <f>"肖亚楠"</f>
        <v>肖亚楠</v>
      </c>
      <c r="F192" s="6" t="str">
        <f>"20237161318"</f>
        <v>20237161318</v>
      </c>
      <c r="G192" s="7">
        <v>90.6</v>
      </c>
      <c r="H192" s="7">
        <v>80.2</v>
      </c>
      <c r="I192" s="7">
        <v>84.36</v>
      </c>
      <c r="J192" s="5"/>
    </row>
    <row r="193" spans="1:10" ht="15.75" customHeight="1">
      <c r="A193" s="5">
        <v>191</v>
      </c>
      <c r="B193" s="6" t="str">
        <f t="shared" si="7"/>
        <v>2023108</v>
      </c>
      <c r="C193" s="6" t="s">
        <v>21</v>
      </c>
      <c r="D193" s="6" t="s">
        <v>18</v>
      </c>
      <c r="E193" s="6" t="str">
        <f>"陈子莹"</f>
        <v>陈子莹</v>
      </c>
      <c r="F193" s="6" t="str">
        <f>"20237161224"</f>
        <v>20237161224</v>
      </c>
      <c r="G193" s="7">
        <v>86.3</v>
      </c>
      <c r="H193" s="7">
        <v>82.8</v>
      </c>
      <c r="I193" s="7">
        <v>84.2</v>
      </c>
      <c r="J193" s="5"/>
    </row>
    <row r="194" spans="1:10" ht="15.75" customHeight="1">
      <c r="A194" s="5">
        <v>192</v>
      </c>
      <c r="B194" s="6" t="str">
        <f t="shared" si="7"/>
        <v>2023108</v>
      </c>
      <c r="C194" s="6" t="s">
        <v>21</v>
      </c>
      <c r="D194" s="6" t="s">
        <v>18</v>
      </c>
      <c r="E194" s="6" t="str">
        <f>"马婧婧"</f>
        <v>马婧婧</v>
      </c>
      <c r="F194" s="6" t="str">
        <f>"20237161320"</f>
        <v>20237161320</v>
      </c>
      <c r="G194" s="7">
        <v>89.9</v>
      </c>
      <c r="H194" s="7">
        <v>80.2</v>
      </c>
      <c r="I194" s="7">
        <v>84.08</v>
      </c>
      <c r="J194" s="5"/>
    </row>
    <row r="195" spans="1:10" ht="15.75" customHeight="1">
      <c r="A195" s="5">
        <v>193</v>
      </c>
      <c r="B195" s="6" t="str">
        <f t="shared" si="7"/>
        <v>2023108</v>
      </c>
      <c r="C195" s="6" t="s">
        <v>21</v>
      </c>
      <c r="D195" s="6" t="s">
        <v>18</v>
      </c>
      <c r="E195" s="6" t="str">
        <f>"邓甜甜"</f>
        <v>邓甜甜</v>
      </c>
      <c r="F195" s="6" t="str">
        <f>"20237161311"</f>
        <v>20237161311</v>
      </c>
      <c r="G195" s="7">
        <v>86.4</v>
      </c>
      <c r="H195" s="7">
        <v>81.2</v>
      </c>
      <c r="I195" s="7">
        <v>83.28</v>
      </c>
      <c r="J195" s="5"/>
    </row>
    <row r="196" spans="1:10" ht="15.75" customHeight="1">
      <c r="A196" s="5">
        <v>194</v>
      </c>
      <c r="B196" s="6" t="str">
        <f t="shared" si="7"/>
        <v>2023108</v>
      </c>
      <c r="C196" s="6" t="s">
        <v>21</v>
      </c>
      <c r="D196" s="6" t="s">
        <v>18</v>
      </c>
      <c r="E196" s="6" t="str">
        <f>"吕晴晴"</f>
        <v>吕晴晴</v>
      </c>
      <c r="F196" s="6" t="str">
        <f>"20237161309"</f>
        <v>20237161309</v>
      </c>
      <c r="G196" s="7">
        <v>81.3</v>
      </c>
      <c r="H196" s="7">
        <v>83.9</v>
      </c>
      <c r="I196" s="7">
        <v>82.86</v>
      </c>
      <c r="J196" s="5"/>
    </row>
    <row r="197" spans="1:10" ht="15.75" customHeight="1">
      <c r="A197" s="5">
        <v>195</v>
      </c>
      <c r="B197" s="6" t="str">
        <f t="shared" si="7"/>
        <v>2023108</v>
      </c>
      <c r="C197" s="6" t="s">
        <v>21</v>
      </c>
      <c r="D197" s="6" t="s">
        <v>18</v>
      </c>
      <c r="E197" s="6" t="str">
        <f>"魏萍"</f>
        <v>魏萍</v>
      </c>
      <c r="F197" s="6" t="str">
        <f>"20237161302"</f>
        <v>20237161302</v>
      </c>
      <c r="G197" s="7">
        <v>85.2</v>
      </c>
      <c r="H197" s="7">
        <v>80.3</v>
      </c>
      <c r="I197" s="7">
        <v>82.26</v>
      </c>
      <c r="J197" s="5"/>
    </row>
    <row r="198" spans="1:10" ht="15.75" customHeight="1">
      <c r="A198" s="5">
        <v>196</v>
      </c>
      <c r="B198" s="6" t="str">
        <f t="shared" si="7"/>
        <v>2023108</v>
      </c>
      <c r="C198" s="6" t="s">
        <v>21</v>
      </c>
      <c r="D198" s="6" t="s">
        <v>18</v>
      </c>
      <c r="E198" s="6" t="str">
        <f>"高梦宇"</f>
        <v>高梦宇</v>
      </c>
      <c r="F198" s="6" t="str">
        <f>"20237161322"</f>
        <v>20237161322</v>
      </c>
      <c r="G198" s="7">
        <v>84.55</v>
      </c>
      <c r="H198" s="7">
        <v>79.7</v>
      </c>
      <c r="I198" s="7">
        <v>81.64</v>
      </c>
      <c r="J198" s="5"/>
    </row>
    <row r="199" spans="1:10" ht="15.75" customHeight="1">
      <c r="A199" s="5">
        <v>197</v>
      </c>
      <c r="B199" s="6" t="str">
        <f t="shared" si="7"/>
        <v>2023108</v>
      </c>
      <c r="C199" s="6" t="s">
        <v>21</v>
      </c>
      <c r="D199" s="6" t="s">
        <v>18</v>
      </c>
      <c r="E199" s="6" t="str">
        <f>"戚慢慢"</f>
        <v>戚慢慢</v>
      </c>
      <c r="F199" s="6" t="str">
        <f>"20237161315"</f>
        <v>20237161315</v>
      </c>
      <c r="G199" s="7">
        <v>84.4</v>
      </c>
      <c r="H199" s="7">
        <v>79.1</v>
      </c>
      <c r="I199" s="7">
        <v>81.22</v>
      </c>
      <c r="J199" s="5"/>
    </row>
    <row r="200" spans="1:10" ht="15.75" customHeight="1">
      <c r="A200" s="5">
        <v>198</v>
      </c>
      <c r="B200" s="6" t="str">
        <f t="shared" si="7"/>
        <v>2023108</v>
      </c>
      <c r="C200" s="6" t="s">
        <v>21</v>
      </c>
      <c r="D200" s="6" t="s">
        <v>18</v>
      </c>
      <c r="E200" s="6" t="str">
        <f>"葛新瑞"</f>
        <v>葛新瑞</v>
      </c>
      <c r="F200" s="6" t="str">
        <f>"20237161319"</f>
        <v>20237161319</v>
      </c>
      <c r="G200" s="7">
        <v>74.75</v>
      </c>
      <c r="H200" s="7">
        <v>81.8</v>
      </c>
      <c r="I200" s="7">
        <v>78.98</v>
      </c>
      <c r="J200" s="5"/>
    </row>
    <row r="201" spans="1:10" ht="15.75" customHeight="1">
      <c r="A201" s="5">
        <v>199</v>
      </c>
      <c r="B201" s="6" t="str">
        <f t="shared" si="7"/>
        <v>2023108</v>
      </c>
      <c r="C201" s="6" t="s">
        <v>21</v>
      </c>
      <c r="D201" s="6" t="s">
        <v>18</v>
      </c>
      <c r="E201" s="6" t="str">
        <f>"刘双华"</f>
        <v>刘双华</v>
      </c>
      <c r="F201" s="6" t="str">
        <f>"20237161229"</f>
        <v>20237161229</v>
      </c>
      <c r="G201" s="7">
        <v>68.05</v>
      </c>
      <c r="H201" s="7">
        <v>85.8</v>
      </c>
      <c r="I201" s="7">
        <v>78.7</v>
      </c>
      <c r="J201" s="5"/>
    </row>
    <row r="202" spans="1:10" ht="15.75" customHeight="1">
      <c r="A202" s="5">
        <v>200</v>
      </c>
      <c r="B202" s="6" t="str">
        <f t="shared" si="7"/>
        <v>2023108</v>
      </c>
      <c r="C202" s="6" t="s">
        <v>21</v>
      </c>
      <c r="D202" s="6" t="s">
        <v>18</v>
      </c>
      <c r="E202" s="6" t="str">
        <f>"程林曼"</f>
        <v>程林曼</v>
      </c>
      <c r="F202" s="6" t="str">
        <f>"20237161327"</f>
        <v>20237161327</v>
      </c>
      <c r="G202" s="7">
        <v>81.6</v>
      </c>
      <c r="H202" s="7">
        <v>75.2</v>
      </c>
      <c r="I202" s="7">
        <v>77.76</v>
      </c>
      <c r="J202" s="5"/>
    </row>
    <row r="203" spans="1:10" ht="15.75" customHeight="1">
      <c r="A203" s="5">
        <v>201</v>
      </c>
      <c r="B203" s="6" t="str">
        <f t="shared" si="7"/>
        <v>2023108</v>
      </c>
      <c r="C203" s="6" t="s">
        <v>21</v>
      </c>
      <c r="D203" s="6" t="s">
        <v>18</v>
      </c>
      <c r="E203" s="6" t="str">
        <f>"高冬青"</f>
        <v>高冬青</v>
      </c>
      <c r="F203" s="6" t="str">
        <f>"20237161223"</f>
        <v>20237161223</v>
      </c>
      <c r="G203" s="7">
        <v>82.15</v>
      </c>
      <c r="H203" s="7">
        <v>74.5</v>
      </c>
      <c r="I203" s="7">
        <v>77.56</v>
      </c>
      <c r="J203" s="5"/>
    </row>
    <row r="204" spans="1:10" ht="15.75" customHeight="1">
      <c r="A204" s="5">
        <v>202</v>
      </c>
      <c r="B204" s="6" t="str">
        <f t="shared" si="7"/>
        <v>2023108</v>
      </c>
      <c r="C204" s="6" t="s">
        <v>21</v>
      </c>
      <c r="D204" s="6" t="s">
        <v>18</v>
      </c>
      <c r="E204" s="6" t="str">
        <f>"吴晓雨"</f>
        <v>吴晓雨</v>
      </c>
      <c r="F204" s="6" t="str">
        <f>"20237161313"</f>
        <v>20237161313</v>
      </c>
      <c r="G204" s="7">
        <v>77.95</v>
      </c>
      <c r="H204" s="7">
        <v>76.6</v>
      </c>
      <c r="I204" s="7">
        <v>77.14</v>
      </c>
      <c r="J204" s="5"/>
    </row>
    <row r="205" spans="1:10" ht="15.75" customHeight="1">
      <c r="A205" s="5">
        <v>203</v>
      </c>
      <c r="B205" s="6" t="str">
        <f t="shared" si="7"/>
        <v>2023108</v>
      </c>
      <c r="C205" s="6" t="s">
        <v>21</v>
      </c>
      <c r="D205" s="6" t="s">
        <v>18</v>
      </c>
      <c r="E205" s="6" t="str">
        <f>"徐丰晴"</f>
        <v>徐丰晴</v>
      </c>
      <c r="F205" s="6" t="str">
        <f>"20237161230"</f>
        <v>20237161230</v>
      </c>
      <c r="G205" s="7">
        <v>85.1</v>
      </c>
      <c r="H205" s="7">
        <v>71.8</v>
      </c>
      <c r="I205" s="7">
        <v>77.12</v>
      </c>
      <c r="J205" s="5"/>
    </row>
    <row r="206" spans="1:10" ht="15.75" customHeight="1">
      <c r="A206" s="5">
        <v>204</v>
      </c>
      <c r="B206" s="6" t="str">
        <f t="shared" si="7"/>
        <v>2023108</v>
      </c>
      <c r="C206" s="6" t="s">
        <v>21</v>
      </c>
      <c r="D206" s="6" t="s">
        <v>18</v>
      </c>
      <c r="E206" s="6" t="str">
        <f>"葛会雨"</f>
        <v>葛会雨</v>
      </c>
      <c r="F206" s="6" t="str">
        <f>"20237161228"</f>
        <v>20237161228</v>
      </c>
      <c r="G206" s="7">
        <v>65.45</v>
      </c>
      <c r="H206" s="7">
        <v>82.1</v>
      </c>
      <c r="I206" s="7">
        <v>75.44</v>
      </c>
      <c r="J206" s="5"/>
    </row>
    <row r="207" spans="1:10" ht="15.75" customHeight="1">
      <c r="A207" s="5">
        <v>205</v>
      </c>
      <c r="B207" s="6" t="str">
        <f t="shared" si="7"/>
        <v>2023108</v>
      </c>
      <c r="C207" s="6" t="s">
        <v>21</v>
      </c>
      <c r="D207" s="6" t="s">
        <v>18</v>
      </c>
      <c r="E207" s="6" t="str">
        <f>"吴其涵"</f>
        <v>吴其涵</v>
      </c>
      <c r="F207" s="6" t="str">
        <f>"20237161226"</f>
        <v>20237161226</v>
      </c>
      <c r="G207" s="7">
        <v>78.35</v>
      </c>
      <c r="H207" s="7">
        <v>73.4</v>
      </c>
      <c r="I207" s="7">
        <v>75.38</v>
      </c>
      <c r="J207" s="5"/>
    </row>
    <row r="208" spans="1:10" ht="15.75" customHeight="1">
      <c r="A208" s="5">
        <v>206</v>
      </c>
      <c r="B208" s="6" t="str">
        <f t="shared" si="7"/>
        <v>2023108</v>
      </c>
      <c r="C208" s="6" t="s">
        <v>21</v>
      </c>
      <c r="D208" s="6" t="s">
        <v>18</v>
      </c>
      <c r="E208" s="6" t="str">
        <f>"张新雨"</f>
        <v>张新雨</v>
      </c>
      <c r="F208" s="6" t="str">
        <f>"20237161307"</f>
        <v>20237161307</v>
      </c>
      <c r="G208" s="7">
        <v>71.3</v>
      </c>
      <c r="H208" s="7">
        <v>75.6</v>
      </c>
      <c r="I208" s="7">
        <v>73.88</v>
      </c>
      <c r="J208" s="5"/>
    </row>
    <row r="209" spans="1:10" ht="15.75" customHeight="1">
      <c r="A209" s="5">
        <v>207</v>
      </c>
      <c r="B209" s="6" t="str">
        <f t="shared" si="7"/>
        <v>2023108</v>
      </c>
      <c r="C209" s="6" t="s">
        <v>21</v>
      </c>
      <c r="D209" s="6" t="s">
        <v>18</v>
      </c>
      <c r="E209" s="6" t="str">
        <f>"高慧子"</f>
        <v>高慧子</v>
      </c>
      <c r="F209" s="6" t="str">
        <f>"20237161310"</f>
        <v>20237161310</v>
      </c>
      <c r="G209" s="7">
        <v>68.1</v>
      </c>
      <c r="H209" s="7">
        <v>77.4</v>
      </c>
      <c r="I209" s="7">
        <v>73.68</v>
      </c>
      <c r="J209" s="5"/>
    </row>
    <row r="210" spans="1:10" ht="15.75" customHeight="1">
      <c r="A210" s="5">
        <v>208</v>
      </c>
      <c r="B210" s="6" t="str">
        <f t="shared" si="7"/>
        <v>2023108</v>
      </c>
      <c r="C210" s="6" t="s">
        <v>21</v>
      </c>
      <c r="D210" s="6" t="s">
        <v>18</v>
      </c>
      <c r="E210" s="6" t="str">
        <f>"程家楠"</f>
        <v>程家楠</v>
      </c>
      <c r="F210" s="6" t="str">
        <f>"20237161401"</f>
        <v>20237161401</v>
      </c>
      <c r="G210" s="7">
        <v>76.95</v>
      </c>
      <c r="H210" s="7">
        <v>71.4</v>
      </c>
      <c r="I210" s="7">
        <v>73.62</v>
      </c>
      <c r="J210" s="5"/>
    </row>
    <row r="211" spans="1:10" ht="15.75" customHeight="1">
      <c r="A211" s="5">
        <v>209</v>
      </c>
      <c r="B211" s="6" t="str">
        <f t="shared" si="7"/>
        <v>2023108</v>
      </c>
      <c r="C211" s="6" t="s">
        <v>21</v>
      </c>
      <c r="D211" s="6" t="s">
        <v>18</v>
      </c>
      <c r="E211" s="6" t="str">
        <f>"陈雨"</f>
        <v>陈雨</v>
      </c>
      <c r="F211" s="6" t="str">
        <f>"20237161305"</f>
        <v>20237161305</v>
      </c>
      <c r="G211" s="7">
        <v>70.85</v>
      </c>
      <c r="H211" s="7">
        <v>73</v>
      </c>
      <c r="I211" s="7">
        <v>72.14</v>
      </c>
      <c r="J211" s="5" t="s">
        <v>13</v>
      </c>
    </row>
    <row r="212" spans="1:10" ht="15.75" customHeight="1">
      <c r="A212" s="5">
        <v>210</v>
      </c>
      <c r="B212" s="6" t="str">
        <f t="shared" si="7"/>
        <v>2023108</v>
      </c>
      <c r="C212" s="6" t="s">
        <v>21</v>
      </c>
      <c r="D212" s="6" t="s">
        <v>18</v>
      </c>
      <c r="E212" s="6" t="str">
        <f>"周翠翠"</f>
        <v>周翠翠</v>
      </c>
      <c r="F212" s="6" t="str">
        <f>"20237161329"</f>
        <v>20237161329</v>
      </c>
      <c r="G212" s="7">
        <v>66.8</v>
      </c>
      <c r="H212" s="7">
        <v>70.9</v>
      </c>
      <c r="I212" s="7">
        <v>69.26</v>
      </c>
      <c r="J212" s="5" t="s">
        <v>13</v>
      </c>
    </row>
    <row r="213" spans="1:10" ht="15.75" customHeight="1">
      <c r="A213" s="5">
        <v>211</v>
      </c>
      <c r="B213" s="6" t="str">
        <f t="shared" si="7"/>
        <v>2023108</v>
      </c>
      <c r="C213" s="6" t="s">
        <v>21</v>
      </c>
      <c r="D213" s="6" t="s">
        <v>18</v>
      </c>
      <c r="E213" s="6" t="str">
        <f>"李祥丽"</f>
        <v>李祥丽</v>
      </c>
      <c r="F213" s="6" t="str">
        <f>"20237161330"</f>
        <v>20237161330</v>
      </c>
      <c r="G213" s="7">
        <v>67.8</v>
      </c>
      <c r="H213" s="7">
        <v>68</v>
      </c>
      <c r="I213" s="7">
        <v>67.92</v>
      </c>
      <c r="J213" s="5" t="s">
        <v>13</v>
      </c>
    </row>
    <row r="214" spans="1:10" ht="15.75" customHeight="1">
      <c r="A214" s="5">
        <v>212</v>
      </c>
      <c r="B214" s="6" t="str">
        <f t="shared" si="7"/>
        <v>2023108</v>
      </c>
      <c r="C214" s="6" t="s">
        <v>21</v>
      </c>
      <c r="D214" s="6" t="s">
        <v>18</v>
      </c>
      <c r="E214" s="6" t="str">
        <f>"何雨蝶"</f>
        <v>何雨蝶</v>
      </c>
      <c r="F214" s="6" t="str">
        <f>"20237161227"</f>
        <v>20237161227</v>
      </c>
      <c r="G214" s="7">
        <v>62</v>
      </c>
      <c r="H214" s="7">
        <v>71.6</v>
      </c>
      <c r="I214" s="7">
        <v>67.76</v>
      </c>
      <c r="J214" s="5" t="s">
        <v>13</v>
      </c>
    </row>
    <row r="215" spans="1:10" ht="15.75" customHeight="1">
      <c r="A215" s="5">
        <v>213</v>
      </c>
      <c r="B215" s="6" t="str">
        <f t="shared" si="7"/>
        <v>2023108</v>
      </c>
      <c r="C215" s="6" t="s">
        <v>21</v>
      </c>
      <c r="D215" s="6" t="s">
        <v>18</v>
      </c>
      <c r="E215" s="6" t="str">
        <f>"谢艳艳"</f>
        <v>谢艳艳</v>
      </c>
      <c r="F215" s="6" t="str">
        <f>"20237161308"</f>
        <v>20237161308</v>
      </c>
      <c r="G215" s="7">
        <v>66.65</v>
      </c>
      <c r="H215" s="7">
        <v>66.8</v>
      </c>
      <c r="I215" s="7">
        <v>66.74</v>
      </c>
      <c r="J215" s="5" t="s">
        <v>13</v>
      </c>
    </row>
    <row r="216" spans="1:10" ht="15.75" customHeight="1">
      <c r="A216" s="5">
        <v>214</v>
      </c>
      <c r="B216" s="6" t="str">
        <f aca="true" t="shared" si="8" ref="B216:B244">"2023109"</f>
        <v>2023109</v>
      </c>
      <c r="C216" s="6" t="s">
        <v>22</v>
      </c>
      <c r="D216" s="6" t="s">
        <v>18</v>
      </c>
      <c r="E216" s="6" t="str">
        <f>"张娜娜"</f>
        <v>张娜娜</v>
      </c>
      <c r="F216" s="6" t="str">
        <f>"20237161413"</f>
        <v>20237161413</v>
      </c>
      <c r="G216" s="7">
        <v>87.6</v>
      </c>
      <c r="H216" s="7">
        <v>102.9</v>
      </c>
      <c r="I216" s="7">
        <v>96.78</v>
      </c>
      <c r="J216" s="5"/>
    </row>
    <row r="217" spans="1:10" ht="15.75" customHeight="1">
      <c r="A217" s="5">
        <v>215</v>
      </c>
      <c r="B217" s="6" t="str">
        <f t="shared" si="8"/>
        <v>2023109</v>
      </c>
      <c r="C217" s="6" t="s">
        <v>22</v>
      </c>
      <c r="D217" s="6" t="s">
        <v>18</v>
      </c>
      <c r="E217" s="6" t="str">
        <f>"李明慧"</f>
        <v>李明慧</v>
      </c>
      <c r="F217" s="6" t="str">
        <f>"20237161501"</f>
        <v>20237161501</v>
      </c>
      <c r="G217" s="7">
        <v>97.9</v>
      </c>
      <c r="H217" s="7">
        <v>91.7</v>
      </c>
      <c r="I217" s="7">
        <v>94.18</v>
      </c>
      <c r="J217" s="5"/>
    </row>
    <row r="218" spans="1:10" ht="15.75" customHeight="1">
      <c r="A218" s="5">
        <v>216</v>
      </c>
      <c r="B218" s="6" t="str">
        <f t="shared" si="8"/>
        <v>2023109</v>
      </c>
      <c r="C218" s="6" t="s">
        <v>22</v>
      </c>
      <c r="D218" s="6" t="s">
        <v>18</v>
      </c>
      <c r="E218" s="6" t="str">
        <f>"杨凤"</f>
        <v>杨凤</v>
      </c>
      <c r="F218" s="6" t="str">
        <f>"20237161403"</f>
        <v>20237161403</v>
      </c>
      <c r="G218" s="7">
        <v>103.55</v>
      </c>
      <c r="H218" s="7">
        <v>87.1</v>
      </c>
      <c r="I218" s="7">
        <v>93.68</v>
      </c>
      <c r="J218" s="5"/>
    </row>
    <row r="219" spans="1:10" ht="15.75" customHeight="1">
      <c r="A219" s="5">
        <v>217</v>
      </c>
      <c r="B219" s="6" t="str">
        <f t="shared" si="8"/>
        <v>2023109</v>
      </c>
      <c r="C219" s="6" t="s">
        <v>22</v>
      </c>
      <c r="D219" s="6" t="s">
        <v>18</v>
      </c>
      <c r="E219" s="6" t="str">
        <f>"袁雪燕"</f>
        <v>袁雪燕</v>
      </c>
      <c r="F219" s="6" t="str">
        <f>"20237161410"</f>
        <v>20237161410</v>
      </c>
      <c r="G219" s="7">
        <v>96.3</v>
      </c>
      <c r="H219" s="7">
        <v>88.9</v>
      </c>
      <c r="I219" s="7">
        <v>91.86</v>
      </c>
      <c r="J219" s="5"/>
    </row>
    <row r="220" spans="1:10" ht="15.75" customHeight="1">
      <c r="A220" s="5">
        <v>218</v>
      </c>
      <c r="B220" s="6" t="str">
        <f t="shared" si="8"/>
        <v>2023109</v>
      </c>
      <c r="C220" s="6" t="s">
        <v>22</v>
      </c>
      <c r="D220" s="6" t="s">
        <v>18</v>
      </c>
      <c r="E220" s="6" t="str">
        <f>"王欣娜"</f>
        <v>王欣娜</v>
      </c>
      <c r="F220" s="6" t="str">
        <f>"20237161406"</f>
        <v>20237161406</v>
      </c>
      <c r="G220" s="7">
        <v>81.5</v>
      </c>
      <c r="H220" s="7">
        <v>96.5</v>
      </c>
      <c r="I220" s="7">
        <v>90.5</v>
      </c>
      <c r="J220" s="5"/>
    </row>
    <row r="221" spans="1:10" ht="15.75" customHeight="1">
      <c r="A221" s="5">
        <v>219</v>
      </c>
      <c r="B221" s="6" t="str">
        <f t="shared" si="8"/>
        <v>2023109</v>
      </c>
      <c r="C221" s="6" t="s">
        <v>22</v>
      </c>
      <c r="D221" s="6" t="s">
        <v>18</v>
      </c>
      <c r="E221" s="6" t="str">
        <f>"冯诗琪"</f>
        <v>冯诗琪</v>
      </c>
      <c r="F221" s="6" t="str">
        <f>"20237161419"</f>
        <v>20237161419</v>
      </c>
      <c r="G221" s="7">
        <v>87.4</v>
      </c>
      <c r="H221" s="7">
        <v>91.3</v>
      </c>
      <c r="I221" s="7">
        <v>89.74</v>
      </c>
      <c r="J221" s="5"/>
    </row>
    <row r="222" spans="1:10" ht="15.75" customHeight="1">
      <c r="A222" s="5">
        <v>220</v>
      </c>
      <c r="B222" s="6" t="str">
        <f t="shared" si="8"/>
        <v>2023109</v>
      </c>
      <c r="C222" s="6" t="s">
        <v>22</v>
      </c>
      <c r="D222" s="6" t="s">
        <v>18</v>
      </c>
      <c r="E222" s="6" t="str">
        <f>"邵灵芝"</f>
        <v>邵灵芝</v>
      </c>
      <c r="F222" s="6" t="str">
        <f>"20237161424"</f>
        <v>20237161424</v>
      </c>
      <c r="G222" s="7">
        <v>86.1</v>
      </c>
      <c r="H222" s="7">
        <v>90.8</v>
      </c>
      <c r="I222" s="7">
        <v>88.92</v>
      </c>
      <c r="J222" s="5"/>
    </row>
    <row r="223" spans="1:10" ht="15.75" customHeight="1">
      <c r="A223" s="5">
        <v>221</v>
      </c>
      <c r="B223" s="6" t="str">
        <f t="shared" si="8"/>
        <v>2023109</v>
      </c>
      <c r="C223" s="6" t="s">
        <v>22</v>
      </c>
      <c r="D223" s="6" t="s">
        <v>18</v>
      </c>
      <c r="E223" s="6" t="str">
        <f>"马子寒"</f>
        <v>马子寒</v>
      </c>
      <c r="F223" s="6" t="str">
        <f>"20237161404"</f>
        <v>20237161404</v>
      </c>
      <c r="G223" s="7">
        <v>86.55</v>
      </c>
      <c r="H223" s="7">
        <v>89.9</v>
      </c>
      <c r="I223" s="7">
        <v>88.56</v>
      </c>
      <c r="J223" s="5"/>
    </row>
    <row r="224" spans="1:10" ht="15.75" customHeight="1">
      <c r="A224" s="5">
        <v>222</v>
      </c>
      <c r="B224" s="6" t="str">
        <f t="shared" si="8"/>
        <v>2023109</v>
      </c>
      <c r="C224" s="6" t="s">
        <v>22</v>
      </c>
      <c r="D224" s="6" t="s">
        <v>18</v>
      </c>
      <c r="E224" s="6" t="str">
        <f>"王宇欣"</f>
        <v>王宇欣</v>
      </c>
      <c r="F224" s="6" t="str">
        <f>"20237161429"</f>
        <v>20237161429</v>
      </c>
      <c r="G224" s="7">
        <v>89.2</v>
      </c>
      <c r="H224" s="7">
        <v>83.8</v>
      </c>
      <c r="I224" s="7">
        <v>85.96</v>
      </c>
      <c r="J224" s="5"/>
    </row>
    <row r="225" spans="1:10" ht="15.75" customHeight="1">
      <c r="A225" s="5">
        <v>223</v>
      </c>
      <c r="B225" s="6" t="str">
        <f t="shared" si="8"/>
        <v>2023109</v>
      </c>
      <c r="C225" s="6" t="s">
        <v>22</v>
      </c>
      <c r="D225" s="6" t="s">
        <v>18</v>
      </c>
      <c r="E225" s="6" t="str">
        <f>"陆李娜"</f>
        <v>陆李娜</v>
      </c>
      <c r="F225" s="6" t="str">
        <f>"20237161503"</f>
        <v>20237161503</v>
      </c>
      <c r="G225" s="7">
        <v>84.05</v>
      </c>
      <c r="H225" s="7">
        <v>87.1</v>
      </c>
      <c r="I225" s="7">
        <v>85.88</v>
      </c>
      <c r="J225" s="5"/>
    </row>
    <row r="226" spans="1:10" ht="15.75" customHeight="1">
      <c r="A226" s="5">
        <v>224</v>
      </c>
      <c r="B226" s="6" t="str">
        <f t="shared" si="8"/>
        <v>2023109</v>
      </c>
      <c r="C226" s="6" t="s">
        <v>22</v>
      </c>
      <c r="D226" s="6" t="s">
        <v>18</v>
      </c>
      <c r="E226" s="6" t="str">
        <f>"冯越"</f>
        <v>冯越</v>
      </c>
      <c r="F226" s="6" t="str">
        <f>"20237161427"</f>
        <v>20237161427</v>
      </c>
      <c r="G226" s="7">
        <v>97.85</v>
      </c>
      <c r="H226" s="7">
        <v>77.3</v>
      </c>
      <c r="I226" s="7">
        <v>85.52</v>
      </c>
      <c r="J226" s="5"/>
    </row>
    <row r="227" spans="1:10" ht="15.75" customHeight="1">
      <c r="A227" s="5">
        <v>225</v>
      </c>
      <c r="B227" s="6" t="str">
        <f t="shared" si="8"/>
        <v>2023109</v>
      </c>
      <c r="C227" s="6" t="s">
        <v>22</v>
      </c>
      <c r="D227" s="6" t="s">
        <v>18</v>
      </c>
      <c r="E227" s="6" t="str">
        <f>"潘娟娟"</f>
        <v>潘娟娟</v>
      </c>
      <c r="F227" s="6" t="str">
        <f>"20237161505"</f>
        <v>20237161505</v>
      </c>
      <c r="G227" s="7">
        <v>78.1</v>
      </c>
      <c r="H227" s="7">
        <v>88.6</v>
      </c>
      <c r="I227" s="7">
        <v>84.4</v>
      </c>
      <c r="J227" s="5"/>
    </row>
    <row r="228" spans="1:10" ht="15.75" customHeight="1">
      <c r="A228" s="5">
        <v>226</v>
      </c>
      <c r="B228" s="6" t="str">
        <f t="shared" si="8"/>
        <v>2023109</v>
      </c>
      <c r="C228" s="6" t="s">
        <v>22</v>
      </c>
      <c r="D228" s="6" t="s">
        <v>18</v>
      </c>
      <c r="E228" s="6" t="str">
        <f>"陆琪琪"</f>
        <v>陆琪琪</v>
      </c>
      <c r="F228" s="6" t="str">
        <f>"20237161408"</f>
        <v>20237161408</v>
      </c>
      <c r="G228" s="7">
        <v>93.15</v>
      </c>
      <c r="H228" s="7">
        <v>78.2</v>
      </c>
      <c r="I228" s="7">
        <v>84.18</v>
      </c>
      <c r="J228" s="5"/>
    </row>
    <row r="229" spans="1:10" ht="15.75" customHeight="1">
      <c r="A229" s="5">
        <v>227</v>
      </c>
      <c r="B229" s="6" t="str">
        <f t="shared" si="8"/>
        <v>2023109</v>
      </c>
      <c r="C229" s="6" t="s">
        <v>22</v>
      </c>
      <c r="D229" s="6" t="s">
        <v>18</v>
      </c>
      <c r="E229" s="6" t="str">
        <f>"於倩雯"</f>
        <v>於倩雯</v>
      </c>
      <c r="F229" s="6" t="str">
        <f>"20237161426"</f>
        <v>20237161426</v>
      </c>
      <c r="G229" s="7">
        <v>92.1</v>
      </c>
      <c r="H229" s="7">
        <v>76.9</v>
      </c>
      <c r="I229" s="7">
        <v>82.98</v>
      </c>
      <c r="J229" s="5"/>
    </row>
    <row r="230" spans="1:10" ht="15.75" customHeight="1">
      <c r="A230" s="5">
        <v>228</v>
      </c>
      <c r="B230" s="6" t="str">
        <f t="shared" si="8"/>
        <v>2023109</v>
      </c>
      <c r="C230" s="6" t="s">
        <v>22</v>
      </c>
      <c r="D230" s="6" t="s">
        <v>18</v>
      </c>
      <c r="E230" s="6" t="str">
        <f>"孙娟娟"</f>
        <v>孙娟娟</v>
      </c>
      <c r="F230" s="6" t="str">
        <f>"20237161423"</f>
        <v>20237161423</v>
      </c>
      <c r="G230" s="7">
        <v>91.9</v>
      </c>
      <c r="H230" s="7">
        <v>76.8</v>
      </c>
      <c r="I230" s="7">
        <v>82.84</v>
      </c>
      <c r="J230" s="5"/>
    </row>
    <row r="231" spans="1:10" ht="15.75" customHeight="1">
      <c r="A231" s="5">
        <v>229</v>
      </c>
      <c r="B231" s="6" t="str">
        <f t="shared" si="8"/>
        <v>2023109</v>
      </c>
      <c r="C231" s="6" t="s">
        <v>22</v>
      </c>
      <c r="D231" s="6" t="s">
        <v>18</v>
      </c>
      <c r="E231" s="6" t="str">
        <f>"陆慧"</f>
        <v>陆慧</v>
      </c>
      <c r="F231" s="6" t="str">
        <f>"20237161417"</f>
        <v>20237161417</v>
      </c>
      <c r="G231" s="7">
        <v>73.35</v>
      </c>
      <c r="H231" s="7">
        <v>87.8</v>
      </c>
      <c r="I231" s="7">
        <v>82.02</v>
      </c>
      <c r="J231" s="5"/>
    </row>
    <row r="232" spans="1:10" ht="15.75" customHeight="1">
      <c r="A232" s="5">
        <v>230</v>
      </c>
      <c r="B232" s="6" t="str">
        <f t="shared" si="8"/>
        <v>2023109</v>
      </c>
      <c r="C232" s="6" t="s">
        <v>22</v>
      </c>
      <c r="D232" s="6" t="s">
        <v>18</v>
      </c>
      <c r="E232" s="6" t="str">
        <f>"秦敏敏"</f>
        <v>秦敏敏</v>
      </c>
      <c r="F232" s="6" t="str">
        <f>"20237161422"</f>
        <v>20237161422</v>
      </c>
      <c r="G232" s="7">
        <v>83.9</v>
      </c>
      <c r="H232" s="7">
        <v>76.5</v>
      </c>
      <c r="I232" s="7">
        <v>79.46</v>
      </c>
      <c r="J232" s="5"/>
    </row>
    <row r="233" spans="1:10" ht="15.75" customHeight="1">
      <c r="A233" s="5">
        <v>231</v>
      </c>
      <c r="B233" s="6" t="str">
        <f t="shared" si="8"/>
        <v>2023109</v>
      </c>
      <c r="C233" s="6" t="s">
        <v>22</v>
      </c>
      <c r="D233" s="6" t="s">
        <v>18</v>
      </c>
      <c r="E233" s="6" t="str">
        <f>"车文敬"</f>
        <v>车文敬</v>
      </c>
      <c r="F233" s="6" t="str">
        <f>"20237161414"</f>
        <v>20237161414</v>
      </c>
      <c r="G233" s="7">
        <v>86.55</v>
      </c>
      <c r="H233" s="7">
        <v>72.6</v>
      </c>
      <c r="I233" s="7">
        <v>78.18</v>
      </c>
      <c r="J233" s="5"/>
    </row>
    <row r="234" spans="1:10" ht="15.75" customHeight="1">
      <c r="A234" s="5">
        <v>232</v>
      </c>
      <c r="B234" s="6" t="str">
        <f t="shared" si="8"/>
        <v>2023109</v>
      </c>
      <c r="C234" s="6" t="s">
        <v>22</v>
      </c>
      <c r="D234" s="6" t="s">
        <v>18</v>
      </c>
      <c r="E234" s="6" t="str">
        <f>"张妙妙"</f>
        <v>张妙妙</v>
      </c>
      <c r="F234" s="6" t="str">
        <f>"20237161507"</f>
        <v>20237161507</v>
      </c>
      <c r="G234" s="7">
        <v>66.5</v>
      </c>
      <c r="H234" s="7">
        <v>84.9</v>
      </c>
      <c r="I234" s="7">
        <v>77.54</v>
      </c>
      <c r="J234" s="5"/>
    </row>
    <row r="235" spans="1:10" ht="15.75" customHeight="1">
      <c r="A235" s="5">
        <v>233</v>
      </c>
      <c r="B235" s="6" t="str">
        <f t="shared" si="8"/>
        <v>2023109</v>
      </c>
      <c r="C235" s="6" t="s">
        <v>22</v>
      </c>
      <c r="D235" s="6" t="s">
        <v>18</v>
      </c>
      <c r="E235" s="6" t="str">
        <f>"张艳"</f>
        <v>张艳</v>
      </c>
      <c r="F235" s="6" t="str">
        <f>"20237161430"</f>
        <v>20237161430</v>
      </c>
      <c r="G235" s="7">
        <v>79.4</v>
      </c>
      <c r="H235" s="7">
        <v>74.8</v>
      </c>
      <c r="I235" s="7">
        <v>76.64</v>
      </c>
      <c r="J235" s="5"/>
    </row>
    <row r="236" spans="1:10" ht="15.75" customHeight="1">
      <c r="A236" s="5">
        <v>234</v>
      </c>
      <c r="B236" s="6" t="str">
        <f t="shared" si="8"/>
        <v>2023109</v>
      </c>
      <c r="C236" s="6" t="s">
        <v>22</v>
      </c>
      <c r="D236" s="6" t="s">
        <v>18</v>
      </c>
      <c r="E236" s="6" t="str">
        <f>"杨慧琴"</f>
        <v>杨慧琴</v>
      </c>
      <c r="F236" s="6" t="str">
        <f>"20237161506"</f>
        <v>20237161506</v>
      </c>
      <c r="G236" s="7">
        <v>64.8</v>
      </c>
      <c r="H236" s="7">
        <v>81.1</v>
      </c>
      <c r="I236" s="7">
        <v>74.58</v>
      </c>
      <c r="J236" s="5"/>
    </row>
    <row r="237" spans="1:10" ht="15.75" customHeight="1">
      <c r="A237" s="5">
        <v>235</v>
      </c>
      <c r="B237" s="6" t="str">
        <f t="shared" si="8"/>
        <v>2023109</v>
      </c>
      <c r="C237" s="6" t="s">
        <v>22</v>
      </c>
      <c r="D237" s="6" t="s">
        <v>18</v>
      </c>
      <c r="E237" s="6" t="str">
        <f>"刘梦艳"</f>
        <v>刘梦艳</v>
      </c>
      <c r="F237" s="6" t="str">
        <f>"20237161425"</f>
        <v>20237161425</v>
      </c>
      <c r="G237" s="7">
        <v>71</v>
      </c>
      <c r="H237" s="7">
        <v>75.5</v>
      </c>
      <c r="I237" s="7">
        <v>73.7</v>
      </c>
      <c r="J237" s="5"/>
    </row>
    <row r="238" spans="1:10" ht="15.75" customHeight="1">
      <c r="A238" s="5">
        <v>236</v>
      </c>
      <c r="B238" s="6" t="str">
        <f t="shared" si="8"/>
        <v>2023109</v>
      </c>
      <c r="C238" s="6" t="s">
        <v>22</v>
      </c>
      <c r="D238" s="6" t="s">
        <v>18</v>
      </c>
      <c r="E238" s="6" t="str">
        <f>"随丽"</f>
        <v>随丽</v>
      </c>
      <c r="F238" s="6" t="str">
        <f>"20237161402"</f>
        <v>20237161402</v>
      </c>
      <c r="G238" s="7">
        <v>72.95</v>
      </c>
      <c r="H238" s="7">
        <v>71.6</v>
      </c>
      <c r="I238" s="7">
        <v>72.14</v>
      </c>
      <c r="J238" s="5"/>
    </row>
    <row r="239" spans="1:10" ht="15.75" customHeight="1">
      <c r="A239" s="5">
        <v>237</v>
      </c>
      <c r="B239" s="6" t="str">
        <f t="shared" si="8"/>
        <v>2023109</v>
      </c>
      <c r="C239" s="6" t="s">
        <v>22</v>
      </c>
      <c r="D239" s="6" t="s">
        <v>18</v>
      </c>
      <c r="E239" s="6" t="str">
        <f>"王亚婕"</f>
        <v>王亚婕</v>
      </c>
      <c r="F239" s="6" t="str">
        <f>"20237161509"</f>
        <v>20237161509</v>
      </c>
      <c r="G239" s="7">
        <v>71.3</v>
      </c>
      <c r="H239" s="7">
        <v>72.6</v>
      </c>
      <c r="I239" s="7">
        <v>72.08</v>
      </c>
      <c r="J239" s="5"/>
    </row>
    <row r="240" spans="1:10" ht="15.75" customHeight="1">
      <c r="A240" s="5">
        <v>238</v>
      </c>
      <c r="B240" s="6" t="str">
        <f t="shared" si="8"/>
        <v>2023109</v>
      </c>
      <c r="C240" s="6" t="s">
        <v>22</v>
      </c>
      <c r="D240" s="6" t="s">
        <v>18</v>
      </c>
      <c r="E240" s="6" t="str">
        <f>"龙祥"</f>
        <v>龙祥</v>
      </c>
      <c r="F240" s="6" t="str">
        <f>"20237161508"</f>
        <v>20237161508</v>
      </c>
      <c r="G240" s="7">
        <v>73.85</v>
      </c>
      <c r="H240" s="7">
        <v>69.6</v>
      </c>
      <c r="I240" s="7">
        <v>71.3</v>
      </c>
      <c r="J240" s="5"/>
    </row>
    <row r="241" spans="1:10" ht="15.75" customHeight="1">
      <c r="A241" s="5">
        <v>239</v>
      </c>
      <c r="B241" s="6" t="str">
        <f t="shared" si="8"/>
        <v>2023109</v>
      </c>
      <c r="C241" s="6" t="s">
        <v>22</v>
      </c>
      <c r="D241" s="6" t="s">
        <v>18</v>
      </c>
      <c r="E241" s="6" t="str">
        <f>"杨佳慧"</f>
        <v>杨佳慧</v>
      </c>
      <c r="F241" s="6" t="str">
        <f>"20237161502"</f>
        <v>20237161502</v>
      </c>
      <c r="G241" s="7">
        <v>73.75</v>
      </c>
      <c r="H241" s="7">
        <v>67</v>
      </c>
      <c r="I241" s="7">
        <v>69.7</v>
      </c>
      <c r="J241" s="5" t="s">
        <v>13</v>
      </c>
    </row>
    <row r="242" spans="1:10" ht="15.75" customHeight="1">
      <c r="A242" s="5">
        <v>240</v>
      </c>
      <c r="B242" s="6" t="str">
        <f t="shared" si="8"/>
        <v>2023109</v>
      </c>
      <c r="C242" s="6" t="s">
        <v>22</v>
      </c>
      <c r="D242" s="6" t="s">
        <v>18</v>
      </c>
      <c r="E242" s="6" t="str">
        <f>"张文若"</f>
        <v>张文若</v>
      </c>
      <c r="F242" s="6" t="str">
        <f>"20237161407"</f>
        <v>20237161407</v>
      </c>
      <c r="G242" s="7">
        <v>67.05</v>
      </c>
      <c r="H242" s="7">
        <v>70.7</v>
      </c>
      <c r="I242" s="7">
        <v>69.24</v>
      </c>
      <c r="J242" s="5" t="s">
        <v>13</v>
      </c>
    </row>
    <row r="243" spans="1:10" ht="15.75" customHeight="1">
      <c r="A243" s="5">
        <v>241</v>
      </c>
      <c r="B243" s="6" t="str">
        <f t="shared" si="8"/>
        <v>2023109</v>
      </c>
      <c r="C243" s="6" t="s">
        <v>22</v>
      </c>
      <c r="D243" s="6" t="s">
        <v>18</v>
      </c>
      <c r="E243" s="6" t="str">
        <f>"孙家琪"</f>
        <v>孙家琪</v>
      </c>
      <c r="F243" s="6" t="str">
        <f>"20237161418"</f>
        <v>20237161418</v>
      </c>
      <c r="G243" s="7">
        <v>70.45</v>
      </c>
      <c r="H243" s="7">
        <v>68.4</v>
      </c>
      <c r="I243" s="7">
        <v>69.22</v>
      </c>
      <c r="J243" s="5" t="s">
        <v>13</v>
      </c>
    </row>
    <row r="244" spans="1:10" ht="15.75" customHeight="1">
      <c r="A244" s="5">
        <v>242</v>
      </c>
      <c r="B244" s="6" t="str">
        <f t="shared" si="8"/>
        <v>2023109</v>
      </c>
      <c r="C244" s="6" t="s">
        <v>22</v>
      </c>
      <c r="D244" s="6" t="s">
        <v>18</v>
      </c>
      <c r="E244" s="6" t="str">
        <f>"赵梅梅"</f>
        <v>赵梅梅</v>
      </c>
      <c r="F244" s="6" t="str">
        <f>"20237161504"</f>
        <v>20237161504</v>
      </c>
      <c r="G244" s="7">
        <v>71.5</v>
      </c>
      <c r="H244" s="7">
        <v>62.8</v>
      </c>
      <c r="I244" s="7">
        <v>66.28</v>
      </c>
      <c r="J244" s="5" t="s">
        <v>13</v>
      </c>
    </row>
    <row r="245" spans="1:10" ht="15.75" customHeight="1">
      <c r="A245" s="5">
        <v>243</v>
      </c>
      <c r="B245" s="6" t="str">
        <f aca="true" t="shared" si="9" ref="B245:B274">"2023110"</f>
        <v>2023110</v>
      </c>
      <c r="C245" s="6" t="s">
        <v>23</v>
      </c>
      <c r="D245" s="6" t="s">
        <v>18</v>
      </c>
      <c r="E245" s="6" t="str">
        <f>"冯家晴"</f>
        <v>冯家晴</v>
      </c>
      <c r="F245" s="6" t="str">
        <f>"20237161617"</f>
        <v>20237161617</v>
      </c>
      <c r="G245" s="7">
        <v>104.75</v>
      </c>
      <c r="H245" s="7">
        <v>97.7</v>
      </c>
      <c r="I245" s="7">
        <v>100.52</v>
      </c>
      <c r="J245" s="5"/>
    </row>
    <row r="246" spans="1:10" ht="15.75" customHeight="1">
      <c r="A246" s="5">
        <v>244</v>
      </c>
      <c r="B246" s="6" t="str">
        <f t="shared" si="9"/>
        <v>2023110</v>
      </c>
      <c r="C246" s="6" t="s">
        <v>23</v>
      </c>
      <c r="D246" s="6" t="s">
        <v>18</v>
      </c>
      <c r="E246" s="6" t="str">
        <f>"张宇"</f>
        <v>张宇</v>
      </c>
      <c r="F246" s="6" t="str">
        <f>"20237161516"</f>
        <v>20237161516</v>
      </c>
      <c r="G246" s="7">
        <v>99.8</v>
      </c>
      <c r="H246" s="7">
        <v>100.6</v>
      </c>
      <c r="I246" s="7">
        <v>100.28</v>
      </c>
      <c r="J246" s="5"/>
    </row>
    <row r="247" spans="1:10" ht="15.75" customHeight="1">
      <c r="A247" s="5">
        <v>245</v>
      </c>
      <c r="B247" s="6" t="str">
        <f t="shared" si="9"/>
        <v>2023110</v>
      </c>
      <c r="C247" s="6" t="s">
        <v>23</v>
      </c>
      <c r="D247" s="6" t="s">
        <v>18</v>
      </c>
      <c r="E247" s="6" t="str">
        <f>"杨玉楠"</f>
        <v>杨玉楠</v>
      </c>
      <c r="F247" s="6" t="str">
        <f>"20237161521"</f>
        <v>20237161521</v>
      </c>
      <c r="G247" s="7">
        <v>99.4</v>
      </c>
      <c r="H247" s="7">
        <v>100.5</v>
      </c>
      <c r="I247" s="7">
        <v>100.06</v>
      </c>
      <c r="J247" s="5"/>
    </row>
    <row r="248" spans="1:10" ht="15.75" customHeight="1">
      <c r="A248" s="5">
        <v>246</v>
      </c>
      <c r="B248" s="6" t="str">
        <f t="shared" si="9"/>
        <v>2023110</v>
      </c>
      <c r="C248" s="6" t="s">
        <v>23</v>
      </c>
      <c r="D248" s="6" t="s">
        <v>18</v>
      </c>
      <c r="E248" s="6" t="str">
        <f>"屈静"</f>
        <v>屈静</v>
      </c>
      <c r="F248" s="6" t="str">
        <f>"20237161515"</f>
        <v>20237161515</v>
      </c>
      <c r="G248" s="7">
        <v>97.9</v>
      </c>
      <c r="H248" s="7">
        <v>100.5</v>
      </c>
      <c r="I248" s="7">
        <v>99.46</v>
      </c>
      <c r="J248" s="5"/>
    </row>
    <row r="249" spans="1:10" ht="15.75" customHeight="1">
      <c r="A249" s="5">
        <v>247</v>
      </c>
      <c r="B249" s="6" t="str">
        <f t="shared" si="9"/>
        <v>2023110</v>
      </c>
      <c r="C249" s="6" t="s">
        <v>23</v>
      </c>
      <c r="D249" s="6" t="s">
        <v>18</v>
      </c>
      <c r="E249" s="6" t="str">
        <f>"王飘飘"</f>
        <v>王飘飘</v>
      </c>
      <c r="F249" s="6" t="str">
        <f>"20237161514"</f>
        <v>20237161514</v>
      </c>
      <c r="G249" s="7">
        <v>107</v>
      </c>
      <c r="H249" s="7">
        <v>89</v>
      </c>
      <c r="I249" s="7">
        <v>96.2</v>
      </c>
      <c r="J249" s="5"/>
    </row>
    <row r="250" spans="1:10" ht="15.75" customHeight="1">
      <c r="A250" s="5">
        <v>248</v>
      </c>
      <c r="B250" s="6" t="str">
        <f t="shared" si="9"/>
        <v>2023110</v>
      </c>
      <c r="C250" s="6" t="s">
        <v>23</v>
      </c>
      <c r="D250" s="6" t="s">
        <v>18</v>
      </c>
      <c r="E250" s="6" t="str">
        <f>"纪梦晴"</f>
        <v>纪梦晴</v>
      </c>
      <c r="F250" s="6" t="str">
        <f>"20237161613"</f>
        <v>20237161613</v>
      </c>
      <c r="G250" s="7">
        <v>98.6</v>
      </c>
      <c r="H250" s="7">
        <v>93.6</v>
      </c>
      <c r="I250" s="7">
        <v>95.6</v>
      </c>
      <c r="J250" s="5"/>
    </row>
    <row r="251" spans="1:10" ht="15.75" customHeight="1">
      <c r="A251" s="5">
        <v>249</v>
      </c>
      <c r="B251" s="6" t="str">
        <f t="shared" si="9"/>
        <v>2023110</v>
      </c>
      <c r="C251" s="6" t="s">
        <v>23</v>
      </c>
      <c r="D251" s="6" t="s">
        <v>18</v>
      </c>
      <c r="E251" s="6" t="str">
        <f>"刘悦"</f>
        <v>刘悦</v>
      </c>
      <c r="F251" s="6" t="str">
        <f>"20237161604"</f>
        <v>20237161604</v>
      </c>
      <c r="G251" s="7">
        <v>97.1</v>
      </c>
      <c r="H251" s="7">
        <v>93.2</v>
      </c>
      <c r="I251" s="7">
        <v>94.76</v>
      </c>
      <c r="J251" s="5"/>
    </row>
    <row r="252" spans="1:10" ht="15.75" customHeight="1">
      <c r="A252" s="5">
        <v>250</v>
      </c>
      <c r="B252" s="6" t="str">
        <f t="shared" si="9"/>
        <v>2023110</v>
      </c>
      <c r="C252" s="6" t="s">
        <v>23</v>
      </c>
      <c r="D252" s="6" t="s">
        <v>18</v>
      </c>
      <c r="E252" s="6" t="str">
        <f>"纪娜娜"</f>
        <v>纪娜娜</v>
      </c>
      <c r="F252" s="6" t="str">
        <f>"20237161607"</f>
        <v>20237161607</v>
      </c>
      <c r="G252" s="7">
        <v>104.05</v>
      </c>
      <c r="H252" s="7">
        <v>87.3</v>
      </c>
      <c r="I252" s="7">
        <v>94</v>
      </c>
      <c r="J252" s="5"/>
    </row>
    <row r="253" spans="1:10" ht="15.75" customHeight="1">
      <c r="A253" s="5">
        <v>251</v>
      </c>
      <c r="B253" s="6" t="str">
        <f t="shared" si="9"/>
        <v>2023110</v>
      </c>
      <c r="C253" s="6" t="s">
        <v>23</v>
      </c>
      <c r="D253" s="6" t="s">
        <v>18</v>
      </c>
      <c r="E253" s="6" t="str">
        <f>"马亚丽"</f>
        <v>马亚丽</v>
      </c>
      <c r="F253" s="6" t="str">
        <f>"20237161526"</f>
        <v>20237161526</v>
      </c>
      <c r="G253" s="7">
        <v>85.95</v>
      </c>
      <c r="H253" s="7">
        <v>97.5</v>
      </c>
      <c r="I253" s="7">
        <v>92.88</v>
      </c>
      <c r="J253" s="5"/>
    </row>
    <row r="254" spans="1:10" ht="15.75" customHeight="1">
      <c r="A254" s="5">
        <v>252</v>
      </c>
      <c r="B254" s="6" t="str">
        <f t="shared" si="9"/>
        <v>2023110</v>
      </c>
      <c r="C254" s="6" t="s">
        <v>23</v>
      </c>
      <c r="D254" s="6" t="s">
        <v>18</v>
      </c>
      <c r="E254" s="6" t="str">
        <f>"刘慧"</f>
        <v>刘慧</v>
      </c>
      <c r="F254" s="6" t="str">
        <f>"20237161510"</f>
        <v>20237161510</v>
      </c>
      <c r="G254" s="7">
        <v>94.9</v>
      </c>
      <c r="H254" s="7">
        <v>90.2</v>
      </c>
      <c r="I254" s="7">
        <v>92.08</v>
      </c>
      <c r="J254" s="5"/>
    </row>
    <row r="255" spans="1:10" ht="15.75" customHeight="1">
      <c r="A255" s="5">
        <v>253</v>
      </c>
      <c r="B255" s="6" t="str">
        <f t="shared" si="9"/>
        <v>2023110</v>
      </c>
      <c r="C255" s="6" t="s">
        <v>23</v>
      </c>
      <c r="D255" s="6" t="s">
        <v>18</v>
      </c>
      <c r="E255" s="6" t="str">
        <f>"张月"</f>
        <v>张月</v>
      </c>
      <c r="F255" s="6" t="str">
        <f>"20237161524"</f>
        <v>20237161524</v>
      </c>
      <c r="G255" s="7">
        <v>90.8</v>
      </c>
      <c r="H255" s="7">
        <v>91.3</v>
      </c>
      <c r="I255" s="7">
        <v>91.1</v>
      </c>
      <c r="J255" s="5"/>
    </row>
    <row r="256" spans="1:10" ht="15.75" customHeight="1">
      <c r="A256" s="5">
        <v>254</v>
      </c>
      <c r="B256" s="6" t="str">
        <f t="shared" si="9"/>
        <v>2023110</v>
      </c>
      <c r="C256" s="6" t="s">
        <v>23</v>
      </c>
      <c r="D256" s="6" t="s">
        <v>18</v>
      </c>
      <c r="E256" s="6" t="str">
        <f>"王艳艳"</f>
        <v>王艳艳</v>
      </c>
      <c r="F256" s="6" t="str">
        <f>"20237161614"</f>
        <v>20237161614</v>
      </c>
      <c r="G256" s="7">
        <v>95.65</v>
      </c>
      <c r="H256" s="7">
        <v>86</v>
      </c>
      <c r="I256" s="7">
        <v>89.86</v>
      </c>
      <c r="J256" s="5"/>
    </row>
    <row r="257" spans="1:10" ht="15.75" customHeight="1">
      <c r="A257" s="5">
        <v>255</v>
      </c>
      <c r="B257" s="6" t="str">
        <f t="shared" si="9"/>
        <v>2023110</v>
      </c>
      <c r="C257" s="6" t="s">
        <v>23</v>
      </c>
      <c r="D257" s="6" t="s">
        <v>18</v>
      </c>
      <c r="E257" s="6" t="str">
        <f>"孙亚文"</f>
        <v>孙亚文</v>
      </c>
      <c r="F257" s="6" t="str">
        <f>"20237161518"</f>
        <v>20237161518</v>
      </c>
      <c r="G257" s="7">
        <v>90.6</v>
      </c>
      <c r="H257" s="7">
        <v>85.3</v>
      </c>
      <c r="I257" s="7">
        <v>87.42</v>
      </c>
      <c r="J257" s="5"/>
    </row>
    <row r="258" spans="1:10" ht="15.75" customHeight="1">
      <c r="A258" s="5">
        <v>256</v>
      </c>
      <c r="B258" s="6" t="str">
        <f t="shared" si="9"/>
        <v>2023110</v>
      </c>
      <c r="C258" s="6" t="s">
        <v>23</v>
      </c>
      <c r="D258" s="6" t="s">
        <v>18</v>
      </c>
      <c r="E258" s="6" t="str">
        <f>"张俊"</f>
        <v>张俊</v>
      </c>
      <c r="F258" s="6" t="str">
        <f>"20237161512"</f>
        <v>20237161512</v>
      </c>
      <c r="G258" s="7">
        <v>92.35</v>
      </c>
      <c r="H258" s="7">
        <v>83.3</v>
      </c>
      <c r="I258" s="7">
        <v>86.92</v>
      </c>
      <c r="J258" s="5"/>
    </row>
    <row r="259" spans="1:10" ht="15.75" customHeight="1">
      <c r="A259" s="5">
        <v>257</v>
      </c>
      <c r="B259" s="6" t="str">
        <f t="shared" si="9"/>
        <v>2023110</v>
      </c>
      <c r="C259" s="6" t="s">
        <v>23</v>
      </c>
      <c r="D259" s="6" t="s">
        <v>18</v>
      </c>
      <c r="E259" s="6" t="str">
        <f>"王淑雅"</f>
        <v>王淑雅</v>
      </c>
      <c r="F259" s="6" t="str">
        <f>"20237161525"</f>
        <v>20237161525</v>
      </c>
      <c r="G259" s="7">
        <v>88.05</v>
      </c>
      <c r="H259" s="7">
        <v>85.1</v>
      </c>
      <c r="I259" s="7">
        <v>86.28</v>
      </c>
      <c r="J259" s="5"/>
    </row>
    <row r="260" spans="1:10" ht="15.75" customHeight="1">
      <c r="A260" s="5">
        <v>258</v>
      </c>
      <c r="B260" s="6" t="str">
        <f t="shared" si="9"/>
        <v>2023110</v>
      </c>
      <c r="C260" s="6" t="s">
        <v>23</v>
      </c>
      <c r="D260" s="6" t="s">
        <v>18</v>
      </c>
      <c r="E260" s="6" t="str">
        <f>"孙靖如"</f>
        <v>孙靖如</v>
      </c>
      <c r="F260" s="6" t="str">
        <f>"20237161606"</f>
        <v>20237161606</v>
      </c>
      <c r="G260" s="7">
        <v>89.15</v>
      </c>
      <c r="H260" s="7">
        <v>81.8</v>
      </c>
      <c r="I260" s="7">
        <v>84.74</v>
      </c>
      <c r="J260" s="5"/>
    </row>
    <row r="261" spans="1:10" ht="15.75" customHeight="1">
      <c r="A261" s="5">
        <v>259</v>
      </c>
      <c r="B261" s="6" t="str">
        <f t="shared" si="9"/>
        <v>2023110</v>
      </c>
      <c r="C261" s="6" t="s">
        <v>23</v>
      </c>
      <c r="D261" s="6" t="s">
        <v>18</v>
      </c>
      <c r="E261" s="6" t="str">
        <f>"张瀚水"</f>
        <v>张瀚水</v>
      </c>
      <c r="F261" s="6" t="str">
        <f>"20237161612"</f>
        <v>20237161612</v>
      </c>
      <c r="G261" s="7">
        <v>89.2</v>
      </c>
      <c r="H261" s="7">
        <v>79.6</v>
      </c>
      <c r="I261" s="7">
        <v>83.44</v>
      </c>
      <c r="J261" s="5"/>
    </row>
    <row r="262" spans="1:10" ht="15.75" customHeight="1">
      <c r="A262" s="5">
        <v>260</v>
      </c>
      <c r="B262" s="6" t="str">
        <f t="shared" si="9"/>
        <v>2023110</v>
      </c>
      <c r="C262" s="6" t="s">
        <v>23</v>
      </c>
      <c r="D262" s="6" t="s">
        <v>18</v>
      </c>
      <c r="E262" s="6" t="str">
        <f>"耿慧慧"</f>
        <v>耿慧慧</v>
      </c>
      <c r="F262" s="6" t="str">
        <f>"20237161619"</f>
        <v>20237161619</v>
      </c>
      <c r="G262" s="7">
        <v>87.25</v>
      </c>
      <c r="H262" s="7">
        <v>79.8</v>
      </c>
      <c r="I262" s="7">
        <v>82.78</v>
      </c>
      <c r="J262" s="5"/>
    </row>
    <row r="263" spans="1:10" ht="15.75" customHeight="1">
      <c r="A263" s="5">
        <v>261</v>
      </c>
      <c r="B263" s="6" t="str">
        <f t="shared" si="9"/>
        <v>2023110</v>
      </c>
      <c r="C263" s="6" t="s">
        <v>23</v>
      </c>
      <c r="D263" s="6" t="s">
        <v>18</v>
      </c>
      <c r="E263" s="6" t="str">
        <f>"马红丽"</f>
        <v>马红丽</v>
      </c>
      <c r="F263" s="6" t="str">
        <f>"20237161511"</f>
        <v>20237161511</v>
      </c>
      <c r="G263" s="7">
        <v>73.25</v>
      </c>
      <c r="H263" s="7">
        <v>87.9</v>
      </c>
      <c r="I263" s="7">
        <v>82.04</v>
      </c>
      <c r="J263" s="5"/>
    </row>
    <row r="264" spans="1:10" ht="15.75" customHeight="1">
      <c r="A264" s="5">
        <v>262</v>
      </c>
      <c r="B264" s="6" t="str">
        <f t="shared" si="9"/>
        <v>2023110</v>
      </c>
      <c r="C264" s="6" t="s">
        <v>23</v>
      </c>
      <c r="D264" s="6" t="s">
        <v>18</v>
      </c>
      <c r="E264" s="6" t="str">
        <f>"徐层层"</f>
        <v>徐层层</v>
      </c>
      <c r="F264" s="6" t="str">
        <f>"20237161530"</f>
        <v>20237161530</v>
      </c>
      <c r="G264" s="7">
        <v>80.3</v>
      </c>
      <c r="H264" s="7">
        <v>81.9</v>
      </c>
      <c r="I264" s="7">
        <v>81.26</v>
      </c>
      <c r="J264" s="5"/>
    </row>
    <row r="265" spans="1:10" ht="15.75" customHeight="1">
      <c r="A265" s="5">
        <v>263</v>
      </c>
      <c r="B265" s="6" t="str">
        <f t="shared" si="9"/>
        <v>2023110</v>
      </c>
      <c r="C265" s="6" t="s">
        <v>23</v>
      </c>
      <c r="D265" s="6" t="s">
        <v>18</v>
      </c>
      <c r="E265" s="6" t="str">
        <f>"姚莎莎"</f>
        <v>姚莎莎</v>
      </c>
      <c r="F265" s="6" t="str">
        <f>"20237161529"</f>
        <v>20237161529</v>
      </c>
      <c r="G265" s="7">
        <v>70.7</v>
      </c>
      <c r="H265" s="7">
        <v>87.3</v>
      </c>
      <c r="I265" s="7">
        <v>80.66</v>
      </c>
      <c r="J265" s="5"/>
    </row>
    <row r="266" spans="1:10" ht="15.75" customHeight="1">
      <c r="A266" s="5">
        <v>264</v>
      </c>
      <c r="B266" s="6" t="str">
        <f t="shared" si="9"/>
        <v>2023110</v>
      </c>
      <c r="C266" s="6" t="s">
        <v>23</v>
      </c>
      <c r="D266" s="6" t="s">
        <v>18</v>
      </c>
      <c r="E266" s="6" t="str">
        <f>"张庆庆"</f>
        <v>张庆庆</v>
      </c>
      <c r="F266" s="6" t="str">
        <f>"20237161513"</f>
        <v>20237161513</v>
      </c>
      <c r="G266" s="7">
        <v>85.55</v>
      </c>
      <c r="H266" s="7">
        <v>77.1</v>
      </c>
      <c r="I266" s="7">
        <v>80.48</v>
      </c>
      <c r="J266" s="5"/>
    </row>
    <row r="267" spans="1:10" ht="15.75" customHeight="1">
      <c r="A267" s="5">
        <v>265</v>
      </c>
      <c r="B267" s="6" t="str">
        <f t="shared" si="9"/>
        <v>2023110</v>
      </c>
      <c r="C267" s="6" t="s">
        <v>23</v>
      </c>
      <c r="D267" s="6" t="s">
        <v>18</v>
      </c>
      <c r="E267" s="6" t="str">
        <f>"相星星"</f>
        <v>相星星</v>
      </c>
      <c r="F267" s="6" t="str">
        <f>"20237161520"</f>
        <v>20237161520</v>
      </c>
      <c r="G267" s="7">
        <v>68.8</v>
      </c>
      <c r="H267" s="7">
        <v>87.7</v>
      </c>
      <c r="I267" s="7">
        <v>80.14</v>
      </c>
      <c r="J267" s="5"/>
    </row>
    <row r="268" spans="1:10" ht="15.75" customHeight="1">
      <c r="A268" s="5">
        <v>266</v>
      </c>
      <c r="B268" s="6" t="str">
        <f t="shared" si="9"/>
        <v>2023110</v>
      </c>
      <c r="C268" s="6" t="s">
        <v>23</v>
      </c>
      <c r="D268" s="6" t="s">
        <v>18</v>
      </c>
      <c r="E268" s="6" t="str">
        <f>"陈蝶蝶"</f>
        <v>陈蝶蝶</v>
      </c>
      <c r="F268" s="6" t="str">
        <f>"20237161602"</f>
        <v>20237161602</v>
      </c>
      <c r="G268" s="7">
        <v>75</v>
      </c>
      <c r="H268" s="7">
        <v>81.6</v>
      </c>
      <c r="I268" s="7">
        <v>78.96</v>
      </c>
      <c r="J268" s="5"/>
    </row>
    <row r="269" spans="1:10" ht="15.75" customHeight="1">
      <c r="A269" s="5">
        <v>267</v>
      </c>
      <c r="B269" s="6" t="str">
        <f t="shared" si="9"/>
        <v>2023110</v>
      </c>
      <c r="C269" s="6" t="s">
        <v>23</v>
      </c>
      <c r="D269" s="6" t="s">
        <v>18</v>
      </c>
      <c r="E269" s="6" t="str">
        <f>"张紫旋"</f>
        <v>张紫旋</v>
      </c>
      <c r="F269" s="6" t="str">
        <f>"20237161609"</f>
        <v>20237161609</v>
      </c>
      <c r="G269" s="7">
        <v>83.05</v>
      </c>
      <c r="H269" s="7">
        <v>75</v>
      </c>
      <c r="I269" s="7">
        <v>78.22</v>
      </c>
      <c r="J269" s="5"/>
    </row>
    <row r="270" spans="1:10" ht="15.75" customHeight="1">
      <c r="A270" s="5">
        <v>268</v>
      </c>
      <c r="B270" s="6" t="str">
        <f t="shared" si="9"/>
        <v>2023110</v>
      </c>
      <c r="C270" s="6" t="s">
        <v>23</v>
      </c>
      <c r="D270" s="6" t="s">
        <v>18</v>
      </c>
      <c r="E270" s="6" t="str">
        <f>"邓宁"</f>
        <v>邓宁</v>
      </c>
      <c r="F270" s="6" t="str">
        <f>"20237161610"</f>
        <v>20237161610</v>
      </c>
      <c r="G270" s="7">
        <v>73.85</v>
      </c>
      <c r="H270" s="7">
        <v>80.6</v>
      </c>
      <c r="I270" s="7">
        <v>77.9</v>
      </c>
      <c r="J270" s="5"/>
    </row>
    <row r="271" spans="1:10" ht="15.75" customHeight="1">
      <c r="A271" s="5">
        <v>269</v>
      </c>
      <c r="B271" s="6" t="str">
        <f t="shared" si="9"/>
        <v>2023110</v>
      </c>
      <c r="C271" s="6" t="s">
        <v>23</v>
      </c>
      <c r="D271" s="6" t="s">
        <v>18</v>
      </c>
      <c r="E271" s="6" t="str">
        <f>"张岩"</f>
        <v>张岩</v>
      </c>
      <c r="F271" s="6" t="str">
        <f>"20237161616"</f>
        <v>20237161616</v>
      </c>
      <c r="G271" s="7">
        <v>69.3</v>
      </c>
      <c r="H271" s="7">
        <v>82.9</v>
      </c>
      <c r="I271" s="7">
        <v>77.46</v>
      </c>
      <c r="J271" s="5"/>
    </row>
    <row r="272" spans="1:10" ht="15.75" customHeight="1">
      <c r="A272" s="5">
        <v>270</v>
      </c>
      <c r="B272" s="6" t="str">
        <f t="shared" si="9"/>
        <v>2023110</v>
      </c>
      <c r="C272" s="6" t="s">
        <v>23</v>
      </c>
      <c r="D272" s="6" t="s">
        <v>18</v>
      </c>
      <c r="E272" s="6" t="str">
        <f>"郭梦晨"</f>
        <v>郭梦晨</v>
      </c>
      <c r="F272" s="6" t="str">
        <f>"20237161615"</f>
        <v>20237161615</v>
      </c>
      <c r="G272" s="7">
        <v>67.5</v>
      </c>
      <c r="H272" s="7">
        <v>78.2</v>
      </c>
      <c r="I272" s="7">
        <v>73.92</v>
      </c>
      <c r="J272" s="5" t="s">
        <v>13</v>
      </c>
    </row>
    <row r="273" spans="1:10" ht="15.75" customHeight="1">
      <c r="A273" s="5">
        <v>271</v>
      </c>
      <c r="B273" s="6" t="str">
        <f t="shared" si="9"/>
        <v>2023110</v>
      </c>
      <c r="C273" s="6" t="s">
        <v>23</v>
      </c>
      <c r="D273" s="6" t="s">
        <v>18</v>
      </c>
      <c r="E273" s="6" t="str">
        <f>"杨雪儿"</f>
        <v>杨雪儿</v>
      </c>
      <c r="F273" s="6" t="str">
        <f>"20237161523"</f>
        <v>20237161523</v>
      </c>
      <c r="G273" s="7">
        <v>69.3</v>
      </c>
      <c r="H273" s="7">
        <v>76.6</v>
      </c>
      <c r="I273" s="7">
        <v>73.68</v>
      </c>
      <c r="J273" s="5" t="s">
        <v>13</v>
      </c>
    </row>
    <row r="274" spans="1:10" ht="15.75" customHeight="1">
      <c r="A274" s="5">
        <v>272</v>
      </c>
      <c r="B274" s="6" t="str">
        <f t="shared" si="9"/>
        <v>2023110</v>
      </c>
      <c r="C274" s="6" t="s">
        <v>23</v>
      </c>
      <c r="D274" s="6" t="s">
        <v>18</v>
      </c>
      <c r="E274" s="6" t="str">
        <f>"朱雅茹"</f>
        <v>朱雅茹</v>
      </c>
      <c r="F274" s="6" t="str">
        <f>"20237161519"</f>
        <v>20237161519</v>
      </c>
      <c r="G274" s="7">
        <v>71.55</v>
      </c>
      <c r="H274" s="7">
        <v>72.6</v>
      </c>
      <c r="I274" s="7">
        <v>72.18</v>
      </c>
      <c r="J274" s="5" t="s">
        <v>13</v>
      </c>
    </row>
    <row r="275" spans="1:10" ht="15.75" customHeight="1">
      <c r="A275" s="5">
        <v>273</v>
      </c>
      <c r="B275" s="6" t="str">
        <f aca="true" t="shared" si="10" ref="B275:B304">"2023111"</f>
        <v>2023111</v>
      </c>
      <c r="C275" s="6" t="s">
        <v>24</v>
      </c>
      <c r="D275" s="6" t="s">
        <v>18</v>
      </c>
      <c r="E275" s="6" t="str">
        <f>"董莉文"</f>
        <v>董莉文</v>
      </c>
      <c r="F275" s="6" t="str">
        <f>"20237161711"</f>
        <v>20237161711</v>
      </c>
      <c r="G275" s="7">
        <v>102.5</v>
      </c>
      <c r="H275" s="7">
        <v>94.7</v>
      </c>
      <c r="I275" s="7">
        <v>97.82</v>
      </c>
      <c r="J275" s="5"/>
    </row>
    <row r="276" spans="1:10" ht="15.75" customHeight="1">
      <c r="A276" s="5">
        <v>274</v>
      </c>
      <c r="B276" s="6" t="str">
        <f t="shared" si="10"/>
        <v>2023111</v>
      </c>
      <c r="C276" s="6" t="s">
        <v>24</v>
      </c>
      <c r="D276" s="6" t="s">
        <v>18</v>
      </c>
      <c r="E276" s="6" t="str">
        <f>"黄丽娜"</f>
        <v>黄丽娜</v>
      </c>
      <c r="F276" s="6" t="str">
        <f>"20237161704"</f>
        <v>20237161704</v>
      </c>
      <c r="G276" s="7">
        <v>107.8</v>
      </c>
      <c r="H276" s="7">
        <v>89.3</v>
      </c>
      <c r="I276" s="7">
        <v>96.7</v>
      </c>
      <c r="J276" s="5"/>
    </row>
    <row r="277" spans="1:10" ht="15.75" customHeight="1">
      <c r="A277" s="5">
        <v>275</v>
      </c>
      <c r="B277" s="6" t="str">
        <f t="shared" si="10"/>
        <v>2023111</v>
      </c>
      <c r="C277" s="6" t="s">
        <v>24</v>
      </c>
      <c r="D277" s="6" t="s">
        <v>18</v>
      </c>
      <c r="E277" s="6" t="str">
        <f>"李天惠"</f>
        <v>李天惠</v>
      </c>
      <c r="F277" s="6" t="str">
        <f>"20237161718"</f>
        <v>20237161718</v>
      </c>
      <c r="G277" s="7">
        <v>100</v>
      </c>
      <c r="H277" s="7">
        <v>84.8</v>
      </c>
      <c r="I277" s="7">
        <v>90.88</v>
      </c>
      <c r="J277" s="5"/>
    </row>
    <row r="278" spans="1:10" ht="15.75" customHeight="1">
      <c r="A278" s="5">
        <v>276</v>
      </c>
      <c r="B278" s="6" t="str">
        <f t="shared" si="10"/>
        <v>2023111</v>
      </c>
      <c r="C278" s="6" t="s">
        <v>24</v>
      </c>
      <c r="D278" s="6" t="s">
        <v>18</v>
      </c>
      <c r="E278" s="6" t="str">
        <f>"刘佳卉"</f>
        <v>刘佳卉</v>
      </c>
      <c r="F278" s="6" t="str">
        <f>"20237161722"</f>
        <v>20237161722</v>
      </c>
      <c r="G278" s="7">
        <v>102.65</v>
      </c>
      <c r="H278" s="7">
        <v>82.6</v>
      </c>
      <c r="I278" s="7">
        <v>90.62</v>
      </c>
      <c r="J278" s="5"/>
    </row>
    <row r="279" spans="1:10" ht="15.75" customHeight="1">
      <c r="A279" s="5">
        <v>277</v>
      </c>
      <c r="B279" s="6" t="str">
        <f t="shared" si="10"/>
        <v>2023111</v>
      </c>
      <c r="C279" s="6" t="s">
        <v>24</v>
      </c>
      <c r="D279" s="6" t="s">
        <v>18</v>
      </c>
      <c r="E279" s="6" t="str">
        <f>"李雪梅"</f>
        <v>李雪梅</v>
      </c>
      <c r="F279" s="6" t="str">
        <f>"20237161702"</f>
        <v>20237161702</v>
      </c>
      <c r="G279" s="7">
        <v>88.75</v>
      </c>
      <c r="H279" s="7">
        <v>91.5</v>
      </c>
      <c r="I279" s="7">
        <v>90.4</v>
      </c>
      <c r="J279" s="5"/>
    </row>
    <row r="280" spans="1:10" ht="15.75" customHeight="1">
      <c r="A280" s="5">
        <v>278</v>
      </c>
      <c r="B280" s="6" t="str">
        <f t="shared" si="10"/>
        <v>2023111</v>
      </c>
      <c r="C280" s="6" t="s">
        <v>24</v>
      </c>
      <c r="D280" s="6" t="s">
        <v>18</v>
      </c>
      <c r="E280" s="6" t="str">
        <f>"付晴"</f>
        <v>付晴</v>
      </c>
      <c r="F280" s="6" t="str">
        <f>"20237161715"</f>
        <v>20237161715</v>
      </c>
      <c r="G280" s="7">
        <v>89.6</v>
      </c>
      <c r="H280" s="7">
        <v>89.9</v>
      </c>
      <c r="I280" s="7">
        <v>89.78</v>
      </c>
      <c r="J280" s="5"/>
    </row>
    <row r="281" spans="1:10" ht="15.75" customHeight="1">
      <c r="A281" s="5">
        <v>279</v>
      </c>
      <c r="B281" s="6" t="str">
        <f t="shared" si="10"/>
        <v>2023111</v>
      </c>
      <c r="C281" s="6" t="s">
        <v>24</v>
      </c>
      <c r="D281" s="6" t="s">
        <v>18</v>
      </c>
      <c r="E281" s="6" t="str">
        <f>"韩园园"</f>
        <v>韩园园</v>
      </c>
      <c r="F281" s="6" t="str">
        <f>"20237161719"</f>
        <v>20237161719</v>
      </c>
      <c r="G281" s="7">
        <v>99.2</v>
      </c>
      <c r="H281" s="7">
        <v>81.8</v>
      </c>
      <c r="I281" s="7">
        <v>88.76</v>
      </c>
      <c r="J281" s="5"/>
    </row>
    <row r="282" spans="1:10" ht="15.75" customHeight="1">
      <c r="A282" s="5">
        <v>280</v>
      </c>
      <c r="B282" s="6" t="str">
        <f t="shared" si="10"/>
        <v>2023111</v>
      </c>
      <c r="C282" s="6" t="s">
        <v>24</v>
      </c>
      <c r="D282" s="6" t="s">
        <v>18</v>
      </c>
      <c r="E282" s="6" t="str">
        <f>"高梦梦"</f>
        <v>高梦梦</v>
      </c>
      <c r="F282" s="6" t="str">
        <f>"20237161728"</f>
        <v>20237161728</v>
      </c>
      <c r="G282" s="7">
        <v>97.65</v>
      </c>
      <c r="H282" s="7">
        <v>80.6</v>
      </c>
      <c r="I282" s="7">
        <v>87.42</v>
      </c>
      <c r="J282" s="5"/>
    </row>
    <row r="283" spans="1:10" ht="15.75" customHeight="1">
      <c r="A283" s="5">
        <v>281</v>
      </c>
      <c r="B283" s="6" t="str">
        <f t="shared" si="10"/>
        <v>2023111</v>
      </c>
      <c r="C283" s="6" t="s">
        <v>24</v>
      </c>
      <c r="D283" s="6" t="s">
        <v>18</v>
      </c>
      <c r="E283" s="6" t="str">
        <f>"王娅楠"</f>
        <v>王娅楠</v>
      </c>
      <c r="F283" s="6" t="str">
        <f>"20237161630"</f>
        <v>20237161630</v>
      </c>
      <c r="G283" s="7">
        <v>92.75</v>
      </c>
      <c r="H283" s="7">
        <v>83.6</v>
      </c>
      <c r="I283" s="7">
        <v>87.26</v>
      </c>
      <c r="J283" s="5"/>
    </row>
    <row r="284" spans="1:10" ht="15.75" customHeight="1">
      <c r="A284" s="5">
        <v>282</v>
      </c>
      <c r="B284" s="6" t="str">
        <f t="shared" si="10"/>
        <v>2023111</v>
      </c>
      <c r="C284" s="6" t="s">
        <v>24</v>
      </c>
      <c r="D284" s="6" t="s">
        <v>18</v>
      </c>
      <c r="E284" s="6" t="str">
        <f>"王欣欣"</f>
        <v>王欣欣</v>
      </c>
      <c r="F284" s="6" t="str">
        <f>"20237161709"</f>
        <v>20237161709</v>
      </c>
      <c r="G284" s="7">
        <v>85.9</v>
      </c>
      <c r="H284" s="7">
        <v>87.9</v>
      </c>
      <c r="I284" s="7">
        <v>87.1</v>
      </c>
      <c r="J284" s="5"/>
    </row>
    <row r="285" spans="1:10" ht="15.75" customHeight="1">
      <c r="A285" s="5">
        <v>283</v>
      </c>
      <c r="B285" s="6" t="str">
        <f t="shared" si="10"/>
        <v>2023111</v>
      </c>
      <c r="C285" s="6" t="s">
        <v>24</v>
      </c>
      <c r="D285" s="6" t="s">
        <v>18</v>
      </c>
      <c r="E285" s="6" t="str">
        <f>"许梦雅"</f>
        <v>许梦雅</v>
      </c>
      <c r="F285" s="6" t="str">
        <f>"20237161703"</f>
        <v>20237161703</v>
      </c>
      <c r="G285" s="7">
        <v>84.85</v>
      </c>
      <c r="H285" s="7">
        <v>85.4</v>
      </c>
      <c r="I285" s="7">
        <v>85.18</v>
      </c>
      <c r="J285" s="5"/>
    </row>
    <row r="286" spans="1:10" ht="15.75" customHeight="1">
      <c r="A286" s="5">
        <v>284</v>
      </c>
      <c r="B286" s="6" t="str">
        <f t="shared" si="10"/>
        <v>2023111</v>
      </c>
      <c r="C286" s="6" t="s">
        <v>24</v>
      </c>
      <c r="D286" s="6" t="s">
        <v>18</v>
      </c>
      <c r="E286" s="6" t="str">
        <f>"孙利敏"</f>
        <v>孙利敏</v>
      </c>
      <c r="F286" s="6" t="str">
        <f>"20237161729"</f>
        <v>20237161729</v>
      </c>
      <c r="G286" s="7">
        <v>86.4</v>
      </c>
      <c r="H286" s="7">
        <v>84.2</v>
      </c>
      <c r="I286" s="7">
        <v>85.08</v>
      </c>
      <c r="J286" s="5"/>
    </row>
    <row r="287" spans="1:10" ht="15.75" customHeight="1">
      <c r="A287" s="5">
        <v>285</v>
      </c>
      <c r="B287" s="6" t="str">
        <f t="shared" si="10"/>
        <v>2023111</v>
      </c>
      <c r="C287" s="6" t="s">
        <v>24</v>
      </c>
      <c r="D287" s="6" t="s">
        <v>18</v>
      </c>
      <c r="E287" s="6" t="str">
        <f>"陈坤侠"</f>
        <v>陈坤侠</v>
      </c>
      <c r="F287" s="6" t="str">
        <f>"20237161705"</f>
        <v>20237161705</v>
      </c>
      <c r="G287" s="7">
        <v>88.6</v>
      </c>
      <c r="H287" s="7">
        <v>82.1</v>
      </c>
      <c r="I287" s="7">
        <v>84.7</v>
      </c>
      <c r="J287" s="5"/>
    </row>
    <row r="288" spans="1:10" ht="15.75" customHeight="1">
      <c r="A288" s="5">
        <v>286</v>
      </c>
      <c r="B288" s="6" t="str">
        <f t="shared" si="10"/>
        <v>2023111</v>
      </c>
      <c r="C288" s="6" t="s">
        <v>24</v>
      </c>
      <c r="D288" s="6" t="s">
        <v>18</v>
      </c>
      <c r="E288" s="6" t="str">
        <f>"秦紫薇"</f>
        <v>秦紫薇</v>
      </c>
      <c r="F288" s="6" t="str">
        <f>"20237161629"</f>
        <v>20237161629</v>
      </c>
      <c r="G288" s="7">
        <v>82.75</v>
      </c>
      <c r="H288" s="7">
        <v>85.9</v>
      </c>
      <c r="I288" s="7">
        <v>84.64</v>
      </c>
      <c r="J288" s="5"/>
    </row>
    <row r="289" spans="1:10" ht="15.75" customHeight="1">
      <c r="A289" s="5">
        <v>287</v>
      </c>
      <c r="B289" s="6" t="str">
        <f t="shared" si="10"/>
        <v>2023111</v>
      </c>
      <c r="C289" s="6" t="s">
        <v>24</v>
      </c>
      <c r="D289" s="6" t="s">
        <v>18</v>
      </c>
      <c r="E289" s="6" t="str">
        <f>"张雅情"</f>
        <v>张雅情</v>
      </c>
      <c r="F289" s="6" t="str">
        <f>"20237161625"</f>
        <v>20237161625</v>
      </c>
      <c r="G289" s="7">
        <v>81.4</v>
      </c>
      <c r="H289" s="7">
        <v>85.9</v>
      </c>
      <c r="I289" s="7">
        <v>84.1</v>
      </c>
      <c r="J289" s="5"/>
    </row>
    <row r="290" spans="1:10" ht="15.75" customHeight="1">
      <c r="A290" s="5">
        <v>288</v>
      </c>
      <c r="B290" s="6" t="str">
        <f t="shared" si="10"/>
        <v>2023111</v>
      </c>
      <c r="C290" s="6" t="s">
        <v>24</v>
      </c>
      <c r="D290" s="6" t="s">
        <v>18</v>
      </c>
      <c r="E290" s="6" t="str">
        <f>"李梦如"</f>
        <v>李梦如</v>
      </c>
      <c r="F290" s="6" t="str">
        <f>"20237161720"</f>
        <v>20237161720</v>
      </c>
      <c r="G290" s="7">
        <v>91.25</v>
      </c>
      <c r="H290" s="7">
        <v>79</v>
      </c>
      <c r="I290" s="7">
        <v>83.9</v>
      </c>
      <c r="J290" s="5"/>
    </row>
    <row r="291" spans="1:10" ht="15.75" customHeight="1">
      <c r="A291" s="5">
        <v>289</v>
      </c>
      <c r="B291" s="6" t="str">
        <f t="shared" si="10"/>
        <v>2023111</v>
      </c>
      <c r="C291" s="6" t="s">
        <v>24</v>
      </c>
      <c r="D291" s="6" t="s">
        <v>18</v>
      </c>
      <c r="E291" s="6" t="str">
        <f>"王雪婷"</f>
        <v>王雪婷</v>
      </c>
      <c r="F291" s="6" t="str">
        <f>"20237161626"</f>
        <v>20237161626</v>
      </c>
      <c r="G291" s="7">
        <v>80.25</v>
      </c>
      <c r="H291" s="7">
        <v>85.3</v>
      </c>
      <c r="I291" s="7">
        <v>83.28</v>
      </c>
      <c r="J291" s="5"/>
    </row>
    <row r="292" spans="1:10" ht="15.75" customHeight="1">
      <c r="A292" s="5">
        <v>290</v>
      </c>
      <c r="B292" s="6" t="str">
        <f t="shared" si="10"/>
        <v>2023111</v>
      </c>
      <c r="C292" s="6" t="s">
        <v>24</v>
      </c>
      <c r="D292" s="6" t="s">
        <v>18</v>
      </c>
      <c r="E292" s="6" t="str">
        <f>"宫晨晴"</f>
        <v>宫晨晴</v>
      </c>
      <c r="F292" s="6" t="str">
        <f>"20237161621"</f>
        <v>20237161621</v>
      </c>
      <c r="G292" s="7">
        <v>89.05</v>
      </c>
      <c r="H292" s="7">
        <v>78.8</v>
      </c>
      <c r="I292" s="7">
        <v>82.9</v>
      </c>
      <c r="J292" s="5"/>
    </row>
    <row r="293" spans="1:10" ht="15.75" customHeight="1">
      <c r="A293" s="5">
        <v>291</v>
      </c>
      <c r="B293" s="6" t="str">
        <f t="shared" si="10"/>
        <v>2023111</v>
      </c>
      <c r="C293" s="6" t="s">
        <v>24</v>
      </c>
      <c r="D293" s="6" t="s">
        <v>18</v>
      </c>
      <c r="E293" s="6" t="str">
        <f>"徐梦莉"</f>
        <v>徐梦莉</v>
      </c>
      <c r="F293" s="6" t="str">
        <f>"20237161730"</f>
        <v>20237161730</v>
      </c>
      <c r="G293" s="7">
        <v>79.85</v>
      </c>
      <c r="H293" s="7">
        <v>84.5</v>
      </c>
      <c r="I293" s="7">
        <v>82.64</v>
      </c>
      <c r="J293" s="5"/>
    </row>
    <row r="294" spans="1:10" ht="15.75" customHeight="1">
      <c r="A294" s="5">
        <v>292</v>
      </c>
      <c r="B294" s="6" t="str">
        <f t="shared" si="10"/>
        <v>2023111</v>
      </c>
      <c r="C294" s="6" t="s">
        <v>24</v>
      </c>
      <c r="D294" s="6" t="s">
        <v>18</v>
      </c>
      <c r="E294" s="6" t="str">
        <f>"高佳宁"</f>
        <v>高佳宁</v>
      </c>
      <c r="F294" s="6" t="str">
        <f>"20237161712"</f>
        <v>20237161712</v>
      </c>
      <c r="G294" s="7">
        <v>83.1</v>
      </c>
      <c r="H294" s="7">
        <v>81.6</v>
      </c>
      <c r="I294" s="7">
        <v>82.2</v>
      </c>
      <c r="J294" s="5"/>
    </row>
    <row r="295" spans="1:10" ht="15.75" customHeight="1">
      <c r="A295" s="5">
        <v>293</v>
      </c>
      <c r="B295" s="6" t="str">
        <f t="shared" si="10"/>
        <v>2023111</v>
      </c>
      <c r="C295" s="6" t="s">
        <v>24</v>
      </c>
      <c r="D295" s="6" t="s">
        <v>18</v>
      </c>
      <c r="E295" s="6" t="str">
        <f>"李娜娜"</f>
        <v>李娜娜</v>
      </c>
      <c r="F295" s="6" t="str">
        <f>"20237161622"</f>
        <v>20237161622</v>
      </c>
      <c r="G295" s="7">
        <v>84.3</v>
      </c>
      <c r="H295" s="7">
        <v>79</v>
      </c>
      <c r="I295" s="7">
        <v>81.12</v>
      </c>
      <c r="J295" s="5"/>
    </row>
    <row r="296" spans="1:10" ht="15.75" customHeight="1">
      <c r="A296" s="5">
        <v>294</v>
      </c>
      <c r="B296" s="6" t="str">
        <f t="shared" si="10"/>
        <v>2023111</v>
      </c>
      <c r="C296" s="6" t="s">
        <v>24</v>
      </c>
      <c r="D296" s="6" t="s">
        <v>18</v>
      </c>
      <c r="E296" s="6" t="str">
        <f>"魏雪丽"</f>
        <v>魏雪丽</v>
      </c>
      <c r="F296" s="6" t="str">
        <f>"20237161727"</f>
        <v>20237161727</v>
      </c>
      <c r="G296" s="7">
        <v>79</v>
      </c>
      <c r="H296" s="7">
        <v>80.5</v>
      </c>
      <c r="I296" s="7">
        <v>79.9</v>
      </c>
      <c r="J296" s="5"/>
    </row>
    <row r="297" spans="1:10" ht="15.75" customHeight="1">
      <c r="A297" s="5">
        <v>295</v>
      </c>
      <c r="B297" s="6" t="str">
        <f t="shared" si="10"/>
        <v>2023111</v>
      </c>
      <c r="C297" s="6" t="s">
        <v>24</v>
      </c>
      <c r="D297" s="6" t="s">
        <v>18</v>
      </c>
      <c r="E297" s="6" t="str">
        <f>"刘欣梅"</f>
        <v>刘欣梅</v>
      </c>
      <c r="F297" s="6" t="str">
        <f>"20237161713"</f>
        <v>20237161713</v>
      </c>
      <c r="G297" s="7">
        <v>69.35</v>
      </c>
      <c r="H297" s="7">
        <v>86.7</v>
      </c>
      <c r="I297" s="7">
        <v>79.76</v>
      </c>
      <c r="J297" s="5"/>
    </row>
    <row r="298" spans="1:10" ht="15.75" customHeight="1">
      <c r="A298" s="5">
        <v>296</v>
      </c>
      <c r="B298" s="6" t="str">
        <f t="shared" si="10"/>
        <v>2023111</v>
      </c>
      <c r="C298" s="6" t="s">
        <v>24</v>
      </c>
      <c r="D298" s="6" t="s">
        <v>18</v>
      </c>
      <c r="E298" s="6" t="str">
        <f>"李静"</f>
        <v>李静</v>
      </c>
      <c r="F298" s="6" t="str">
        <f>"20237161725"</f>
        <v>20237161725</v>
      </c>
      <c r="G298" s="7">
        <v>85.05</v>
      </c>
      <c r="H298" s="7">
        <v>70.7</v>
      </c>
      <c r="I298" s="7">
        <v>76.44</v>
      </c>
      <c r="J298" s="5"/>
    </row>
    <row r="299" spans="1:10" ht="15.75" customHeight="1">
      <c r="A299" s="5">
        <v>297</v>
      </c>
      <c r="B299" s="6" t="str">
        <f t="shared" si="10"/>
        <v>2023111</v>
      </c>
      <c r="C299" s="6" t="s">
        <v>24</v>
      </c>
      <c r="D299" s="6" t="s">
        <v>18</v>
      </c>
      <c r="E299" s="6" t="str">
        <f>"徐小娜"</f>
        <v>徐小娜</v>
      </c>
      <c r="F299" s="6" t="str">
        <f>"20237161627"</f>
        <v>20237161627</v>
      </c>
      <c r="G299" s="7">
        <v>73.1</v>
      </c>
      <c r="H299" s="7">
        <v>70.6</v>
      </c>
      <c r="I299" s="7">
        <v>71.6</v>
      </c>
      <c r="J299" s="5"/>
    </row>
    <row r="300" spans="1:10" ht="15.75" customHeight="1">
      <c r="A300" s="5">
        <v>298</v>
      </c>
      <c r="B300" s="6" t="str">
        <f t="shared" si="10"/>
        <v>2023111</v>
      </c>
      <c r="C300" s="6" t="s">
        <v>24</v>
      </c>
      <c r="D300" s="6" t="s">
        <v>18</v>
      </c>
      <c r="E300" s="6" t="str">
        <f>"任峥嵘"</f>
        <v>任峥嵘</v>
      </c>
      <c r="F300" s="6" t="str">
        <f>"20237161623"</f>
        <v>20237161623</v>
      </c>
      <c r="G300" s="7">
        <v>74.95</v>
      </c>
      <c r="H300" s="7">
        <v>67.1</v>
      </c>
      <c r="I300" s="7">
        <v>70.24</v>
      </c>
      <c r="J300" s="5" t="s">
        <v>13</v>
      </c>
    </row>
    <row r="301" spans="1:10" ht="15.75" customHeight="1">
      <c r="A301" s="5">
        <v>299</v>
      </c>
      <c r="B301" s="6" t="str">
        <f t="shared" si="10"/>
        <v>2023111</v>
      </c>
      <c r="C301" s="6" t="s">
        <v>24</v>
      </c>
      <c r="D301" s="6" t="s">
        <v>18</v>
      </c>
      <c r="E301" s="6" t="str">
        <f>"王阿楠"</f>
        <v>王阿楠</v>
      </c>
      <c r="F301" s="6" t="str">
        <f>"20237161701"</f>
        <v>20237161701</v>
      </c>
      <c r="G301" s="7">
        <v>72.45</v>
      </c>
      <c r="H301" s="7">
        <v>67</v>
      </c>
      <c r="I301" s="7">
        <v>69.18</v>
      </c>
      <c r="J301" s="5" t="s">
        <v>13</v>
      </c>
    </row>
    <row r="302" spans="1:10" ht="15.75" customHeight="1">
      <c r="A302" s="5">
        <v>300</v>
      </c>
      <c r="B302" s="6" t="str">
        <f t="shared" si="10"/>
        <v>2023111</v>
      </c>
      <c r="C302" s="6" t="s">
        <v>24</v>
      </c>
      <c r="D302" s="6" t="s">
        <v>18</v>
      </c>
      <c r="E302" s="6" t="str">
        <f>"陆敏敏"</f>
        <v>陆敏敏</v>
      </c>
      <c r="F302" s="6" t="str">
        <f>"20237161714"</f>
        <v>20237161714</v>
      </c>
      <c r="G302" s="7">
        <v>66.5</v>
      </c>
      <c r="H302" s="7">
        <v>70.3</v>
      </c>
      <c r="I302" s="7">
        <v>68.78</v>
      </c>
      <c r="J302" s="5" t="s">
        <v>13</v>
      </c>
    </row>
    <row r="303" spans="1:10" ht="15.75" customHeight="1">
      <c r="A303" s="5">
        <v>301</v>
      </c>
      <c r="B303" s="6" t="str">
        <f t="shared" si="10"/>
        <v>2023111</v>
      </c>
      <c r="C303" s="6" t="s">
        <v>24</v>
      </c>
      <c r="D303" s="6" t="s">
        <v>18</v>
      </c>
      <c r="E303" s="6" t="str">
        <f>"董静"</f>
        <v>董静</v>
      </c>
      <c r="F303" s="6" t="str">
        <f>"20237161706"</f>
        <v>20237161706</v>
      </c>
      <c r="G303" s="7">
        <v>62.15</v>
      </c>
      <c r="H303" s="7">
        <v>65.6</v>
      </c>
      <c r="I303" s="7">
        <v>64.22</v>
      </c>
      <c r="J303" s="5" t="s">
        <v>13</v>
      </c>
    </row>
    <row r="304" spans="1:10" ht="15.75" customHeight="1">
      <c r="A304" s="5">
        <v>302</v>
      </c>
      <c r="B304" s="6" t="str">
        <f t="shared" si="10"/>
        <v>2023111</v>
      </c>
      <c r="C304" s="6" t="s">
        <v>24</v>
      </c>
      <c r="D304" s="6" t="s">
        <v>18</v>
      </c>
      <c r="E304" s="6" t="str">
        <f>"邢月"</f>
        <v>邢月</v>
      </c>
      <c r="F304" s="6" t="str">
        <f>"20237161723"</f>
        <v>20237161723</v>
      </c>
      <c r="G304" s="7">
        <v>64.35</v>
      </c>
      <c r="H304" s="7">
        <v>63</v>
      </c>
      <c r="I304" s="7">
        <v>63.54</v>
      </c>
      <c r="J304" s="5" t="s">
        <v>13</v>
      </c>
    </row>
    <row r="305" spans="1:10" ht="15.75" customHeight="1">
      <c r="A305" s="5">
        <v>303</v>
      </c>
      <c r="B305" s="6" t="str">
        <f aca="true" t="shared" si="11" ref="B305:B332">"2023112"</f>
        <v>2023112</v>
      </c>
      <c r="C305" s="6" t="s">
        <v>25</v>
      </c>
      <c r="D305" s="6" t="s">
        <v>18</v>
      </c>
      <c r="E305" s="6" t="str">
        <f>"丁自启"</f>
        <v>丁自启</v>
      </c>
      <c r="F305" s="6" t="str">
        <f>"20237161912"</f>
        <v>20237161912</v>
      </c>
      <c r="G305" s="7">
        <v>108.1</v>
      </c>
      <c r="H305" s="7">
        <v>93.9</v>
      </c>
      <c r="I305" s="7">
        <v>99.58</v>
      </c>
      <c r="J305" s="5"/>
    </row>
    <row r="306" spans="1:10" ht="15.75" customHeight="1">
      <c r="A306" s="5">
        <v>304</v>
      </c>
      <c r="B306" s="6" t="str">
        <f t="shared" si="11"/>
        <v>2023112</v>
      </c>
      <c r="C306" s="6" t="s">
        <v>25</v>
      </c>
      <c r="D306" s="6" t="s">
        <v>18</v>
      </c>
      <c r="E306" s="6" t="str">
        <f>"户仟喜"</f>
        <v>户仟喜</v>
      </c>
      <c r="F306" s="6" t="str">
        <f>"20237161810"</f>
        <v>20237161810</v>
      </c>
      <c r="G306" s="7">
        <v>105.95</v>
      </c>
      <c r="H306" s="7">
        <v>94.2</v>
      </c>
      <c r="I306" s="7">
        <v>98.9</v>
      </c>
      <c r="J306" s="5"/>
    </row>
    <row r="307" spans="1:10" ht="15.75" customHeight="1">
      <c r="A307" s="5">
        <v>305</v>
      </c>
      <c r="B307" s="6" t="str">
        <f t="shared" si="11"/>
        <v>2023112</v>
      </c>
      <c r="C307" s="6" t="s">
        <v>25</v>
      </c>
      <c r="D307" s="6" t="s">
        <v>18</v>
      </c>
      <c r="E307" s="6" t="str">
        <f>"刘利雪"</f>
        <v>刘利雪</v>
      </c>
      <c r="F307" s="6" t="str">
        <f>"20237161910"</f>
        <v>20237161910</v>
      </c>
      <c r="G307" s="7">
        <v>98.7</v>
      </c>
      <c r="H307" s="7">
        <v>93.8</v>
      </c>
      <c r="I307" s="7">
        <v>95.76</v>
      </c>
      <c r="J307" s="5"/>
    </row>
    <row r="308" spans="1:10" ht="15.75" customHeight="1">
      <c r="A308" s="5">
        <v>306</v>
      </c>
      <c r="B308" s="6" t="str">
        <f t="shared" si="11"/>
        <v>2023112</v>
      </c>
      <c r="C308" s="6" t="s">
        <v>25</v>
      </c>
      <c r="D308" s="6" t="s">
        <v>18</v>
      </c>
      <c r="E308" s="6" t="str">
        <f>"褚嘉馨"</f>
        <v>褚嘉馨</v>
      </c>
      <c r="F308" s="6" t="str">
        <f>"20237161803"</f>
        <v>20237161803</v>
      </c>
      <c r="G308" s="7">
        <v>96.05</v>
      </c>
      <c r="H308" s="7">
        <v>95.5</v>
      </c>
      <c r="I308" s="7">
        <v>95.72</v>
      </c>
      <c r="J308" s="5"/>
    </row>
    <row r="309" spans="1:10" ht="15.75" customHeight="1">
      <c r="A309" s="5">
        <v>307</v>
      </c>
      <c r="B309" s="6" t="str">
        <f t="shared" si="11"/>
        <v>2023112</v>
      </c>
      <c r="C309" s="6" t="s">
        <v>25</v>
      </c>
      <c r="D309" s="6" t="s">
        <v>18</v>
      </c>
      <c r="E309" s="6" t="str">
        <f>"管佳琦"</f>
        <v>管佳琦</v>
      </c>
      <c r="F309" s="6" t="str">
        <f>"20237161901"</f>
        <v>20237161901</v>
      </c>
      <c r="G309" s="7">
        <v>98.3</v>
      </c>
      <c r="H309" s="7">
        <v>92.2</v>
      </c>
      <c r="I309" s="7">
        <v>94.64</v>
      </c>
      <c r="J309" s="5"/>
    </row>
    <row r="310" spans="1:10" ht="15.75" customHeight="1">
      <c r="A310" s="5">
        <v>308</v>
      </c>
      <c r="B310" s="6" t="str">
        <f t="shared" si="11"/>
        <v>2023112</v>
      </c>
      <c r="C310" s="6" t="s">
        <v>25</v>
      </c>
      <c r="D310" s="6" t="s">
        <v>18</v>
      </c>
      <c r="E310" s="6" t="str">
        <f>"韩青青"</f>
        <v>韩青青</v>
      </c>
      <c r="F310" s="6" t="str">
        <f>"20237161811"</f>
        <v>20237161811</v>
      </c>
      <c r="G310" s="7">
        <v>102.1</v>
      </c>
      <c r="H310" s="7">
        <v>85.4</v>
      </c>
      <c r="I310" s="7">
        <v>92.08</v>
      </c>
      <c r="J310" s="5"/>
    </row>
    <row r="311" spans="1:10" ht="15.75" customHeight="1">
      <c r="A311" s="5">
        <v>309</v>
      </c>
      <c r="B311" s="6" t="str">
        <f t="shared" si="11"/>
        <v>2023112</v>
      </c>
      <c r="C311" s="6" t="s">
        <v>25</v>
      </c>
      <c r="D311" s="6" t="s">
        <v>18</v>
      </c>
      <c r="E311" s="6" t="str">
        <f>"刘娜"</f>
        <v>刘娜</v>
      </c>
      <c r="F311" s="6" t="str">
        <f>"20237161817"</f>
        <v>20237161817</v>
      </c>
      <c r="G311" s="7">
        <v>99.55</v>
      </c>
      <c r="H311" s="7">
        <v>86</v>
      </c>
      <c r="I311" s="7">
        <v>91.42</v>
      </c>
      <c r="J311" s="5"/>
    </row>
    <row r="312" spans="1:10" ht="15.75" customHeight="1">
      <c r="A312" s="5">
        <v>310</v>
      </c>
      <c r="B312" s="6" t="str">
        <f t="shared" si="11"/>
        <v>2023112</v>
      </c>
      <c r="C312" s="6" t="s">
        <v>25</v>
      </c>
      <c r="D312" s="6" t="s">
        <v>18</v>
      </c>
      <c r="E312" s="6" t="str">
        <f>"王雪琳"</f>
        <v>王雪琳</v>
      </c>
      <c r="F312" s="6" t="str">
        <f>"20237161814"</f>
        <v>20237161814</v>
      </c>
      <c r="G312" s="7">
        <v>94.35</v>
      </c>
      <c r="H312" s="7">
        <v>88.9</v>
      </c>
      <c r="I312" s="7">
        <v>91.08</v>
      </c>
      <c r="J312" s="5"/>
    </row>
    <row r="313" spans="1:10" ht="15.75" customHeight="1">
      <c r="A313" s="5">
        <v>311</v>
      </c>
      <c r="B313" s="6" t="str">
        <f t="shared" si="11"/>
        <v>2023112</v>
      </c>
      <c r="C313" s="6" t="s">
        <v>25</v>
      </c>
      <c r="D313" s="6" t="s">
        <v>18</v>
      </c>
      <c r="E313" s="6" t="str">
        <f>"刘欣茹"</f>
        <v>刘欣茹</v>
      </c>
      <c r="F313" s="6" t="str">
        <f>"20237161917"</f>
        <v>20237161917</v>
      </c>
      <c r="G313" s="7">
        <v>90</v>
      </c>
      <c r="H313" s="7">
        <v>90.9</v>
      </c>
      <c r="I313" s="7">
        <v>90.54</v>
      </c>
      <c r="J313" s="5"/>
    </row>
    <row r="314" spans="1:10" ht="15.75" customHeight="1">
      <c r="A314" s="5">
        <v>312</v>
      </c>
      <c r="B314" s="6" t="str">
        <f t="shared" si="11"/>
        <v>2023112</v>
      </c>
      <c r="C314" s="6" t="s">
        <v>25</v>
      </c>
      <c r="D314" s="6" t="s">
        <v>18</v>
      </c>
      <c r="E314" s="6" t="str">
        <f>"潘玥"</f>
        <v>潘玥</v>
      </c>
      <c r="F314" s="6" t="str">
        <f>"20237161911"</f>
        <v>20237161911</v>
      </c>
      <c r="G314" s="7">
        <v>86.5</v>
      </c>
      <c r="H314" s="7">
        <v>92.3</v>
      </c>
      <c r="I314" s="7">
        <v>89.98</v>
      </c>
      <c r="J314" s="5"/>
    </row>
    <row r="315" spans="1:10" ht="15.75" customHeight="1">
      <c r="A315" s="5">
        <v>313</v>
      </c>
      <c r="B315" s="6" t="str">
        <f t="shared" si="11"/>
        <v>2023112</v>
      </c>
      <c r="C315" s="6" t="s">
        <v>25</v>
      </c>
      <c r="D315" s="6" t="s">
        <v>18</v>
      </c>
      <c r="E315" s="6" t="str">
        <f>"王欢欢"</f>
        <v>王欢欢</v>
      </c>
      <c r="F315" s="6" t="str">
        <f>"20237161812"</f>
        <v>20237161812</v>
      </c>
      <c r="G315" s="7">
        <v>92.95</v>
      </c>
      <c r="H315" s="7">
        <v>87</v>
      </c>
      <c r="I315" s="7">
        <v>89.38</v>
      </c>
      <c r="J315" s="5"/>
    </row>
    <row r="316" spans="1:10" ht="15.75" customHeight="1">
      <c r="A316" s="5">
        <v>314</v>
      </c>
      <c r="B316" s="6" t="str">
        <f t="shared" si="11"/>
        <v>2023112</v>
      </c>
      <c r="C316" s="6" t="s">
        <v>25</v>
      </c>
      <c r="D316" s="6" t="s">
        <v>18</v>
      </c>
      <c r="E316" s="6" t="str">
        <f>"侯新雨"</f>
        <v>侯新雨</v>
      </c>
      <c r="F316" s="6" t="str">
        <f>"20237161828"</f>
        <v>20237161828</v>
      </c>
      <c r="G316" s="7">
        <v>82.3</v>
      </c>
      <c r="H316" s="7">
        <v>93.5</v>
      </c>
      <c r="I316" s="7">
        <v>89.02</v>
      </c>
      <c r="J316" s="5"/>
    </row>
    <row r="317" spans="1:10" ht="15.75" customHeight="1">
      <c r="A317" s="5">
        <v>315</v>
      </c>
      <c r="B317" s="6" t="str">
        <f t="shared" si="11"/>
        <v>2023112</v>
      </c>
      <c r="C317" s="6" t="s">
        <v>25</v>
      </c>
      <c r="D317" s="6" t="s">
        <v>18</v>
      </c>
      <c r="E317" s="6" t="str">
        <f>"李欣雨"</f>
        <v>李欣雨</v>
      </c>
      <c r="F317" s="6" t="str">
        <f>"20237161824"</f>
        <v>20237161824</v>
      </c>
      <c r="G317" s="7">
        <v>86.8</v>
      </c>
      <c r="H317" s="7">
        <v>90.4</v>
      </c>
      <c r="I317" s="7">
        <v>88.96</v>
      </c>
      <c r="J317" s="5"/>
    </row>
    <row r="318" spans="1:10" ht="15.75" customHeight="1">
      <c r="A318" s="5">
        <v>316</v>
      </c>
      <c r="B318" s="6" t="str">
        <f t="shared" si="11"/>
        <v>2023112</v>
      </c>
      <c r="C318" s="6" t="s">
        <v>25</v>
      </c>
      <c r="D318" s="6" t="s">
        <v>18</v>
      </c>
      <c r="E318" s="6" t="str">
        <f>"王金慈"</f>
        <v>王金慈</v>
      </c>
      <c r="F318" s="6" t="str">
        <f>"20237161825"</f>
        <v>20237161825</v>
      </c>
      <c r="G318" s="7">
        <v>90.25</v>
      </c>
      <c r="H318" s="7">
        <v>86.1</v>
      </c>
      <c r="I318" s="7">
        <v>87.76</v>
      </c>
      <c r="J318" s="5"/>
    </row>
    <row r="319" spans="1:10" ht="15.75" customHeight="1">
      <c r="A319" s="5">
        <v>317</v>
      </c>
      <c r="B319" s="6" t="str">
        <f t="shared" si="11"/>
        <v>2023112</v>
      </c>
      <c r="C319" s="6" t="s">
        <v>25</v>
      </c>
      <c r="D319" s="6" t="s">
        <v>18</v>
      </c>
      <c r="E319" s="6" t="str">
        <f>"陆宝宝"</f>
        <v>陆宝宝</v>
      </c>
      <c r="F319" s="6" t="str">
        <f>"20237161802"</f>
        <v>20237161802</v>
      </c>
      <c r="G319" s="7">
        <v>88.7</v>
      </c>
      <c r="H319" s="7">
        <v>86.1</v>
      </c>
      <c r="I319" s="7">
        <v>87.14</v>
      </c>
      <c r="J319" s="5"/>
    </row>
    <row r="320" spans="1:10" ht="15.75" customHeight="1">
      <c r="A320" s="5">
        <v>318</v>
      </c>
      <c r="B320" s="6" t="str">
        <f t="shared" si="11"/>
        <v>2023112</v>
      </c>
      <c r="C320" s="6" t="s">
        <v>25</v>
      </c>
      <c r="D320" s="6" t="s">
        <v>18</v>
      </c>
      <c r="E320" s="6" t="str">
        <f>"赵志恕"</f>
        <v>赵志恕</v>
      </c>
      <c r="F320" s="6" t="str">
        <f>"20237161819"</f>
        <v>20237161819</v>
      </c>
      <c r="G320" s="7">
        <v>88.95</v>
      </c>
      <c r="H320" s="7">
        <v>81.7</v>
      </c>
      <c r="I320" s="7">
        <v>84.6</v>
      </c>
      <c r="J320" s="5"/>
    </row>
    <row r="321" spans="1:10" ht="15.75" customHeight="1">
      <c r="A321" s="5">
        <v>319</v>
      </c>
      <c r="B321" s="6" t="str">
        <f t="shared" si="11"/>
        <v>2023112</v>
      </c>
      <c r="C321" s="6" t="s">
        <v>25</v>
      </c>
      <c r="D321" s="6" t="s">
        <v>18</v>
      </c>
      <c r="E321" s="6" t="str">
        <f>"李菲"</f>
        <v>李菲</v>
      </c>
      <c r="F321" s="6" t="str">
        <f>"20237161905"</f>
        <v>20237161905</v>
      </c>
      <c r="G321" s="7">
        <v>92.25</v>
      </c>
      <c r="H321" s="7">
        <v>78.5</v>
      </c>
      <c r="I321" s="7">
        <v>84</v>
      </c>
      <c r="J321" s="5"/>
    </row>
    <row r="322" spans="1:10" ht="15.75" customHeight="1">
      <c r="A322" s="5">
        <v>320</v>
      </c>
      <c r="B322" s="6" t="str">
        <f t="shared" si="11"/>
        <v>2023112</v>
      </c>
      <c r="C322" s="6" t="s">
        <v>25</v>
      </c>
      <c r="D322" s="6" t="s">
        <v>18</v>
      </c>
      <c r="E322" s="6" t="str">
        <f>"史会会"</f>
        <v>史会会</v>
      </c>
      <c r="F322" s="6" t="str">
        <f>"20237161821"</f>
        <v>20237161821</v>
      </c>
      <c r="G322" s="7">
        <v>80.55</v>
      </c>
      <c r="H322" s="7">
        <v>86.2</v>
      </c>
      <c r="I322" s="7">
        <v>83.94</v>
      </c>
      <c r="J322" s="5"/>
    </row>
    <row r="323" spans="1:10" ht="15.75" customHeight="1">
      <c r="A323" s="5">
        <v>321</v>
      </c>
      <c r="B323" s="6" t="str">
        <f t="shared" si="11"/>
        <v>2023112</v>
      </c>
      <c r="C323" s="6" t="s">
        <v>25</v>
      </c>
      <c r="D323" s="6" t="s">
        <v>18</v>
      </c>
      <c r="E323" s="6" t="str">
        <f>"佘田田"</f>
        <v>佘田田</v>
      </c>
      <c r="F323" s="6" t="str">
        <f>"20237161823"</f>
        <v>20237161823</v>
      </c>
      <c r="G323" s="7">
        <v>84.55</v>
      </c>
      <c r="H323" s="7">
        <v>83.5</v>
      </c>
      <c r="I323" s="7">
        <v>83.92</v>
      </c>
      <c r="J323" s="5"/>
    </row>
    <row r="324" spans="1:10" ht="15.75" customHeight="1">
      <c r="A324" s="5">
        <v>322</v>
      </c>
      <c r="B324" s="6" t="str">
        <f t="shared" si="11"/>
        <v>2023112</v>
      </c>
      <c r="C324" s="6" t="s">
        <v>25</v>
      </c>
      <c r="D324" s="6" t="s">
        <v>18</v>
      </c>
      <c r="E324" s="6" t="str">
        <f>"任卓然"</f>
        <v>任卓然</v>
      </c>
      <c r="F324" s="6" t="str">
        <f>"20237161822"</f>
        <v>20237161822</v>
      </c>
      <c r="G324" s="7">
        <v>82.75</v>
      </c>
      <c r="H324" s="7">
        <v>80.6</v>
      </c>
      <c r="I324" s="7">
        <v>81.46</v>
      </c>
      <c r="J324" s="5"/>
    </row>
    <row r="325" spans="1:10" ht="15.75" customHeight="1">
      <c r="A325" s="5">
        <v>323</v>
      </c>
      <c r="B325" s="6" t="str">
        <f t="shared" si="11"/>
        <v>2023112</v>
      </c>
      <c r="C325" s="6" t="s">
        <v>25</v>
      </c>
      <c r="D325" s="6" t="s">
        <v>18</v>
      </c>
      <c r="E325" s="6" t="str">
        <f>"王士娣"</f>
        <v>王士娣</v>
      </c>
      <c r="F325" s="6" t="str">
        <f>"20237161904"</f>
        <v>20237161904</v>
      </c>
      <c r="G325" s="7">
        <v>82.15</v>
      </c>
      <c r="H325" s="7">
        <v>80.4</v>
      </c>
      <c r="I325" s="7">
        <v>81.1</v>
      </c>
      <c r="J325" s="5"/>
    </row>
    <row r="326" spans="1:10" ht="15.75" customHeight="1">
      <c r="A326" s="5">
        <v>324</v>
      </c>
      <c r="B326" s="6" t="str">
        <f t="shared" si="11"/>
        <v>2023112</v>
      </c>
      <c r="C326" s="6" t="s">
        <v>25</v>
      </c>
      <c r="D326" s="6" t="s">
        <v>18</v>
      </c>
      <c r="E326" s="6" t="str">
        <f>"李青青"</f>
        <v>李青青</v>
      </c>
      <c r="F326" s="6" t="str">
        <f>"20237161918"</f>
        <v>20237161918</v>
      </c>
      <c r="G326" s="7">
        <v>67.85</v>
      </c>
      <c r="H326" s="7">
        <v>87.6</v>
      </c>
      <c r="I326" s="7">
        <v>79.7</v>
      </c>
      <c r="J326" s="5"/>
    </row>
    <row r="327" spans="1:10" ht="15.75" customHeight="1">
      <c r="A327" s="5">
        <v>325</v>
      </c>
      <c r="B327" s="6" t="str">
        <f t="shared" si="11"/>
        <v>2023112</v>
      </c>
      <c r="C327" s="6" t="s">
        <v>25</v>
      </c>
      <c r="D327" s="6" t="s">
        <v>18</v>
      </c>
      <c r="E327" s="6" t="str">
        <f>"张京"</f>
        <v>张京</v>
      </c>
      <c r="F327" s="6" t="str">
        <f>"20237161907"</f>
        <v>20237161907</v>
      </c>
      <c r="G327" s="7">
        <v>68.55</v>
      </c>
      <c r="H327" s="7">
        <v>85.7</v>
      </c>
      <c r="I327" s="7">
        <v>78.84</v>
      </c>
      <c r="J327" s="5" t="s">
        <v>13</v>
      </c>
    </row>
    <row r="328" spans="1:10" ht="15.75" customHeight="1">
      <c r="A328" s="5">
        <v>326</v>
      </c>
      <c r="B328" s="6" t="str">
        <f t="shared" si="11"/>
        <v>2023112</v>
      </c>
      <c r="C328" s="6" t="s">
        <v>25</v>
      </c>
      <c r="D328" s="6" t="s">
        <v>18</v>
      </c>
      <c r="E328" s="6" t="str">
        <f>"王玲玲"</f>
        <v>王玲玲</v>
      </c>
      <c r="F328" s="6" t="str">
        <f>"20237161818"</f>
        <v>20237161818</v>
      </c>
      <c r="G328" s="7">
        <v>82.3</v>
      </c>
      <c r="H328" s="7">
        <v>75</v>
      </c>
      <c r="I328" s="7">
        <v>77.92</v>
      </c>
      <c r="J328" s="5" t="s">
        <v>13</v>
      </c>
    </row>
    <row r="329" spans="1:10" ht="15.75" customHeight="1">
      <c r="A329" s="5">
        <v>327</v>
      </c>
      <c r="B329" s="6" t="str">
        <f t="shared" si="11"/>
        <v>2023112</v>
      </c>
      <c r="C329" s="6" t="s">
        <v>25</v>
      </c>
      <c r="D329" s="6" t="s">
        <v>18</v>
      </c>
      <c r="E329" s="6" t="str">
        <f>"李胜男"</f>
        <v>李胜男</v>
      </c>
      <c r="F329" s="6" t="str">
        <f>"20237161920"</f>
        <v>20237161920</v>
      </c>
      <c r="G329" s="7">
        <v>83.25</v>
      </c>
      <c r="H329" s="7">
        <v>73.3</v>
      </c>
      <c r="I329" s="7">
        <v>77.28</v>
      </c>
      <c r="J329" s="5" t="s">
        <v>13</v>
      </c>
    </row>
    <row r="330" spans="1:10" ht="15.75" customHeight="1">
      <c r="A330" s="5">
        <v>328</v>
      </c>
      <c r="B330" s="6" t="str">
        <f t="shared" si="11"/>
        <v>2023112</v>
      </c>
      <c r="C330" s="6" t="s">
        <v>25</v>
      </c>
      <c r="D330" s="6" t="s">
        <v>18</v>
      </c>
      <c r="E330" s="6" t="str">
        <f>"胡宁宁"</f>
        <v>胡宁宁</v>
      </c>
      <c r="F330" s="6" t="str">
        <f>"20237161820"</f>
        <v>20237161820</v>
      </c>
      <c r="G330" s="7">
        <v>75.45</v>
      </c>
      <c r="H330" s="7">
        <v>73.6</v>
      </c>
      <c r="I330" s="7">
        <v>74.34</v>
      </c>
      <c r="J330" s="5" t="s">
        <v>13</v>
      </c>
    </row>
    <row r="331" spans="1:10" ht="15.75" customHeight="1">
      <c r="A331" s="5">
        <v>329</v>
      </c>
      <c r="B331" s="6" t="str">
        <f t="shared" si="11"/>
        <v>2023112</v>
      </c>
      <c r="C331" s="6" t="s">
        <v>25</v>
      </c>
      <c r="D331" s="6" t="s">
        <v>18</v>
      </c>
      <c r="E331" s="6" t="str">
        <f>"高君玲"</f>
        <v>高君玲</v>
      </c>
      <c r="F331" s="6" t="str">
        <f>"20237161902"</f>
        <v>20237161902</v>
      </c>
      <c r="G331" s="7">
        <v>72.1</v>
      </c>
      <c r="H331" s="7">
        <v>75.3</v>
      </c>
      <c r="I331" s="7">
        <v>74.02</v>
      </c>
      <c r="J331" s="5" t="s">
        <v>13</v>
      </c>
    </row>
    <row r="332" spans="1:10" ht="15.75" customHeight="1">
      <c r="A332" s="5">
        <v>330</v>
      </c>
      <c r="B332" s="6" t="str">
        <f t="shared" si="11"/>
        <v>2023112</v>
      </c>
      <c r="C332" s="6" t="s">
        <v>25</v>
      </c>
      <c r="D332" s="6" t="s">
        <v>18</v>
      </c>
      <c r="E332" s="6" t="str">
        <f>"侯倩倩"</f>
        <v>侯倩倩</v>
      </c>
      <c r="F332" s="6" t="str">
        <f>"20237161826"</f>
        <v>20237161826</v>
      </c>
      <c r="G332" s="7">
        <v>66.45</v>
      </c>
      <c r="H332" s="7">
        <v>72.4</v>
      </c>
      <c r="I332" s="7">
        <v>70.02</v>
      </c>
      <c r="J332" s="5" t="s">
        <v>13</v>
      </c>
    </row>
    <row r="333" spans="1:10" ht="15.75" customHeight="1">
      <c r="A333" s="5">
        <v>331</v>
      </c>
      <c r="B333" s="6" t="str">
        <f aca="true" t="shared" si="12" ref="B333:B355">"2023113"</f>
        <v>2023113</v>
      </c>
      <c r="C333" s="6" t="s">
        <v>26</v>
      </c>
      <c r="D333" s="6" t="s">
        <v>18</v>
      </c>
      <c r="E333" s="6" t="str">
        <f>"李冉"</f>
        <v>李冉</v>
      </c>
      <c r="F333" s="6" t="str">
        <f>"20237162015"</f>
        <v>20237162015</v>
      </c>
      <c r="G333" s="7">
        <v>105.85</v>
      </c>
      <c r="H333" s="7">
        <v>94.7</v>
      </c>
      <c r="I333" s="7">
        <v>99.16</v>
      </c>
      <c r="J333" s="5"/>
    </row>
    <row r="334" spans="1:10" ht="15.75" customHeight="1">
      <c r="A334" s="5">
        <v>332</v>
      </c>
      <c r="B334" s="6" t="str">
        <f t="shared" si="12"/>
        <v>2023113</v>
      </c>
      <c r="C334" s="6" t="s">
        <v>26</v>
      </c>
      <c r="D334" s="6" t="s">
        <v>18</v>
      </c>
      <c r="E334" s="6" t="str">
        <f>"秦子茹"</f>
        <v>秦子茹</v>
      </c>
      <c r="F334" s="6" t="str">
        <f>"20237162007"</f>
        <v>20237162007</v>
      </c>
      <c r="G334" s="7">
        <v>103.6</v>
      </c>
      <c r="H334" s="7">
        <v>93.4</v>
      </c>
      <c r="I334" s="7">
        <v>97.48</v>
      </c>
      <c r="J334" s="5"/>
    </row>
    <row r="335" spans="1:10" ht="15.75" customHeight="1">
      <c r="A335" s="5">
        <v>333</v>
      </c>
      <c r="B335" s="6" t="str">
        <f t="shared" si="12"/>
        <v>2023113</v>
      </c>
      <c r="C335" s="6" t="s">
        <v>26</v>
      </c>
      <c r="D335" s="6" t="s">
        <v>18</v>
      </c>
      <c r="E335" s="6" t="str">
        <f>"李梦茹"</f>
        <v>李梦茹</v>
      </c>
      <c r="F335" s="6" t="str">
        <f>"20237162021"</f>
        <v>20237162021</v>
      </c>
      <c r="G335" s="7">
        <v>98.45</v>
      </c>
      <c r="H335" s="7">
        <v>94.3</v>
      </c>
      <c r="I335" s="7">
        <v>95.96</v>
      </c>
      <c r="J335" s="5"/>
    </row>
    <row r="336" spans="1:10" ht="15.75" customHeight="1">
      <c r="A336" s="5">
        <v>334</v>
      </c>
      <c r="B336" s="6" t="str">
        <f t="shared" si="12"/>
        <v>2023113</v>
      </c>
      <c r="C336" s="6" t="s">
        <v>26</v>
      </c>
      <c r="D336" s="6" t="s">
        <v>18</v>
      </c>
      <c r="E336" s="6" t="str">
        <f>"高宇辰"</f>
        <v>高宇辰</v>
      </c>
      <c r="F336" s="6" t="str">
        <f>"20237162011"</f>
        <v>20237162011</v>
      </c>
      <c r="G336" s="7">
        <v>97.1</v>
      </c>
      <c r="H336" s="7">
        <v>92.5</v>
      </c>
      <c r="I336" s="7">
        <v>94.34</v>
      </c>
      <c r="J336" s="5"/>
    </row>
    <row r="337" spans="1:10" ht="15.75" customHeight="1">
      <c r="A337" s="5">
        <v>335</v>
      </c>
      <c r="B337" s="6" t="str">
        <f t="shared" si="12"/>
        <v>2023113</v>
      </c>
      <c r="C337" s="6" t="s">
        <v>26</v>
      </c>
      <c r="D337" s="6" t="s">
        <v>18</v>
      </c>
      <c r="E337" s="6" t="str">
        <f>"和路涵"</f>
        <v>和路涵</v>
      </c>
      <c r="F337" s="6" t="str">
        <f>"20237162029"</f>
        <v>20237162029</v>
      </c>
      <c r="G337" s="7">
        <v>95.1</v>
      </c>
      <c r="H337" s="7">
        <v>90.3</v>
      </c>
      <c r="I337" s="7">
        <v>92.22</v>
      </c>
      <c r="J337" s="5"/>
    </row>
    <row r="338" spans="1:10" ht="15.75" customHeight="1">
      <c r="A338" s="5">
        <v>336</v>
      </c>
      <c r="B338" s="6" t="str">
        <f t="shared" si="12"/>
        <v>2023113</v>
      </c>
      <c r="C338" s="6" t="s">
        <v>26</v>
      </c>
      <c r="D338" s="6" t="s">
        <v>18</v>
      </c>
      <c r="E338" s="6" t="str">
        <f>"王雅茹"</f>
        <v>王雅茹</v>
      </c>
      <c r="F338" s="6" t="str">
        <f>"20237162019"</f>
        <v>20237162019</v>
      </c>
      <c r="G338" s="7">
        <v>92.3</v>
      </c>
      <c r="H338" s="7">
        <v>91.5</v>
      </c>
      <c r="I338" s="7">
        <v>91.82</v>
      </c>
      <c r="J338" s="5"/>
    </row>
    <row r="339" spans="1:10" ht="15.75" customHeight="1">
      <c r="A339" s="5">
        <v>337</v>
      </c>
      <c r="B339" s="6" t="str">
        <f t="shared" si="12"/>
        <v>2023113</v>
      </c>
      <c r="C339" s="6" t="s">
        <v>26</v>
      </c>
      <c r="D339" s="6" t="s">
        <v>18</v>
      </c>
      <c r="E339" s="6" t="str">
        <f>"李圆圆"</f>
        <v>李圆圆</v>
      </c>
      <c r="F339" s="6" t="str">
        <f>"20237162028"</f>
        <v>20237162028</v>
      </c>
      <c r="G339" s="7">
        <v>92.45</v>
      </c>
      <c r="H339" s="7">
        <v>89.7</v>
      </c>
      <c r="I339" s="7">
        <v>90.8</v>
      </c>
      <c r="J339" s="5"/>
    </row>
    <row r="340" spans="1:10" ht="15.75" customHeight="1">
      <c r="A340" s="5">
        <v>338</v>
      </c>
      <c r="B340" s="6" t="str">
        <f t="shared" si="12"/>
        <v>2023113</v>
      </c>
      <c r="C340" s="6" t="s">
        <v>26</v>
      </c>
      <c r="D340" s="6" t="s">
        <v>18</v>
      </c>
      <c r="E340" s="6" t="str">
        <f>"马迎迎"</f>
        <v>马迎迎</v>
      </c>
      <c r="F340" s="6" t="str">
        <f>"20237162027"</f>
        <v>20237162027</v>
      </c>
      <c r="G340" s="7">
        <v>90.1</v>
      </c>
      <c r="H340" s="7">
        <v>90.2</v>
      </c>
      <c r="I340" s="7">
        <v>90.16</v>
      </c>
      <c r="J340" s="5"/>
    </row>
    <row r="341" spans="1:10" ht="15.75" customHeight="1">
      <c r="A341" s="5">
        <v>339</v>
      </c>
      <c r="B341" s="6" t="str">
        <f t="shared" si="12"/>
        <v>2023113</v>
      </c>
      <c r="C341" s="6" t="s">
        <v>26</v>
      </c>
      <c r="D341" s="6" t="s">
        <v>18</v>
      </c>
      <c r="E341" s="6" t="str">
        <f>"王婷"</f>
        <v>王婷</v>
      </c>
      <c r="F341" s="6" t="str">
        <f>"20237162014"</f>
        <v>20237162014</v>
      </c>
      <c r="G341" s="7">
        <v>94.65</v>
      </c>
      <c r="H341" s="7">
        <v>84.1</v>
      </c>
      <c r="I341" s="7">
        <v>88.32</v>
      </c>
      <c r="J341" s="5"/>
    </row>
    <row r="342" spans="1:10" ht="15.75" customHeight="1">
      <c r="A342" s="5">
        <v>340</v>
      </c>
      <c r="B342" s="6" t="str">
        <f t="shared" si="12"/>
        <v>2023113</v>
      </c>
      <c r="C342" s="6" t="s">
        <v>26</v>
      </c>
      <c r="D342" s="6" t="s">
        <v>18</v>
      </c>
      <c r="E342" s="6" t="str">
        <f>"燕昭露"</f>
        <v>燕昭露</v>
      </c>
      <c r="F342" s="6" t="str">
        <f>"20237162009"</f>
        <v>20237162009</v>
      </c>
      <c r="G342" s="7">
        <v>84.8</v>
      </c>
      <c r="H342" s="7">
        <v>85.5</v>
      </c>
      <c r="I342" s="7">
        <v>85.22</v>
      </c>
      <c r="J342" s="5"/>
    </row>
    <row r="343" spans="1:10" ht="15.75" customHeight="1">
      <c r="A343" s="5">
        <v>341</v>
      </c>
      <c r="B343" s="6" t="str">
        <f t="shared" si="12"/>
        <v>2023113</v>
      </c>
      <c r="C343" s="6" t="s">
        <v>26</v>
      </c>
      <c r="D343" s="6" t="s">
        <v>18</v>
      </c>
      <c r="E343" s="6" t="str">
        <f>"周银玉"</f>
        <v>周银玉</v>
      </c>
      <c r="F343" s="6" t="str">
        <f>"20237161927"</f>
        <v>20237161927</v>
      </c>
      <c r="G343" s="7">
        <v>79.9</v>
      </c>
      <c r="H343" s="7">
        <v>80.4</v>
      </c>
      <c r="I343" s="7">
        <v>80.2</v>
      </c>
      <c r="J343" s="5"/>
    </row>
    <row r="344" spans="1:10" ht="15.75" customHeight="1">
      <c r="A344" s="5">
        <v>342</v>
      </c>
      <c r="B344" s="6" t="str">
        <f t="shared" si="12"/>
        <v>2023113</v>
      </c>
      <c r="C344" s="6" t="s">
        <v>26</v>
      </c>
      <c r="D344" s="6" t="s">
        <v>18</v>
      </c>
      <c r="E344" s="6" t="str">
        <f>"曹慢"</f>
        <v>曹慢</v>
      </c>
      <c r="F344" s="6" t="str">
        <f>"20237162001"</f>
        <v>20237162001</v>
      </c>
      <c r="G344" s="7">
        <v>77.5</v>
      </c>
      <c r="H344" s="7">
        <v>80.4</v>
      </c>
      <c r="I344" s="7">
        <v>79.24</v>
      </c>
      <c r="J344" s="5"/>
    </row>
    <row r="345" spans="1:10" ht="15.75" customHeight="1">
      <c r="A345" s="5">
        <v>343</v>
      </c>
      <c r="B345" s="6" t="str">
        <f t="shared" si="12"/>
        <v>2023113</v>
      </c>
      <c r="C345" s="6" t="s">
        <v>26</v>
      </c>
      <c r="D345" s="6" t="s">
        <v>18</v>
      </c>
      <c r="E345" s="6" t="str">
        <f>"张惠茹"</f>
        <v>张惠茹</v>
      </c>
      <c r="F345" s="6" t="str">
        <f>"20237162004"</f>
        <v>20237162004</v>
      </c>
      <c r="G345" s="7">
        <v>90.05</v>
      </c>
      <c r="H345" s="7">
        <v>71.7</v>
      </c>
      <c r="I345" s="7">
        <v>79.04</v>
      </c>
      <c r="J345" s="5"/>
    </row>
    <row r="346" spans="1:10" ht="15.75" customHeight="1">
      <c r="A346" s="5">
        <v>344</v>
      </c>
      <c r="B346" s="6" t="str">
        <f t="shared" si="12"/>
        <v>2023113</v>
      </c>
      <c r="C346" s="6" t="s">
        <v>26</v>
      </c>
      <c r="D346" s="6" t="s">
        <v>18</v>
      </c>
      <c r="E346" s="6" t="str">
        <f>"刘梦楠"</f>
        <v>刘梦楠</v>
      </c>
      <c r="F346" s="6" t="str">
        <f>"20237161928"</f>
        <v>20237161928</v>
      </c>
      <c r="G346" s="7">
        <v>74.7</v>
      </c>
      <c r="H346" s="7">
        <v>76.2</v>
      </c>
      <c r="I346" s="7">
        <v>75.6</v>
      </c>
      <c r="J346" s="5"/>
    </row>
    <row r="347" spans="1:10" ht="15.75" customHeight="1">
      <c r="A347" s="5">
        <v>345</v>
      </c>
      <c r="B347" s="6" t="str">
        <f t="shared" si="12"/>
        <v>2023113</v>
      </c>
      <c r="C347" s="6" t="s">
        <v>26</v>
      </c>
      <c r="D347" s="6" t="s">
        <v>18</v>
      </c>
      <c r="E347" s="6" t="str">
        <f>"刘若婷"</f>
        <v>刘若婷</v>
      </c>
      <c r="F347" s="6" t="str">
        <f>"20237161925"</f>
        <v>20237161925</v>
      </c>
      <c r="G347" s="7">
        <v>72.15</v>
      </c>
      <c r="H347" s="7">
        <v>76.8</v>
      </c>
      <c r="I347" s="7">
        <v>74.94</v>
      </c>
      <c r="J347" s="5"/>
    </row>
    <row r="348" spans="1:10" ht="15.75" customHeight="1">
      <c r="A348" s="5">
        <v>346</v>
      </c>
      <c r="B348" s="6" t="str">
        <f t="shared" si="12"/>
        <v>2023113</v>
      </c>
      <c r="C348" s="6" t="s">
        <v>26</v>
      </c>
      <c r="D348" s="6" t="s">
        <v>18</v>
      </c>
      <c r="E348" s="6" t="str">
        <f>"李梦"</f>
        <v>李梦</v>
      </c>
      <c r="F348" s="6" t="str">
        <f>"20237161924"</f>
        <v>20237161924</v>
      </c>
      <c r="G348" s="7">
        <v>78.85</v>
      </c>
      <c r="H348" s="7">
        <v>70.5</v>
      </c>
      <c r="I348" s="7">
        <v>73.84</v>
      </c>
      <c r="J348" s="5"/>
    </row>
    <row r="349" spans="1:10" ht="15.75" customHeight="1">
      <c r="A349" s="5">
        <v>347</v>
      </c>
      <c r="B349" s="6" t="str">
        <f t="shared" si="12"/>
        <v>2023113</v>
      </c>
      <c r="C349" s="6" t="s">
        <v>26</v>
      </c>
      <c r="D349" s="6" t="s">
        <v>18</v>
      </c>
      <c r="E349" s="6" t="str">
        <f>"代雨琪"</f>
        <v>代雨琪</v>
      </c>
      <c r="F349" s="6" t="str">
        <f>"20237162026"</f>
        <v>20237162026</v>
      </c>
      <c r="G349" s="7">
        <v>70.4</v>
      </c>
      <c r="H349" s="7">
        <v>74.2</v>
      </c>
      <c r="I349" s="7">
        <v>72.68</v>
      </c>
      <c r="J349" s="5"/>
    </row>
    <row r="350" spans="1:10" ht="15.75" customHeight="1">
      <c r="A350" s="5">
        <v>348</v>
      </c>
      <c r="B350" s="6" t="str">
        <f t="shared" si="12"/>
        <v>2023113</v>
      </c>
      <c r="C350" s="6" t="s">
        <v>26</v>
      </c>
      <c r="D350" s="6" t="s">
        <v>18</v>
      </c>
      <c r="E350" s="6" t="str">
        <f>"朱甜甜"</f>
        <v>朱甜甜</v>
      </c>
      <c r="F350" s="6" t="str">
        <f>"20237161929"</f>
        <v>20237161929</v>
      </c>
      <c r="G350" s="7">
        <v>66.55</v>
      </c>
      <c r="H350" s="7">
        <v>73.5</v>
      </c>
      <c r="I350" s="7">
        <v>70.72</v>
      </c>
      <c r="J350" s="5"/>
    </row>
    <row r="351" spans="1:10" ht="15.75" customHeight="1">
      <c r="A351" s="5">
        <v>349</v>
      </c>
      <c r="B351" s="6" t="str">
        <f t="shared" si="12"/>
        <v>2023113</v>
      </c>
      <c r="C351" s="6" t="s">
        <v>26</v>
      </c>
      <c r="D351" s="6" t="s">
        <v>18</v>
      </c>
      <c r="E351" s="6" t="str">
        <f>"孙依婷"</f>
        <v>孙依婷</v>
      </c>
      <c r="F351" s="6" t="str">
        <f>"20237162024"</f>
        <v>20237162024</v>
      </c>
      <c r="G351" s="7">
        <v>63.7</v>
      </c>
      <c r="H351" s="7">
        <v>74.6</v>
      </c>
      <c r="I351" s="7">
        <v>70.24</v>
      </c>
      <c r="J351" s="5"/>
    </row>
    <row r="352" spans="1:10" ht="15.75" customHeight="1">
      <c r="A352" s="5">
        <v>350</v>
      </c>
      <c r="B352" s="6" t="str">
        <f t="shared" si="12"/>
        <v>2023113</v>
      </c>
      <c r="C352" s="6" t="s">
        <v>26</v>
      </c>
      <c r="D352" s="6" t="s">
        <v>18</v>
      </c>
      <c r="E352" s="6" t="str">
        <f>"姜倩倩"</f>
        <v>姜倩倩</v>
      </c>
      <c r="F352" s="6" t="str">
        <f>"20237162010"</f>
        <v>20237162010</v>
      </c>
      <c r="G352" s="7">
        <v>67.55</v>
      </c>
      <c r="H352" s="7">
        <v>70.3</v>
      </c>
      <c r="I352" s="7">
        <v>69.2</v>
      </c>
      <c r="J352" s="5"/>
    </row>
    <row r="353" spans="1:10" ht="15.75" customHeight="1">
      <c r="A353" s="5">
        <v>351</v>
      </c>
      <c r="B353" s="6" t="str">
        <f t="shared" si="12"/>
        <v>2023113</v>
      </c>
      <c r="C353" s="6" t="s">
        <v>26</v>
      </c>
      <c r="D353" s="6" t="s">
        <v>18</v>
      </c>
      <c r="E353" s="6" t="str">
        <f>"武美梦"</f>
        <v>武美梦</v>
      </c>
      <c r="F353" s="6" t="str">
        <f>"20237162025"</f>
        <v>20237162025</v>
      </c>
      <c r="G353" s="7">
        <v>66</v>
      </c>
      <c r="H353" s="7">
        <v>67.2</v>
      </c>
      <c r="I353" s="7">
        <v>66.72</v>
      </c>
      <c r="J353" s="5"/>
    </row>
    <row r="354" spans="1:10" ht="15.75" customHeight="1">
      <c r="A354" s="5">
        <v>352</v>
      </c>
      <c r="B354" s="6" t="str">
        <f t="shared" si="12"/>
        <v>2023113</v>
      </c>
      <c r="C354" s="6" t="s">
        <v>26</v>
      </c>
      <c r="D354" s="6" t="s">
        <v>18</v>
      </c>
      <c r="E354" s="6" t="str">
        <f>"潘欣雨"</f>
        <v>潘欣雨</v>
      </c>
      <c r="F354" s="6" t="str">
        <f>"20237162006"</f>
        <v>20237162006</v>
      </c>
      <c r="G354" s="7">
        <v>60.95</v>
      </c>
      <c r="H354" s="7">
        <v>64.3</v>
      </c>
      <c r="I354" s="7">
        <v>62.96</v>
      </c>
      <c r="J354" s="5" t="s">
        <v>13</v>
      </c>
    </row>
    <row r="355" spans="1:10" ht="15.75" customHeight="1">
      <c r="A355" s="5">
        <v>353</v>
      </c>
      <c r="B355" s="6" t="str">
        <f t="shared" si="12"/>
        <v>2023113</v>
      </c>
      <c r="C355" s="6" t="s">
        <v>26</v>
      </c>
      <c r="D355" s="6" t="s">
        <v>18</v>
      </c>
      <c r="E355" s="6" t="str">
        <f>"张梦悦"</f>
        <v>张梦悦</v>
      </c>
      <c r="F355" s="6" t="str">
        <f>"20237162017"</f>
        <v>20237162017</v>
      </c>
      <c r="G355" s="7">
        <v>68.7</v>
      </c>
      <c r="H355" s="7">
        <v>58.7</v>
      </c>
      <c r="I355" s="7">
        <v>62.7</v>
      </c>
      <c r="J355" s="5" t="s">
        <v>13</v>
      </c>
    </row>
    <row r="356" spans="1:10" ht="15.75" customHeight="1">
      <c r="A356" s="5">
        <v>354</v>
      </c>
      <c r="B356" s="6" t="str">
        <f aca="true" t="shared" si="13" ref="B356:B380">"2023114"</f>
        <v>2023114</v>
      </c>
      <c r="C356" s="6" t="s">
        <v>27</v>
      </c>
      <c r="D356" s="6" t="s">
        <v>18</v>
      </c>
      <c r="E356" s="6" t="str">
        <f>"叶倩倩"</f>
        <v>叶倩倩</v>
      </c>
      <c r="F356" s="6" t="str">
        <f>"20237162115"</f>
        <v>20237162115</v>
      </c>
      <c r="G356" s="7">
        <v>98.1</v>
      </c>
      <c r="H356" s="7">
        <v>95.6</v>
      </c>
      <c r="I356" s="7">
        <v>96.6</v>
      </c>
      <c r="J356" s="5"/>
    </row>
    <row r="357" spans="1:10" ht="15.75" customHeight="1">
      <c r="A357" s="5">
        <v>355</v>
      </c>
      <c r="B357" s="6" t="str">
        <f t="shared" si="13"/>
        <v>2023114</v>
      </c>
      <c r="C357" s="6" t="s">
        <v>27</v>
      </c>
      <c r="D357" s="6" t="s">
        <v>18</v>
      </c>
      <c r="E357" s="6" t="str">
        <f>"郭雨露"</f>
        <v>郭雨露</v>
      </c>
      <c r="F357" s="6" t="str">
        <f>"20237162102"</f>
        <v>20237162102</v>
      </c>
      <c r="G357" s="7">
        <v>92.3</v>
      </c>
      <c r="H357" s="7">
        <v>97.1</v>
      </c>
      <c r="I357" s="7">
        <v>95.18</v>
      </c>
      <c r="J357" s="5"/>
    </row>
    <row r="358" spans="1:10" ht="15.75" customHeight="1">
      <c r="A358" s="5">
        <v>356</v>
      </c>
      <c r="B358" s="6" t="str">
        <f t="shared" si="13"/>
        <v>2023114</v>
      </c>
      <c r="C358" s="6" t="s">
        <v>27</v>
      </c>
      <c r="D358" s="6" t="s">
        <v>18</v>
      </c>
      <c r="E358" s="6" t="str">
        <f>"丁明慧"</f>
        <v>丁明慧</v>
      </c>
      <c r="F358" s="6" t="str">
        <f>"20237162127"</f>
        <v>20237162127</v>
      </c>
      <c r="G358" s="7">
        <v>100</v>
      </c>
      <c r="H358" s="7">
        <v>89.3</v>
      </c>
      <c r="I358" s="7">
        <v>93.58</v>
      </c>
      <c r="J358" s="5"/>
    </row>
    <row r="359" spans="1:10" ht="15.75" customHeight="1">
      <c r="A359" s="5">
        <v>357</v>
      </c>
      <c r="B359" s="6" t="str">
        <f t="shared" si="13"/>
        <v>2023114</v>
      </c>
      <c r="C359" s="6" t="s">
        <v>27</v>
      </c>
      <c r="D359" s="6" t="s">
        <v>18</v>
      </c>
      <c r="E359" s="6" t="str">
        <f>"徐雪晴"</f>
        <v>徐雪晴</v>
      </c>
      <c r="F359" s="6" t="str">
        <f>"20237162113"</f>
        <v>20237162113</v>
      </c>
      <c r="G359" s="7">
        <v>80.5</v>
      </c>
      <c r="H359" s="7">
        <v>101.8</v>
      </c>
      <c r="I359" s="7">
        <v>93.28</v>
      </c>
      <c r="J359" s="5"/>
    </row>
    <row r="360" spans="1:10" ht="15.75" customHeight="1">
      <c r="A360" s="5">
        <v>358</v>
      </c>
      <c r="B360" s="6" t="str">
        <f t="shared" si="13"/>
        <v>2023114</v>
      </c>
      <c r="C360" s="6" t="s">
        <v>27</v>
      </c>
      <c r="D360" s="6" t="s">
        <v>18</v>
      </c>
      <c r="E360" s="6" t="str">
        <f>"王慧子"</f>
        <v>王慧子</v>
      </c>
      <c r="F360" s="6" t="str">
        <f>"20237162103"</f>
        <v>20237162103</v>
      </c>
      <c r="G360" s="7">
        <v>101.7</v>
      </c>
      <c r="H360" s="7">
        <v>87.2</v>
      </c>
      <c r="I360" s="7">
        <v>93</v>
      </c>
      <c r="J360" s="5"/>
    </row>
    <row r="361" spans="1:10" ht="15.75" customHeight="1">
      <c r="A361" s="5">
        <v>359</v>
      </c>
      <c r="B361" s="6" t="str">
        <f t="shared" si="13"/>
        <v>2023114</v>
      </c>
      <c r="C361" s="6" t="s">
        <v>27</v>
      </c>
      <c r="D361" s="6" t="s">
        <v>18</v>
      </c>
      <c r="E361" s="6" t="str">
        <f>"王雪艳"</f>
        <v>王雪艳</v>
      </c>
      <c r="F361" s="6" t="str">
        <f>"20237162105"</f>
        <v>20237162105</v>
      </c>
      <c r="G361" s="7">
        <v>93.65</v>
      </c>
      <c r="H361" s="7">
        <v>90.6</v>
      </c>
      <c r="I361" s="7">
        <v>91.82</v>
      </c>
      <c r="J361" s="5"/>
    </row>
    <row r="362" spans="1:10" ht="15.75" customHeight="1">
      <c r="A362" s="5">
        <v>360</v>
      </c>
      <c r="B362" s="6" t="str">
        <f t="shared" si="13"/>
        <v>2023114</v>
      </c>
      <c r="C362" s="6" t="s">
        <v>27</v>
      </c>
      <c r="D362" s="6" t="s">
        <v>18</v>
      </c>
      <c r="E362" s="6" t="str">
        <f>"贾凡"</f>
        <v>贾凡</v>
      </c>
      <c r="F362" s="6" t="str">
        <f>"20237162205"</f>
        <v>20237162205</v>
      </c>
      <c r="G362" s="7">
        <v>80.15</v>
      </c>
      <c r="H362" s="7">
        <v>94.8</v>
      </c>
      <c r="I362" s="7">
        <v>88.94</v>
      </c>
      <c r="J362" s="5"/>
    </row>
    <row r="363" spans="1:10" ht="15.75" customHeight="1">
      <c r="A363" s="5">
        <v>361</v>
      </c>
      <c r="B363" s="6" t="str">
        <f t="shared" si="13"/>
        <v>2023114</v>
      </c>
      <c r="C363" s="6" t="s">
        <v>27</v>
      </c>
      <c r="D363" s="6" t="s">
        <v>18</v>
      </c>
      <c r="E363" s="6" t="str">
        <f>"张淼"</f>
        <v>张淼</v>
      </c>
      <c r="F363" s="6" t="str">
        <f>"20237162106"</f>
        <v>20237162106</v>
      </c>
      <c r="G363" s="7">
        <v>92.3</v>
      </c>
      <c r="H363" s="7">
        <v>80.2</v>
      </c>
      <c r="I363" s="7">
        <v>85.04</v>
      </c>
      <c r="J363" s="5"/>
    </row>
    <row r="364" spans="1:10" ht="15.75" customHeight="1">
      <c r="A364" s="5">
        <v>362</v>
      </c>
      <c r="B364" s="6" t="str">
        <f t="shared" si="13"/>
        <v>2023114</v>
      </c>
      <c r="C364" s="6" t="s">
        <v>27</v>
      </c>
      <c r="D364" s="6" t="s">
        <v>18</v>
      </c>
      <c r="E364" s="6" t="str">
        <f>"王静"</f>
        <v>王静</v>
      </c>
      <c r="F364" s="6" t="str">
        <f>"20237162204"</f>
        <v>20237162204</v>
      </c>
      <c r="G364" s="7">
        <v>88.75</v>
      </c>
      <c r="H364" s="7">
        <v>82</v>
      </c>
      <c r="I364" s="7">
        <v>84.7</v>
      </c>
      <c r="J364" s="5"/>
    </row>
    <row r="365" spans="1:10" ht="15.75" customHeight="1">
      <c r="A365" s="5">
        <v>363</v>
      </c>
      <c r="B365" s="6" t="str">
        <f t="shared" si="13"/>
        <v>2023114</v>
      </c>
      <c r="C365" s="6" t="s">
        <v>27</v>
      </c>
      <c r="D365" s="6" t="s">
        <v>18</v>
      </c>
      <c r="E365" s="6" t="str">
        <f>"赵苏婉"</f>
        <v>赵苏婉</v>
      </c>
      <c r="F365" s="6" t="str">
        <f>"20237162110"</f>
        <v>20237162110</v>
      </c>
      <c r="G365" s="7">
        <v>84.95</v>
      </c>
      <c r="H365" s="7">
        <v>83.1</v>
      </c>
      <c r="I365" s="7">
        <v>83.84</v>
      </c>
      <c r="J365" s="5"/>
    </row>
    <row r="366" spans="1:10" ht="15.75" customHeight="1">
      <c r="A366" s="5">
        <v>364</v>
      </c>
      <c r="B366" s="6" t="str">
        <f t="shared" si="13"/>
        <v>2023114</v>
      </c>
      <c r="C366" s="6" t="s">
        <v>27</v>
      </c>
      <c r="D366" s="6" t="s">
        <v>18</v>
      </c>
      <c r="E366" s="6" t="str">
        <f>"赵海燕"</f>
        <v>赵海燕</v>
      </c>
      <c r="F366" s="6" t="str">
        <f>"20237162122"</f>
        <v>20237162122</v>
      </c>
      <c r="G366" s="7">
        <v>78.15</v>
      </c>
      <c r="H366" s="7">
        <v>87.2</v>
      </c>
      <c r="I366" s="7">
        <v>83.58</v>
      </c>
      <c r="J366" s="5"/>
    </row>
    <row r="367" spans="1:10" ht="15.75" customHeight="1">
      <c r="A367" s="5">
        <v>365</v>
      </c>
      <c r="B367" s="6" t="str">
        <f t="shared" si="13"/>
        <v>2023114</v>
      </c>
      <c r="C367" s="6" t="s">
        <v>27</v>
      </c>
      <c r="D367" s="6" t="s">
        <v>18</v>
      </c>
      <c r="E367" s="6" t="str">
        <f>"程艳丽"</f>
        <v>程艳丽</v>
      </c>
      <c r="F367" s="6" t="str">
        <f>"20237162112"</f>
        <v>20237162112</v>
      </c>
      <c r="G367" s="7">
        <v>83.55</v>
      </c>
      <c r="H367" s="7">
        <v>82</v>
      </c>
      <c r="I367" s="7">
        <v>82.62</v>
      </c>
      <c r="J367" s="5"/>
    </row>
    <row r="368" spans="1:10" ht="15.75" customHeight="1">
      <c r="A368" s="5">
        <v>366</v>
      </c>
      <c r="B368" s="6" t="str">
        <f t="shared" si="13"/>
        <v>2023114</v>
      </c>
      <c r="C368" s="6" t="s">
        <v>27</v>
      </c>
      <c r="D368" s="6" t="s">
        <v>18</v>
      </c>
      <c r="E368" s="6" t="str">
        <f>"刘艳"</f>
        <v>刘艳</v>
      </c>
      <c r="F368" s="6" t="str">
        <f>"20237162203"</f>
        <v>20237162203</v>
      </c>
      <c r="G368" s="7">
        <v>76.65</v>
      </c>
      <c r="H368" s="7">
        <v>82</v>
      </c>
      <c r="I368" s="7">
        <v>79.86</v>
      </c>
      <c r="J368" s="5"/>
    </row>
    <row r="369" spans="1:10" ht="15.75" customHeight="1">
      <c r="A369" s="5">
        <v>367</v>
      </c>
      <c r="B369" s="6" t="str">
        <f t="shared" si="13"/>
        <v>2023114</v>
      </c>
      <c r="C369" s="6" t="s">
        <v>27</v>
      </c>
      <c r="D369" s="6" t="s">
        <v>18</v>
      </c>
      <c r="E369" s="6" t="str">
        <f>"司红"</f>
        <v>司红</v>
      </c>
      <c r="F369" s="6" t="str">
        <f>"20237162121"</f>
        <v>20237162121</v>
      </c>
      <c r="G369" s="7">
        <v>76.85</v>
      </c>
      <c r="H369" s="7">
        <v>81.8</v>
      </c>
      <c r="I369" s="7">
        <v>79.82</v>
      </c>
      <c r="J369" s="5"/>
    </row>
    <row r="370" spans="1:10" ht="15.75" customHeight="1">
      <c r="A370" s="5">
        <v>368</v>
      </c>
      <c r="B370" s="6" t="str">
        <f t="shared" si="13"/>
        <v>2023114</v>
      </c>
      <c r="C370" s="6" t="s">
        <v>27</v>
      </c>
      <c r="D370" s="6" t="s">
        <v>18</v>
      </c>
      <c r="E370" s="6" t="str">
        <f>"徐倩雯"</f>
        <v>徐倩雯</v>
      </c>
      <c r="F370" s="6" t="str">
        <f>"20237162119"</f>
        <v>20237162119</v>
      </c>
      <c r="G370" s="7">
        <v>65.55</v>
      </c>
      <c r="H370" s="7">
        <v>84.3</v>
      </c>
      <c r="I370" s="7">
        <v>76.8</v>
      </c>
      <c r="J370" s="5"/>
    </row>
    <row r="371" spans="1:10" ht="15.75" customHeight="1">
      <c r="A371" s="5">
        <v>369</v>
      </c>
      <c r="B371" s="6" t="str">
        <f t="shared" si="13"/>
        <v>2023114</v>
      </c>
      <c r="C371" s="6" t="s">
        <v>27</v>
      </c>
      <c r="D371" s="6" t="s">
        <v>18</v>
      </c>
      <c r="E371" s="6" t="str">
        <f>"张艳敏"</f>
        <v>张艳敏</v>
      </c>
      <c r="F371" s="6" t="str">
        <f>"20237162202"</f>
        <v>20237162202</v>
      </c>
      <c r="G371" s="7">
        <v>73.2</v>
      </c>
      <c r="H371" s="7">
        <v>78.4</v>
      </c>
      <c r="I371" s="7">
        <v>76.32</v>
      </c>
      <c r="J371" s="5"/>
    </row>
    <row r="372" spans="1:10" ht="15.75" customHeight="1">
      <c r="A372" s="5">
        <v>370</v>
      </c>
      <c r="B372" s="6" t="str">
        <f t="shared" si="13"/>
        <v>2023114</v>
      </c>
      <c r="C372" s="6" t="s">
        <v>27</v>
      </c>
      <c r="D372" s="6" t="s">
        <v>18</v>
      </c>
      <c r="E372" s="6" t="str">
        <f>"尤诗元"</f>
        <v>尤诗元</v>
      </c>
      <c r="F372" s="6" t="str">
        <f>"20237162111"</f>
        <v>20237162111</v>
      </c>
      <c r="G372" s="7">
        <v>75.3</v>
      </c>
      <c r="H372" s="7">
        <v>76.8</v>
      </c>
      <c r="I372" s="7">
        <v>76.2</v>
      </c>
      <c r="J372" s="5"/>
    </row>
    <row r="373" spans="1:10" ht="15.75" customHeight="1">
      <c r="A373" s="5">
        <v>371</v>
      </c>
      <c r="B373" s="6" t="str">
        <f t="shared" si="13"/>
        <v>2023114</v>
      </c>
      <c r="C373" s="6" t="s">
        <v>27</v>
      </c>
      <c r="D373" s="6" t="s">
        <v>18</v>
      </c>
      <c r="E373" s="6" t="str">
        <f>"冉梦晨"</f>
        <v>冉梦晨</v>
      </c>
      <c r="F373" s="6" t="str">
        <f>"20237162117"</f>
        <v>20237162117</v>
      </c>
      <c r="G373" s="7">
        <v>69.2</v>
      </c>
      <c r="H373" s="7">
        <v>80.5</v>
      </c>
      <c r="I373" s="7">
        <v>75.98</v>
      </c>
      <c r="J373" s="5"/>
    </row>
    <row r="374" spans="1:10" ht="15.75" customHeight="1">
      <c r="A374" s="5">
        <v>372</v>
      </c>
      <c r="B374" s="6" t="str">
        <f t="shared" si="13"/>
        <v>2023114</v>
      </c>
      <c r="C374" s="6" t="s">
        <v>27</v>
      </c>
      <c r="D374" s="6" t="s">
        <v>18</v>
      </c>
      <c r="E374" s="6" t="str">
        <f>"白如梦"</f>
        <v>白如梦</v>
      </c>
      <c r="F374" s="6" t="str">
        <f>"20237162108"</f>
        <v>20237162108</v>
      </c>
      <c r="G374" s="7">
        <v>86.95</v>
      </c>
      <c r="H374" s="7">
        <v>68.4</v>
      </c>
      <c r="I374" s="7">
        <v>75.82</v>
      </c>
      <c r="J374" s="5"/>
    </row>
    <row r="375" spans="1:10" ht="15.75" customHeight="1">
      <c r="A375" s="5">
        <v>373</v>
      </c>
      <c r="B375" s="6" t="str">
        <f t="shared" si="13"/>
        <v>2023114</v>
      </c>
      <c r="C375" s="6" t="s">
        <v>27</v>
      </c>
      <c r="D375" s="6" t="s">
        <v>18</v>
      </c>
      <c r="E375" s="6" t="str">
        <f>"陈天佑"</f>
        <v>陈天佑</v>
      </c>
      <c r="F375" s="6" t="str">
        <f>"20237162116"</f>
        <v>20237162116</v>
      </c>
      <c r="G375" s="7">
        <v>74.9</v>
      </c>
      <c r="H375" s="7">
        <v>74.5</v>
      </c>
      <c r="I375" s="7">
        <v>74.66</v>
      </c>
      <c r="J375" s="5"/>
    </row>
    <row r="376" spans="1:10" ht="15.75" customHeight="1">
      <c r="A376" s="5">
        <v>374</v>
      </c>
      <c r="B376" s="6" t="str">
        <f t="shared" si="13"/>
        <v>2023114</v>
      </c>
      <c r="C376" s="6" t="s">
        <v>27</v>
      </c>
      <c r="D376" s="6" t="s">
        <v>18</v>
      </c>
      <c r="E376" s="6" t="str">
        <f>"高祥婷"</f>
        <v>高祥婷</v>
      </c>
      <c r="F376" s="6" t="str">
        <f>"20237162129"</f>
        <v>20237162129</v>
      </c>
      <c r="G376" s="7">
        <v>69.75</v>
      </c>
      <c r="H376" s="7">
        <v>66</v>
      </c>
      <c r="I376" s="7">
        <v>67.5</v>
      </c>
      <c r="J376" s="5"/>
    </row>
    <row r="377" spans="1:10" ht="15.75" customHeight="1">
      <c r="A377" s="5">
        <v>375</v>
      </c>
      <c r="B377" s="6" t="str">
        <f t="shared" si="13"/>
        <v>2023114</v>
      </c>
      <c r="C377" s="6" t="s">
        <v>27</v>
      </c>
      <c r="D377" s="6" t="s">
        <v>18</v>
      </c>
      <c r="E377" s="6" t="str">
        <f>"高贝贝"</f>
        <v>高贝贝</v>
      </c>
      <c r="F377" s="6" t="str">
        <f>"20237162104"</f>
        <v>20237162104</v>
      </c>
      <c r="G377" s="7">
        <v>65.85</v>
      </c>
      <c r="H377" s="7">
        <v>68.2</v>
      </c>
      <c r="I377" s="7">
        <v>67.26</v>
      </c>
      <c r="J377" s="5"/>
    </row>
    <row r="378" spans="1:10" ht="15.75" customHeight="1">
      <c r="A378" s="5">
        <v>376</v>
      </c>
      <c r="B378" s="6" t="str">
        <f t="shared" si="13"/>
        <v>2023114</v>
      </c>
      <c r="C378" s="6" t="s">
        <v>27</v>
      </c>
      <c r="D378" s="6" t="s">
        <v>18</v>
      </c>
      <c r="E378" s="6" t="str">
        <f>"夏玉芳"</f>
        <v>夏玉芳</v>
      </c>
      <c r="F378" s="6" t="str">
        <f>"20237162101"</f>
        <v>20237162101</v>
      </c>
      <c r="G378" s="7">
        <v>53.7</v>
      </c>
      <c r="H378" s="7">
        <v>75</v>
      </c>
      <c r="I378" s="7">
        <v>66.48</v>
      </c>
      <c r="J378" s="5"/>
    </row>
    <row r="379" spans="1:10" ht="15.75" customHeight="1">
      <c r="A379" s="5">
        <v>377</v>
      </c>
      <c r="B379" s="6" t="str">
        <f t="shared" si="13"/>
        <v>2023114</v>
      </c>
      <c r="C379" s="6" t="s">
        <v>27</v>
      </c>
      <c r="D379" s="6" t="s">
        <v>18</v>
      </c>
      <c r="E379" s="6" t="str">
        <f>"郭恩灵"</f>
        <v>郭恩灵</v>
      </c>
      <c r="F379" s="6" t="str">
        <f>"20237162128"</f>
        <v>20237162128</v>
      </c>
      <c r="G379" s="7">
        <v>62.75</v>
      </c>
      <c r="H379" s="7">
        <v>63.5</v>
      </c>
      <c r="I379" s="7">
        <v>63.2</v>
      </c>
      <c r="J379" s="5" t="s">
        <v>13</v>
      </c>
    </row>
    <row r="380" spans="1:10" ht="15.75" customHeight="1">
      <c r="A380" s="5">
        <v>378</v>
      </c>
      <c r="B380" s="6" t="str">
        <f t="shared" si="13"/>
        <v>2023114</v>
      </c>
      <c r="C380" s="6" t="s">
        <v>27</v>
      </c>
      <c r="D380" s="6" t="s">
        <v>18</v>
      </c>
      <c r="E380" s="6" t="str">
        <f>"董宁宁"</f>
        <v>董宁宁</v>
      </c>
      <c r="F380" s="6" t="str">
        <f>"20237162109"</f>
        <v>20237162109</v>
      </c>
      <c r="G380" s="7">
        <v>59.8</v>
      </c>
      <c r="H380" s="7">
        <v>61.1</v>
      </c>
      <c r="I380" s="7">
        <v>60.58</v>
      </c>
      <c r="J380" s="5" t="s">
        <v>13</v>
      </c>
    </row>
  </sheetData>
  <sheetProtection/>
  <mergeCells count="1">
    <mergeCell ref="A1:J1"/>
  </mergeCells>
  <printOptions horizontalCentered="1"/>
  <pageMargins left="0.5548611111111111" right="0.5548611111111111" top="0.60625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2022-08-14T02:40:03Z</dcterms:created>
  <dcterms:modified xsi:type="dcterms:W3CDTF">2023-08-02T03:14:48Z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2C8F96186B07493F836FD0AA46210B61</vt:lpwstr>
  </property>
  <property fmtid="{D5CDD505-2E9C-101B-9397-08002B2CF9AE}" pid="5" name="KSOReadingLayo">
    <vt:bool>false</vt:bool>
  </property>
</Properties>
</file>