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（合格）聚四方之才 共建自贸港│定安县2023年招聘紧缺教师" sheetId="1" r:id="rId1"/>
  </sheets>
  <definedNames/>
  <calcPr fullCalcOnLoad="1"/>
</workbook>
</file>

<file path=xl/sharedStrings.xml><?xml version="1.0" encoding="utf-8"?>
<sst xmlns="http://schemas.openxmlformats.org/spreadsheetml/2006/main" count="2651" uniqueCount="31">
  <si>
    <t>聚四方之才 共建自贸港│定安县2023年招聘紧缺教师    合格人员</t>
  </si>
  <si>
    <t>序号</t>
  </si>
  <si>
    <t>报考号</t>
  </si>
  <si>
    <t>报考岗位</t>
  </si>
  <si>
    <t>姓名</t>
  </si>
  <si>
    <t>0101_小学道德法治</t>
  </si>
  <si>
    <t>0102_初中道德法治</t>
  </si>
  <si>
    <t>0103_初中语文教师</t>
  </si>
  <si>
    <t>0104_初中数学教师</t>
  </si>
  <si>
    <t>0105_初中英语教师</t>
  </si>
  <si>
    <t>0106_初中物理教师</t>
  </si>
  <si>
    <t>0107_初中化学教师</t>
  </si>
  <si>
    <t>0108_初中生物教师</t>
  </si>
  <si>
    <t>0109_初中历史教师</t>
  </si>
  <si>
    <t>0110_初中地理教师</t>
  </si>
  <si>
    <t>0111_初中信息技术教师</t>
  </si>
  <si>
    <t>0112_初中体育教师</t>
  </si>
  <si>
    <t>0113_初中音乐教师</t>
  </si>
  <si>
    <t>0114_初中美术教师</t>
  </si>
  <si>
    <t>0115_小学特殊教育专业教师</t>
  </si>
  <si>
    <t>0116_初中特殊教育专业教师</t>
  </si>
  <si>
    <t>0118_初中心理健康教师</t>
  </si>
  <si>
    <t>0119_高中语文教师</t>
  </si>
  <si>
    <t>0120_高中数学教师</t>
  </si>
  <si>
    <t>0121_高中英语教师</t>
  </si>
  <si>
    <t>0122_高中历史教师</t>
  </si>
  <si>
    <t>0123_高中生物教师</t>
  </si>
  <si>
    <t>0124_高中政治教师</t>
  </si>
  <si>
    <t>0125_高中体育教师</t>
  </si>
  <si>
    <t>0126_高中物理教师</t>
  </si>
  <si>
    <t>0127_高中地理教师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</si>
</sst>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48"/>
  <sheetViews>
    <sheetView tabSelected="1" workbookViewId="0" topLeftCell="A1">
      <selection activeCell="L8" sqref="L8"/>
    </sheetView>
  </sheetViews>
  <sheetFormatPr defaultColWidth="9.00390625" defaultRowHeight="34.5" customHeight="1"/>
  <cols>
    <col min="1" max="1" width="9.00390625" style="2" customWidth="1"/>
    <col min="2" max="2" width="27.140625" style="3" customWidth="1"/>
    <col min="3" max="3" width="26.8515625" style="3" customWidth="1"/>
    <col min="4" max="4" width="12.00390625" style="3" customWidth="1"/>
    <col min="5" max="16384" width="9.00390625" style="2" customWidth="1"/>
  </cols>
  <sheetData>
    <row r="1" spans="1:4" s="1" customFormat="1" ht="61.5" customHeight="1">
      <c r="A1" s="4" t="s">
        <v>0</v>
      </c>
      <c r="B1" s="5"/>
      <c r="C1" s="5"/>
      <c r="D1" s="5"/>
    </row>
    <row r="2" spans="1:4" s="1" customFormat="1" ht="34.5" customHeight="1">
      <c r="A2" s="6" t="s">
        <v>1</v>
      </c>
      <c r="B2" s="7" t="s">
        <v>2</v>
      </c>
      <c r="C2" s="7" t="s">
        <v>3</v>
      </c>
      <c r="D2" s="7" t="s">
        <v>4</v>
      </c>
    </row>
    <row r="3" spans="1:4" ht="34.5" customHeight="1">
      <c r="A3" s="8">
        <v>1</v>
      </c>
      <c r="B3" s="9" t="str">
        <f>"54112023062509012859777"</f>
        <v>54112023062509012859777</v>
      </c>
      <c r="C3" s="9" t="s">
        <v>5</v>
      </c>
      <c r="D3" s="9" t="str">
        <f>"王景荟"</f>
        <v>王景荟</v>
      </c>
    </row>
    <row r="4" spans="1:4" ht="34.5" customHeight="1">
      <c r="A4" s="8">
        <v>2</v>
      </c>
      <c r="B4" s="9" t="str">
        <f>"54112023062509342460149"</f>
        <v>54112023062509342460149</v>
      </c>
      <c r="C4" s="9" t="s">
        <v>5</v>
      </c>
      <c r="D4" s="9" t="str">
        <f>"黎昌柳"</f>
        <v>黎昌柳</v>
      </c>
    </row>
    <row r="5" spans="1:4" ht="34.5" customHeight="1">
      <c r="A5" s="8">
        <v>3</v>
      </c>
      <c r="B5" s="9" t="str">
        <f>"54112023062510480760792"</f>
        <v>54112023062510480760792</v>
      </c>
      <c r="C5" s="9" t="s">
        <v>5</v>
      </c>
      <c r="D5" s="9" t="str">
        <f>"王健汝"</f>
        <v>王健汝</v>
      </c>
    </row>
    <row r="6" spans="1:4" ht="34.5" customHeight="1">
      <c r="A6" s="8">
        <v>4</v>
      </c>
      <c r="B6" s="9" t="str">
        <f>"54112023062514584162718"</f>
        <v>54112023062514584162718</v>
      </c>
      <c r="C6" s="9" t="s">
        <v>5</v>
      </c>
      <c r="D6" s="9" t="str">
        <f>"赵兴坤"</f>
        <v>赵兴坤</v>
      </c>
    </row>
    <row r="7" spans="1:4" ht="34.5" customHeight="1">
      <c r="A7" s="8">
        <v>5</v>
      </c>
      <c r="B7" s="9" t="str">
        <f>"54112023062514463762639"</f>
        <v>54112023062514463762639</v>
      </c>
      <c r="C7" s="9" t="s">
        <v>5</v>
      </c>
      <c r="D7" s="9" t="str">
        <f>"吴云"</f>
        <v>吴云</v>
      </c>
    </row>
    <row r="8" spans="1:4" ht="34.5" customHeight="1">
      <c r="A8" s="8">
        <v>6</v>
      </c>
      <c r="B8" s="9" t="str">
        <f>"54112023062513434662321"</f>
        <v>54112023062513434662321</v>
      </c>
      <c r="C8" s="9" t="s">
        <v>5</v>
      </c>
      <c r="D8" s="9" t="str">
        <f>"吴娟爱"</f>
        <v>吴娟爱</v>
      </c>
    </row>
    <row r="9" spans="1:4" ht="34.5" customHeight="1">
      <c r="A9" s="8">
        <v>7</v>
      </c>
      <c r="B9" s="9" t="str">
        <f>"54112023062515375962986"</f>
        <v>54112023062515375962986</v>
      </c>
      <c r="C9" s="9" t="s">
        <v>5</v>
      </c>
      <c r="D9" s="9" t="str">
        <f>"陈锦春"</f>
        <v>陈锦春</v>
      </c>
    </row>
    <row r="10" spans="1:4" ht="34.5" customHeight="1">
      <c r="A10" s="8">
        <v>8</v>
      </c>
      <c r="B10" s="9" t="str">
        <f>"54112023062516031963158"</f>
        <v>54112023062516031963158</v>
      </c>
      <c r="C10" s="9" t="s">
        <v>5</v>
      </c>
      <c r="D10" s="9" t="str">
        <f>"羊燕"</f>
        <v>羊燕</v>
      </c>
    </row>
    <row r="11" spans="1:4" ht="34.5" customHeight="1">
      <c r="A11" s="8">
        <v>9</v>
      </c>
      <c r="B11" s="9" t="str">
        <f>"54112023062519034763899"</f>
        <v>54112023062519034763899</v>
      </c>
      <c r="C11" s="9" t="s">
        <v>5</v>
      </c>
      <c r="D11" s="9" t="str">
        <f>"吴带秀"</f>
        <v>吴带秀</v>
      </c>
    </row>
    <row r="12" spans="1:4" ht="34.5" customHeight="1">
      <c r="A12" s="8">
        <v>10</v>
      </c>
      <c r="B12" s="9" t="str">
        <f>"54112023062519090063911"</f>
        <v>54112023062519090063911</v>
      </c>
      <c r="C12" s="9" t="s">
        <v>5</v>
      </c>
      <c r="D12" s="9" t="str">
        <f>"张娜"</f>
        <v>张娜</v>
      </c>
    </row>
    <row r="13" spans="1:4" ht="34.5" customHeight="1">
      <c r="A13" s="8">
        <v>11</v>
      </c>
      <c r="B13" s="9" t="str">
        <f>"54112023062520290864225"</f>
        <v>54112023062520290864225</v>
      </c>
      <c r="C13" s="9" t="s">
        <v>5</v>
      </c>
      <c r="D13" s="9" t="str">
        <f>"符雨萌"</f>
        <v>符雨萌</v>
      </c>
    </row>
    <row r="14" spans="1:4" ht="34.5" customHeight="1">
      <c r="A14" s="8">
        <v>12</v>
      </c>
      <c r="B14" s="9" t="str">
        <f>"54112023062522172564766"</f>
        <v>54112023062522172564766</v>
      </c>
      <c r="C14" s="9" t="s">
        <v>5</v>
      </c>
      <c r="D14" s="9" t="str">
        <f>"吴富菊"</f>
        <v>吴富菊</v>
      </c>
    </row>
    <row r="15" spans="1:4" ht="34.5" customHeight="1">
      <c r="A15" s="8">
        <v>13</v>
      </c>
      <c r="B15" s="9" t="str">
        <f>"54112023062522314864815"</f>
        <v>54112023062522314864815</v>
      </c>
      <c r="C15" s="9" t="s">
        <v>5</v>
      </c>
      <c r="D15" s="9" t="str">
        <f>"吴兰"</f>
        <v>吴兰</v>
      </c>
    </row>
    <row r="16" spans="1:4" ht="34.5" customHeight="1">
      <c r="A16" s="8">
        <v>14</v>
      </c>
      <c r="B16" s="9" t="str">
        <f>"54112023062522033664716"</f>
        <v>54112023062522033664716</v>
      </c>
      <c r="C16" s="9" t="s">
        <v>5</v>
      </c>
      <c r="D16" s="9" t="str">
        <f>"吴梅妹"</f>
        <v>吴梅妹</v>
      </c>
    </row>
    <row r="17" spans="1:4" ht="34.5" customHeight="1">
      <c r="A17" s="8">
        <v>15</v>
      </c>
      <c r="B17" s="9" t="str">
        <f>"54112023062511031460890"</f>
        <v>54112023062511031460890</v>
      </c>
      <c r="C17" s="9" t="s">
        <v>5</v>
      </c>
      <c r="D17" s="9" t="str">
        <f>"刘如欣"</f>
        <v>刘如欣</v>
      </c>
    </row>
    <row r="18" spans="1:4" ht="34.5" customHeight="1">
      <c r="A18" s="8">
        <v>16</v>
      </c>
      <c r="B18" s="9" t="str">
        <f>"54112023062516022563151"</f>
        <v>54112023062516022563151</v>
      </c>
      <c r="C18" s="9" t="s">
        <v>5</v>
      </c>
      <c r="D18" s="9" t="str">
        <f>"王秀媚"</f>
        <v>王秀媚</v>
      </c>
    </row>
    <row r="19" spans="1:4" ht="34.5" customHeight="1">
      <c r="A19" s="8">
        <v>17</v>
      </c>
      <c r="B19" s="9" t="str">
        <f>"54112023062521331264561"</f>
        <v>54112023062521331264561</v>
      </c>
      <c r="C19" s="9" t="s">
        <v>5</v>
      </c>
      <c r="D19" s="9" t="str">
        <f>"张小婷"</f>
        <v>张小婷</v>
      </c>
    </row>
    <row r="20" spans="1:4" ht="34.5" customHeight="1">
      <c r="A20" s="8">
        <v>18</v>
      </c>
      <c r="B20" s="9" t="str">
        <f>"54112023062608500365430"</f>
        <v>54112023062608500365430</v>
      </c>
      <c r="C20" s="9" t="s">
        <v>5</v>
      </c>
      <c r="D20" s="9" t="str">
        <f>"罗孟珠"</f>
        <v>罗孟珠</v>
      </c>
    </row>
    <row r="21" spans="1:4" ht="34.5" customHeight="1">
      <c r="A21" s="8">
        <v>19</v>
      </c>
      <c r="B21" s="9" t="str">
        <f>"54112023062510354160706"</f>
        <v>54112023062510354160706</v>
      </c>
      <c r="C21" s="9" t="s">
        <v>5</v>
      </c>
      <c r="D21" s="9" t="str">
        <f>"蔡小琼"</f>
        <v>蔡小琼</v>
      </c>
    </row>
    <row r="22" spans="1:4" ht="34.5" customHeight="1">
      <c r="A22" s="8">
        <v>20</v>
      </c>
      <c r="B22" s="9" t="str">
        <f>"54112023062609460566359"</f>
        <v>54112023062609460566359</v>
      </c>
      <c r="C22" s="9" t="s">
        <v>5</v>
      </c>
      <c r="D22" s="9" t="str">
        <f>"黎小雯"</f>
        <v>黎小雯</v>
      </c>
    </row>
    <row r="23" spans="1:4" ht="34.5" customHeight="1">
      <c r="A23" s="8">
        <v>21</v>
      </c>
      <c r="B23" s="9" t="str">
        <f>"54112023062508372459675"</f>
        <v>54112023062508372459675</v>
      </c>
      <c r="C23" s="9" t="s">
        <v>5</v>
      </c>
      <c r="D23" s="9" t="str">
        <f>"王丹女"</f>
        <v>王丹女</v>
      </c>
    </row>
    <row r="24" spans="1:4" ht="34.5" customHeight="1">
      <c r="A24" s="8">
        <v>22</v>
      </c>
      <c r="B24" s="9" t="str">
        <f>"54112023062609570966553"</f>
        <v>54112023062609570966553</v>
      </c>
      <c r="C24" s="9" t="s">
        <v>5</v>
      </c>
      <c r="D24" s="9" t="str">
        <f>"黄婷"</f>
        <v>黄婷</v>
      </c>
    </row>
    <row r="25" spans="1:4" ht="34.5" customHeight="1">
      <c r="A25" s="8">
        <v>23</v>
      </c>
      <c r="B25" s="9" t="str">
        <f>"54112023062515102862796"</f>
        <v>54112023062515102862796</v>
      </c>
      <c r="C25" s="9" t="s">
        <v>5</v>
      </c>
      <c r="D25" s="9" t="str">
        <f>"吴燕"</f>
        <v>吴燕</v>
      </c>
    </row>
    <row r="26" spans="1:4" ht="34.5" customHeight="1">
      <c r="A26" s="8">
        <v>24</v>
      </c>
      <c r="B26" s="9" t="str">
        <f>"54112023062610414467218"</f>
        <v>54112023062610414467218</v>
      </c>
      <c r="C26" s="9" t="s">
        <v>5</v>
      </c>
      <c r="D26" s="9" t="str">
        <f>"陈余金"</f>
        <v>陈余金</v>
      </c>
    </row>
    <row r="27" spans="1:4" ht="34.5" customHeight="1">
      <c r="A27" s="8">
        <v>25</v>
      </c>
      <c r="B27" s="9" t="str">
        <f>"54112023062611295267809"</f>
        <v>54112023062611295267809</v>
      </c>
      <c r="C27" s="9" t="s">
        <v>5</v>
      </c>
      <c r="D27" s="9" t="str">
        <f>"黎金玉"</f>
        <v>黎金玉</v>
      </c>
    </row>
    <row r="28" spans="1:4" ht="34.5" customHeight="1">
      <c r="A28" s="8">
        <v>26</v>
      </c>
      <c r="B28" s="9" t="str">
        <f>"54112023062514441962620"</f>
        <v>54112023062514441962620</v>
      </c>
      <c r="C28" s="9" t="s">
        <v>5</v>
      </c>
      <c r="D28" s="9" t="str">
        <f>"黄志灵"</f>
        <v>黄志灵</v>
      </c>
    </row>
    <row r="29" spans="1:4" ht="34.5" customHeight="1">
      <c r="A29" s="8">
        <v>27</v>
      </c>
      <c r="B29" s="9" t="str">
        <f>"54112023062615341169296"</f>
        <v>54112023062615341169296</v>
      </c>
      <c r="C29" s="9" t="s">
        <v>5</v>
      </c>
      <c r="D29" s="9" t="str">
        <f>"孙学薇"</f>
        <v>孙学薇</v>
      </c>
    </row>
    <row r="30" spans="1:4" ht="34.5" customHeight="1">
      <c r="A30" s="8">
        <v>28</v>
      </c>
      <c r="B30" s="9" t="str">
        <f>"54112023062615494969422"</f>
        <v>54112023062615494969422</v>
      </c>
      <c r="C30" s="9" t="s">
        <v>5</v>
      </c>
      <c r="D30" s="9" t="str">
        <f>"梁雪棚"</f>
        <v>梁雪棚</v>
      </c>
    </row>
    <row r="31" spans="1:4" ht="34.5" customHeight="1">
      <c r="A31" s="8">
        <v>29</v>
      </c>
      <c r="B31" s="9" t="str">
        <f>"54112023062616341069745"</f>
        <v>54112023062616341069745</v>
      </c>
      <c r="C31" s="9" t="s">
        <v>5</v>
      </c>
      <c r="D31" s="9" t="str">
        <f>"莫镕蔚"</f>
        <v>莫镕蔚</v>
      </c>
    </row>
    <row r="32" spans="1:4" ht="34.5" customHeight="1">
      <c r="A32" s="8">
        <v>30</v>
      </c>
      <c r="B32" s="9" t="str">
        <f>"54112023062617114869991"</f>
        <v>54112023062617114869991</v>
      </c>
      <c r="C32" s="9" t="s">
        <v>5</v>
      </c>
      <c r="D32" s="9" t="str">
        <f>"何仁妹"</f>
        <v>何仁妹</v>
      </c>
    </row>
    <row r="33" spans="1:4" ht="34.5" customHeight="1">
      <c r="A33" s="8">
        <v>31</v>
      </c>
      <c r="B33" s="9" t="str">
        <f>"54112023062619445170707"</f>
        <v>54112023062619445170707</v>
      </c>
      <c r="C33" s="9" t="s">
        <v>5</v>
      </c>
      <c r="D33" s="9" t="str">
        <f>"符海娟"</f>
        <v>符海娟</v>
      </c>
    </row>
    <row r="34" spans="1:4" ht="34.5" customHeight="1">
      <c r="A34" s="8">
        <v>32</v>
      </c>
      <c r="B34" s="9" t="str">
        <f>"54112023062616260969686"</f>
        <v>54112023062616260969686</v>
      </c>
      <c r="C34" s="9" t="s">
        <v>5</v>
      </c>
      <c r="D34" s="9" t="str">
        <f>"韩子珍"</f>
        <v>韩子珍</v>
      </c>
    </row>
    <row r="35" spans="1:4" ht="34.5" customHeight="1">
      <c r="A35" s="8">
        <v>33</v>
      </c>
      <c r="B35" s="9" t="str">
        <f>"54112023062621192871176"</f>
        <v>54112023062621192871176</v>
      </c>
      <c r="C35" s="9" t="s">
        <v>5</v>
      </c>
      <c r="D35" s="9" t="str">
        <f>"庄珍妮"</f>
        <v>庄珍妮</v>
      </c>
    </row>
    <row r="36" spans="1:4" ht="34.5" customHeight="1">
      <c r="A36" s="8">
        <v>34</v>
      </c>
      <c r="B36" s="9" t="str">
        <f>"54112023062521443264629"</f>
        <v>54112023062521443264629</v>
      </c>
      <c r="C36" s="9" t="s">
        <v>5</v>
      </c>
      <c r="D36" s="9" t="str">
        <f>"许海花"</f>
        <v>许海花</v>
      </c>
    </row>
    <row r="37" spans="1:4" ht="34.5" customHeight="1">
      <c r="A37" s="8">
        <v>35</v>
      </c>
      <c r="B37" s="9" t="str">
        <f>"54112023062621201171182"</f>
        <v>54112023062621201171182</v>
      </c>
      <c r="C37" s="9" t="s">
        <v>5</v>
      </c>
      <c r="D37" s="9" t="str">
        <f>"陈秋萍"</f>
        <v>陈秋萍</v>
      </c>
    </row>
    <row r="38" spans="1:4" ht="34.5" customHeight="1">
      <c r="A38" s="8">
        <v>36</v>
      </c>
      <c r="B38" s="9" t="str">
        <f>"54112023062622003671378"</f>
        <v>54112023062622003671378</v>
      </c>
      <c r="C38" s="9" t="s">
        <v>5</v>
      </c>
      <c r="D38" s="9" t="str">
        <f>"宁子威"</f>
        <v>宁子威</v>
      </c>
    </row>
    <row r="39" spans="1:4" ht="34.5" customHeight="1">
      <c r="A39" s="8">
        <v>37</v>
      </c>
      <c r="B39" s="9" t="str">
        <f>"54112023062622232071492"</f>
        <v>54112023062622232071492</v>
      </c>
      <c r="C39" s="9" t="s">
        <v>5</v>
      </c>
      <c r="D39" s="9" t="str">
        <f>"黎小谢"</f>
        <v>黎小谢</v>
      </c>
    </row>
    <row r="40" spans="1:4" ht="34.5" customHeight="1">
      <c r="A40" s="8">
        <v>38</v>
      </c>
      <c r="B40" s="9" t="str">
        <f>"54112023062623260071720"</f>
        <v>54112023062623260071720</v>
      </c>
      <c r="C40" s="9" t="s">
        <v>5</v>
      </c>
      <c r="D40" s="9" t="str">
        <f>"李小丽"</f>
        <v>李小丽</v>
      </c>
    </row>
    <row r="41" spans="1:4" ht="34.5" customHeight="1">
      <c r="A41" s="8">
        <v>39</v>
      </c>
      <c r="B41" s="9" t="str">
        <f>"54112023062618205070346"</f>
        <v>54112023062618205070346</v>
      </c>
      <c r="C41" s="9" t="s">
        <v>5</v>
      </c>
      <c r="D41" s="9" t="str">
        <f>"张逗逗"</f>
        <v>张逗逗</v>
      </c>
    </row>
    <row r="42" spans="1:4" ht="34.5" customHeight="1">
      <c r="A42" s="8">
        <v>40</v>
      </c>
      <c r="B42" s="9" t="str">
        <f>"54112023062710452673173"</f>
        <v>54112023062710452673173</v>
      </c>
      <c r="C42" s="9" t="s">
        <v>5</v>
      </c>
      <c r="D42" s="9" t="str">
        <f>"张蕾"</f>
        <v>张蕾</v>
      </c>
    </row>
    <row r="43" spans="1:4" ht="34.5" customHeight="1">
      <c r="A43" s="8">
        <v>41</v>
      </c>
      <c r="B43" s="9" t="str">
        <f>"54112023062710580273247"</f>
        <v>54112023062710580273247</v>
      </c>
      <c r="C43" s="9" t="s">
        <v>5</v>
      </c>
      <c r="D43" s="9" t="str">
        <f>"羊丽英"</f>
        <v>羊丽英</v>
      </c>
    </row>
    <row r="44" spans="1:4" ht="34.5" customHeight="1">
      <c r="A44" s="8">
        <v>42</v>
      </c>
      <c r="B44" s="9" t="str">
        <f>"54112023062709015572219"</f>
        <v>54112023062709015572219</v>
      </c>
      <c r="C44" s="9" t="s">
        <v>5</v>
      </c>
      <c r="D44" s="9" t="str">
        <f>"周义深"</f>
        <v>周义深</v>
      </c>
    </row>
    <row r="45" spans="1:4" ht="34.5" customHeight="1">
      <c r="A45" s="8">
        <v>43</v>
      </c>
      <c r="B45" s="9" t="str">
        <f>"54112023062711251973371"</f>
        <v>54112023062711251973371</v>
      </c>
      <c r="C45" s="9" t="s">
        <v>5</v>
      </c>
      <c r="D45" s="9" t="str">
        <f>"吕宜江"</f>
        <v>吕宜江</v>
      </c>
    </row>
    <row r="46" spans="1:4" ht="34.5" customHeight="1">
      <c r="A46" s="8">
        <v>44</v>
      </c>
      <c r="B46" s="9" t="str">
        <f>"54112023062711553573490"</f>
        <v>54112023062711553573490</v>
      </c>
      <c r="C46" s="9" t="s">
        <v>5</v>
      </c>
      <c r="D46" s="9" t="str">
        <f>"羊娥萱"</f>
        <v>羊娥萱</v>
      </c>
    </row>
    <row r="47" spans="1:4" ht="34.5" customHeight="1">
      <c r="A47" s="8">
        <v>45</v>
      </c>
      <c r="B47" s="9" t="str">
        <f>"54112023062715031274106"</f>
        <v>54112023062715031274106</v>
      </c>
      <c r="C47" s="9" t="s">
        <v>5</v>
      </c>
      <c r="D47" s="9" t="str">
        <f>"余业珍"</f>
        <v>余业珍</v>
      </c>
    </row>
    <row r="48" spans="1:4" ht="34.5" customHeight="1">
      <c r="A48" s="8">
        <v>46</v>
      </c>
      <c r="B48" s="9" t="str">
        <f>"54112023062715365174261"</f>
        <v>54112023062715365174261</v>
      </c>
      <c r="C48" s="9" t="s">
        <v>5</v>
      </c>
      <c r="D48" s="9" t="str">
        <f>"梁译匀"</f>
        <v>梁译匀</v>
      </c>
    </row>
    <row r="49" spans="1:4" ht="34.5" customHeight="1">
      <c r="A49" s="8">
        <v>47</v>
      </c>
      <c r="B49" s="9" t="str">
        <f>"54112023062717112675035"</f>
        <v>54112023062717112675035</v>
      </c>
      <c r="C49" s="9" t="s">
        <v>5</v>
      </c>
      <c r="D49" s="9" t="str">
        <f>"许文雅"</f>
        <v>许文雅</v>
      </c>
    </row>
    <row r="50" spans="1:4" ht="34.5" customHeight="1">
      <c r="A50" s="8">
        <v>48</v>
      </c>
      <c r="B50" s="9" t="str">
        <f>"54112023062707170371909"</f>
        <v>54112023062707170371909</v>
      </c>
      <c r="C50" s="9" t="s">
        <v>5</v>
      </c>
      <c r="D50" s="9" t="str">
        <f>"陈小玲"</f>
        <v>陈小玲</v>
      </c>
    </row>
    <row r="51" spans="1:4" ht="34.5" customHeight="1">
      <c r="A51" s="8">
        <v>49</v>
      </c>
      <c r="B51" s="9" t="str">
        <f>"54112023062718424575383"</f>
        <v>54112023062718424575383</v>
      </c>
      <c r="C51" s="9" t="s">
        <v>5</v>
      </c>
      <c r="D51" s="9" t="str">
        <f>"王萍"</f>
        <v>王萍</v>
      </c>
    </row>
    <row r="52" spans="1:4" ht="34.5" customHeight="1">
      <c r="A52" s="8">
        <v>50</v>
      </c>
      <c r="B52" s="9" t="str">
        <f>"54112023062720310175719"</f>
        <v>54112023062720310175719</v>
      </c>
      <c r="C52" s="9" t="s">
        <v>5</v>
      </c>
      <c r="D52" s="9" t="str">
        <f>"蔡永乐"</f>
        <v>蔡永乐</v>
      </c>
    </row>
    <row r="53" spans="1:4" ht="34.5" customHeight="1">
      <c r="A53" s="8">
        <v>51</v>
      </c>
      <c r="B53" s="9" t="str">
        <f>"54112023062514293262529"</f>
        <v>54112023062514293262529</v>
      </c>
      <c r="C53" s="9" t="s">
        <v>5</v>
      </c>
      <c r="D53" s="9" t="str">
        <f>"柳雨霞"</f>
        <v>柳雨霞</v>
      </c>
    </row>
    <row r="54" spans="1:4" ht="34.5" customHeight="1">
      <c r="A54" s="8">
        <v>52</v>
      </c>
      <c r="B54" s="9" t="str">
        <f>"54112023062722194176131"</f>
        <v>54112023062722194176131</v>
      </c>
      <c r="C54" s="9" t="s">
        <v>5</v>
      </c>
      <c r="D54" s="9" t="str">
        <f>"王晶晶"</f>
        <v>王晶晶</v>
      </c>
    </row>
    <row r="55" spans="1:4" ht="34.5" customHeight="1">
      <c r="A55" s="8">
        <v>53</v>
      </c>
      <c r="B55" s="9" t="str">
        <f>"54112023062723043676265"</f>
        <v>54112023062723043676265</v>
      </c>
      <c r="C55" s="9" t="s">
        <v>5</v>
      </c>
      <c r="D55" s="9" t="str">
        <f>"吴锋"</f>
        <v>吴锋</v>
      </c>
    </row>
    <row r="56" spans="1:4" ht="34.5" customHeight="1">
      <c r="A56" s="8">
        <v>54</v>
      </c>
      <c r="B56" s="9" t="str">
        <f>"54112023062806220776447"</f>
        <v>54112023062806220776447</v>
      </c>
      <c r="C56" s="9" t="s">
        <v>5</v>
      </c>
      <c r="D56" s="9" t="str">
        <f>"周萍"</f>
        <v>周萍</v>
      </c>
    </row>
    <row r="57" spans="1:4" ht="34.5" customHeight="1">
      <c r="A57" s="8">
        <v>55</v>
      </c>
      <c r="B57" s="9" t="str">
        <f>"54112023062808242776558"</f>
        <v>54112023062808242776558</v>
      </c>
      <c r="C57" s="9" t="s">
        <v>5</v>
      </c>
      <c r="D57" s="9" t="str">
        <f>"林萍萍"</f>
        <v>林萍萍</v>
      </c>
    </row>
    <row r="58" spans="1:4" ht="34.5" customHeight="1">
      <c r="A58" s="8">
        <v>56</v>
      </c>
      <c r="B58" s="9" t="str">
        <f>"54112023062615494769421"</f>
        <v>54112023062615494769421</v>
      </c>
      <c r="C58" s="9" t="s">
        <v>5</v>
      </c>
      <c r="D58" s="9" t="str">
        <f>"何发川"</f>
        <v>何发川</v>
      </c>
    </row>
    <row r="59" spans="1:4" ht="34.5" customHeight="1">
      <c r="A59" s="8">
        <v>57</v>
      </c>
      <c r="B59" s="9" t="str">
        <f>"54112023062809334676878"</f>
        <v>54112023062809334676878</v>
      </c>
      <c r="C59" s="9" t="s">
        <v>5</v>
      </c>
      <c r="D59" s="9" t="str">
        <f>"陈小红"</f>
        <v>陈小红</v>
      </c>
    </row>
    <row r="60" spans="1:4" ht="34.5" customHeight="1">
      <c r="A60" s="8">
        <v>58</v>
      </c>
      <c r="B60" s="9" t="str">
        <f>"54112023062809262276839"</f>
        <v>54112023062809262276839</v>
      </c>
      <c r="C60" s="9" t="s">
        <v>5</v>
      </c>
      <c r="D60" s="9" t="str">
        <f>"杨艳芳"</f>
        <v>杨艳芳</v>
      </c>
    </row>
    <row r="61" spans="1:4" ht="34.5" customHeight="1">
      <c r="A61" s="8">
        <v>59</v>
      </c>
      <c r="B61" s="9" t="str">
        <f>"54112023062810110977074"</f>
        <v>54112023062810110977074</v>
      </c>
      <c r="C61" s="9" t="s">
        <v>5</v>
      </c>
      <c r="D61" s="9" t="str">
        <f>"陈炯芳"</f>
        <v>陈炯芳</v>
      </c>
    </row>
    <row r="62" spans="1:4" ht="34.5" customHeight="1">
      <c r="A62" s="8">
        <v>60</v>
      </c>
      <c r="B62" s="9" t="str">
        <f>"54112023062511215861032"</f>
        <v>54112023062511215861032</v>
      </c>
      <c r="C62" s="9" t="s">
        <v>5</v>
      </c>
      <c r="D62" s="9" t="str">
        <f>"梁嘉金"</f>
        <v>梁嘉金</v>
      </c>
    </row>
    <row r="63" spans="1:4" ht="34.5" customHeight="1">
      <c r="A63" s="8">
        <v>61</v>
      </c>
      <c r="B63" s="9" t="str">
        <f>"54112023062808450176630"</f>
        <v>54112023062808450176630</v>
      </c>
      <c r="C63" s="9" t="s">
        <v>5</v>
      </c>
      <c r="D63" s="9" t="str">
        <f>"唐德嘉"</f>
        <v>唐德嘉</v>
      </c>
    </row>
    <row r="64" spans="1:4" ht="34.5" customHeight="1">
      <c r="A64" s="8">
        <v>62</v>
      </c>
      <c r="B64" s="9" t="str">
        <f>"54112023062813181477976"</f>
        <v>54112023062813181477976</v>
      </c>
      <c r="C64" s="9" t="s">
        <v>5</v>
      </c>
      <c r="D64" s="9" t="str">
        <f>"杨中妹"</f>
        <v>杨中妹</v>
      </c>
    </row>
    <row r="65" spans="1:4" ht="34.5" customHeight="1">
      <c r="A65" s="8">
        <v>63</v>
      </c>
      <c r="B65" s="9" t="str">
        <f>"54112023062816233878735"</f>
        <v>54112023062816233878735</v>
      </c>
      <c r="C65" s="9" t="s">
        <v>5</v>
      </c>
      <c r="D65" s="9" t="str">
        <f>"唐文慧"</f>
        <v>唐文慧</v>
      </c>
    </row>
    <row r="66" spans="1:4" ht="34.5" customHeight="1">
      <c r="A66" s="8">
        <v>64</v>
      </c>
      <c r="B66" s="9" t="str">
        <f>"54112023062817103978936"</f>
        <v>54112023062817103978936</v>
      </c>
      <c r="C66" s="9" t="s">
        <v>5</v>
      </c>
      <c r="D66" s="9" t="str">
        <f>"吴春蕊"</f>
        <v>吴春蕊</v>
      </c>
    </row>
    <row r="67" spans="1:4" ht="34.5" customHeight="1">
      <c r="A67" s="8">
        <v>65</v>
      </c>
      <c r="B67" s="9" t="str">
        <f>"54112023062819115779343"</f>
        <v>54112023062819115779343</v>
      </c>
      <c r="C67" s="9" t="s">
        <v>5</v>
      </c>
      <c r="D67" s="9" t="str">
        <f>"李苗"</f>
        <v>李苗</v>
      </c>
    </row>
    <row r="68" spans="1:4" ht="34.5" customHeight="1">
      <c r="A68" s="8">
        <v>66</v>
      </c>
      <c r="B68" s="9" t="str">
        <f>"54112023062816173478707"</f>
        <v>54112023062816173478707</v>
      </c>
      <c r="C68" s="9" t="s">
        <v>5</v>
      </c>
      <c r="D68" s="9" t="str">
        <f>"黄怡芹"</f>
        <v>黄怡芹</v>
      </c>
    </row>
    <row r="69" spans="1:4" ht="34.5" customHeight="1">
      <c r="A69" s="8">
        <v>67</v>
      </c>
      <c r="B69" s="9" t="str">
        <f>"54112023062519371164014"</f>
        <v>54112023062519371164014</v>
      </c>
      <c r="C69" s="9" t="s">
        <v>5</v>
      </c>
      <c r="D69" s="9" t="str">
        <f>"李月美"</f>
        <v>李月美</v>
      </c>
    </row>
    <row r="70" spans="1:4" ht="34.5" customHeight="1">
      <c r="A70" s="8">
        <v>68</v>
      </c>
      <c r="B70" s="9" t="str">
        <f>"54112023062821581079961"</f>
        <v>54112023062821581079961</v>
      </c>
      <c r="C70" s="9" t="s">
        <v>5</v>
      </c>
      <c r="D70" s="9" t="str">
        <f>"邱丽翔"</f>
        <v>邱丽翔</v>
      </c>
    </row>
    <row r="71" spans="1:4" ht="34.5" customHeight="1">
      <c r="A71" s="8">
        <v>69</v>
      </c>
      <c r="B71" s="9" t="str">
        <f>"54112023062809010476699"</f>
        <v>54112023062809010476699</v>
      </c>
      <c r="C71" s="9" t="s">
        <v>5</v>
      </c>
      <c r="D71" s="9" t="str">
        <f>"刘慧英"</f>
        <v>刘慧英</v>
      </c>
    </row>
    <row r="72" spans="1:4" ht="34.5" customHeight="1">
      <c r="A72" s="8">
        <v>70</v>
      </c>
      <c r="B72" s="9" t="str">
        <f>"54112023062823304180284"</f>
        <v>54112023062823304180284</v>
      </c>
      <c r="C72" s="9" t="s">
        <v>5</v>
      </c>
      <c r="D72" s="9" t="str">
        <f>"王金桂"</f>
        <v>王金桂</v>
      </c>
    </row>
    <row r="73" spans="1:4" ht="34.5" customHeight="1">
      <c r="A73" s="8">
        <v>71</v>
      </c>
      <c r="B73" s="9" t="str">
        <f>"54112023062908112480523"</f>
        <v>54112023062908112480523</v>
      </c>
      <c r="C73" s="9" t="s">
        <v>5</v>
      </c>
      <c r="D73" s="9" t="str">
        <f>"黎姝姹"</f>
        <v>黎姝姹</v>
      </c>
    </row>
    <row r="74" spans="1:4" ht="34.5" customHeight="1">
      <c r="A74" s="8">
        <v>72</v>
      </c>
      <c r="B74" s="9" t="str">
        <f>"54112023062615250469233"</f>
        <v>54112023062615250469233</v>
      </c>
      <c r="C74" s="9" t="s">
        <v>5</v>
      </c>
      <c r="D74" s="9" t="str">
        <f>"王宁"</f>
        <v>王宁</v>
      </c>
    </row>
    <row r="75" spans="1:4" ht="34.5" customHeight="1">
      <c r="A75" s="8">
        <v>73</v>
      </c>
      <c r="B75" s="9" t="str">
        <f>"54112023062715024174104"</f>
        <v>54112023062715024174104</v>
      </c>
      <c r="C75" s="9" t="s">
        <v>5</v>
      </c>
      <c r="D75" s="9" t="str">
        <f>"张俊杰"</f>
        <v>张俊杰</v>
      </c>
    </row>
    <row r="76" spans="1:4" ht="34.5" customHeight="1">
      <c r="A76" s="8">
        <v>74</v>
      </c>
      <c r="B76" s="9" t="str">
        <f>"54112023062813060677945"</f>
        <v>54112023062813060677945</v>
      </c>
      <c r="C76" s="9" t="s">
        <v>5</v>
      </c>
      <c r="D76" s="9" t="str">
        <f>"张颖"</f>
        <v>张颖</v>
      </c>
    </row>
    <row r="77" spans="1:4" ht="34.5" customHeight="1">
      <c r="A77" s="8">
        <v>75</v>
      </c>
      <c r="B77" s="9" t="str">
        <f>"54112023062911442782219"</f>
        <v>54112023062911442782219</v>
      </c>
      <c r="C77" s="9" t="s">
        <v>5</v>
      </c>
      <c r="D77" s="9" t="str">
        <f>"陈妙雅"</f>
        <v>陈妙雅</v>
      </c>
    </row>
    <row r="78" spans="1:4" ht="34.5" customHeight="1">
      <c r="A78" s="8">
        <v>76</v>
      </c>
      <c r="B78" s="9" t="str">
        <f>"54112023062620390770968"</f>
        <v>54112023062620390770968</v>
      </c>
      <c r="C78" s="9" t="s">
        <v>5</v>
      </c>
      <c r="D78" s="9" t="str">
        <f>"赵媛媛"</f>
        <v>赵媛媛</v>
      </c>
    </row>
    <row r="79" spans="1:4" ht="34.5" customHeight="1">
      <c r="A79" s="8">
        <v>77</v>
      </c>
      <c r="B79" s="9" t="str">
        <f>"54112023062911015581926"</f>
        <v>54112023062911015581926</v>
      </c>
      <c r="C79" s="9" t="s">
        <v>5</v>
      </c>
      <c r="D79" s="9" t="str">
        <f>"吴秋"</f>
        <v>吴秋</v>
      </c>
    </row>
    <row r="80" spans="1:4" ht="34.5" customHeight="1">
      <c r="A80" s="8">
        <v>78</v>
      </c>
      <c r="B80" s="9" t="str">
        <f>"54112023062912574182674"</f>
        <v>54112023062912574182674</v>
      </c>
      <c r="C80" s="9" t="s">
        <v>5</v>
      </c>
      <c r="D80" s="9" t="str">
        <f>"张博莲"</f>
        <v>张博莲</v>
      </c>
    </row>
    <row r="81" spans="1:4" ht="34.5" customHeight="1">
      <c r="A81" s="8">
        <v>79</v>
      </c>
      <c r="B81" s="9" t="str">
        <f>"54112023062913280282821"</f>
        <v>54112023062913280282821</v>
      </c>
      <c r="C81" s="9" t="s">
        <v>5</v>
      </c>
      <c r="D81" s="9" t="str">
        <f>"庄小波"</f>
        <v>庄小波</v>
      </c>
    </row>
    <row r="82" spans="1:4" ht="34.5" customHeight="1">
      <c r="A82" s="8">
        <v>80</v>
      </c>
      <c r="B82" s="9" t="str">
        <f>"54112023062915495483632"</f>
        <v>54112023062915495483632</v>
      </c>
      <c r="C82" s="9" t="s">
        <v>5</v>
      </c>
      <c r="D82" s="9" t="str">
        <f>"唐二花"</f>
        <v>唐二花</v>
      </c>
    </row>
    <row r="83" spans="1:4" ht="34.5" customHeight="1">
      <c r="A83" s="8">
        <v>81</v>
      </c>
      <c r="B83" s="9" t="str">
        <f>"54112023062915422883570"</f>
        <v>54112023062915422883570</v>
      </c>
      <c r="C83" s="9" t="s">
        <v>5</v>
      </c>
      <c r="D83" s="9" t="str">
        <f>"陈燕菊"</f>
        <v>陈燕菊</v>
      </c>
    </row>
    <row r="84" spans="1:4" ht="34.5" customHeight="1">
      <c r="A84" s="8">
        <v>82</v>
      </c>
      <c r="B84" s="9" t="str">
        <f>"54112023062918045384455"</f>
        <v>54112023062918045384455</v>
      </c>
      <c r="C84" s="9" t="s">
        <v>5</v>
      </c>
      <c r="D84" s="9" t="str">
        <f>"陈婆乾"</f>
        <v>陈婆乾</v>
      </c>
    </row>
    <row r="85" spans="1:4" ht="34.5" customHeight="1">
      <c r="A85" s="8">
        <v>83</v>
      </c>
      <c r="B85" s="9" t="str">
        <f>"54112023062917370384321"</f>
        <v>54112023062917370384321</v>
      </c>
      <c r="C85" s="9" t="s">
        <v>5</v>
      </c>
      <c r="D85" s="9" t="str">
        <f>"庞广灵"</f>
        <v>庞广灵</v>
      </c>
    </row>
    <row r="86" spans="1:4" ht="34.5" customHeight="1">
      <c r="A86" s="8">
        <v>84</v>
      </c>
      <c r="B86" s="9" t="str">
        <f>"54112023062912031682351"</f>
        <v>54112023062912031682351</v>
      </c>
      <c r="C86" s="9" t="s">
        <v>5</v>
      </c>
      <c r="D86" s="9" t="str">
        <f>"陈玉才"</f>
        <v>陈玉才</v>
      </c>
    </row>
    <row r="87" spans="1:4" ht="34.5" customHeight="1">
      <c r="A87" s="8">
        <v>85</v>
      </c>
      <c r="B87" s="9" t="str">
        <f>"54112023062921520385736"</f>
        <v>54112023062921520385736</v>
      </c>
      <c r="C87" s="9" t="s">
        <v>5</v>
      </c>
      <c r="D87" s="9" t="str">
        <f>"文金静"</f>
        <v>文金静</v>
      </c>
    </row>
    <row r="88" spans="1:4" ht="34.5" customHeight="1">
      <c r="A88" s="8">
        <v>86</v>
      </c>
      <c r="B88" s="9" t="str">
        <f>"54112023062922224785936"</f>
        <v>54112023062922224785936</v>
      </c>
      <c r="C88" s="9" t="s">
        <v>5</v>
      </c>
      <c r="D88" s="9" t="str">
        <f>"黄雪琴"</f>
        <v>黄雪琴</v>
      </c>
    </row>
    <row r="89" spans="1:4" ht="34.5" customHeight="1">
      <c r="A89" s="8">
        <v>87</v>
      </c>
      <c r="B89" s="9" t="str">
        <f>"54112023063009275287122"</f>
        <v>54112023063009275287122</v>
      </c>
      <c r="C89" s="9" t="s">
        <v>5</v>
      </c>
      <c r="D89" s="9" t="str">
        <f>"张松贝"</f>
        <v>张松贝</v>
      </c>
    </row>
    <row r="90" spans="1:4" ht="34.5" customHeight="1">
      <c r="A90" s="8">
        <v>88</v>
      </c>
      <c r="B90" s="9" t="str">
        <f>"54112023063010104887444"</f>
        <v>54112023063010104887444</v>
      </c>
      <c r="C90" s="9" t="s">
        <v>5</v>
      </c>
      <c r="D90" s="9" t="str">
        <f>"符佳苗"</f>
        <v>符佳苗</v>
      </c>
    </row>
    <row r="91" spans="1:4" ht="34.5" customHeight="1">
      <c r="A91" s="8">
        <v>89</v>
      </c>
      <c r="B91" s="9" t="str">
        <f>"54112023063014045588877"</f>
        <v>54112023063014045588877</v>
      </c>
      <c r="C91" s="9" t="s">
        <v>5</v>
      </c>
      <c r="D91" s="9" t="str">
        <f>"符金飞"</f>
        <v>符金飞</v>
      </c>
    </row>
    <row r="92" spans="1:4" ht="34.5" customHeight="1">
      <c r="A92" s="8">
        <v>90</v>
      </c>
      <c r="B92" s="9" t="str">
        <f>"54112023062711461573456"</f>
        <v>54112023062711461573456</v>
      </c>
      <c r="C92" s="9" t="s">
        <v>5</v>
      </c>
      <c r="D92" s="9" t="str">
        <f>"黄丹"</f>
        <v>黄丹</v>
      </c>
    </row>
    <row r="93" spans="1:4" ht="34.5" customHeight="1">
      <c r="A93" s="8">
        <v>91</v>
      </c>
      <c r="B93" s="9" t="str">
        <f>"54112023063013584788840"</f>
        <v>54112023063013584788840</v>
      </c>
      <c r="C93" s="9" t="s">
        <v>5</v>
      </c>
      <c r="D93" s="9" t="str">
        <f>"蔡汶亨"</f>
        <v>蔡汶亨</v>
      </c>
    </row>
    <row r="94" spans="1:4" ht="34.5" customHeight="1">
      <c r="A94" s="8">
        <v>92</v>
      </c>
      <c r="B94" s="9" t="str">
        <f>"54112023063017335190016"</f>
        <v>54112023063017335190016</v>
      </c>
      <c r="C94" s="9" t="s">
        <v>5</v>
      </c>
      <c r="D94" s="9" t="str">
        <f>"石晶"</f>
        <v>石晶</v>
      </c>
    </row>
    <row r="95" spans="1:4" ht="34.5" customHeight="1">
      <c r="A95" s="8">
        <v>93</v>
      </c>
      <c r="B95" s="9" t="str">
        <f>"54112023063017040989952"</f>
        <v>54112023063017040989952</v>
      </c>
      <c r="C95" s="9" t="s">
        <v>5</v>
      </c>
      <c r="D95" s="9" t="str">
        <f>"邢玉莹"</f>
        <v>邢玉莹</v>
      </c>
    </row>
    <row r="96" spans="1:4" ht="34.5" customHeight="1">
      <c r="A96" s="8">
        <v>94</v>
      </c>
      <c r="B96" s="9" t="str">
        <f>"54112023063021551890538"</f>
        <v>54112023063021551890538</v>
      </c>
      <c r="C96" s="9" t="s">
        <v>5</v>
      </c>
      <c r="D96" s="9" t="str">
        <f>"谭丽莹"</f>
        <v>谭丽莹</v>
      </c>
    </row>
    <row r="97" spans="1:4" ht="34.5" customHeight="1">
      <c r="A97" s="8">
        <v>95</v>
      </c>
      <c r="B97" s="9" t="str">
        <f>"54112023062519083663910"</f>
        <v>54112023062519083663910</v>
      </c>
      <c r="C97" s="9" t="s">
        <v>5</v>
      </c>
      <c r="D97" s="9" t="str">
        <f>"冯小小"</f>
        <v>冯小小</v>
      </c>
    </row>
    <row r="98" spans="1:4" ht="34.5" customHeight="1">
      <c r="A98" s="8">
        <v>96</v>
      </c>
      <c r="B98" s="9" t="str">
        <f>"54112023063023283990692"</f>
        <v>54112023063023283990692</v>
      </c>
      <c r="C98" s="9" t="s">
        <v>5</v>
      </c>
      <c r="D98" s="9" t="str">
        <f>"林文青"</f>
        <v>林文青</v>
      </c>
    </row>
    <row r="99" spans="1:4" ht="34.5" customHeight="1">
      <c r="A99" s="8">
        <v>97</v>
      </c>
      <c r="B99" s="9" t="str">
        <f>"54112023063023481890728"</f>
        <v>54112023063023481890728</v>
      </c>
      <c r="C99" s="9" t="s">
        <v>5</v>
      </c>
      <c r="D99" s="9" t="str">
        <f>"冯美"</f>
        <v>冯美</v>
      </c>
    </row>
    <row r="100" spans="1:4" ht="34.5" customHeight="1">
      <c r="A100" s="8">
        <v>98</v>
      </c>
      <c r="B100" s="9" t="str">
        <f>"54112023070110300591105"</f>
        <v>54112023070110300591105</v>
      </c>
      <c r="C100" s="9" t="s">
        <v>5</v>
      </c>
      <c r="D100" s="9" t="str">
        <f>"陈婆燕"</f>
        <v>陈婆燕</v>
      </c>
    </row>
    <row r="101" spans="1:4" ht="34.5" customHeight="1">
      <c r="A101" s="8">
        <v>99</v>
      </c>
      <c r="B101" s="9" t="str">
        <f>"54112023070111372191281"</f>
        <v>54112023070111372191281</v>
      </c>
      <c r="C101" s="9" t="s">
        <v>5</v>
      </c>
      <c r="D101" s="9" t="str">
        <f>"杨婷"</f>
        <v>杨婷</v>
      </c>
    </row>
    <row r="102" spans="1:4" ht="34.5" customHeight="1">
      <c r="A102" s="8">
        <v>100</v>
      </c>
      <c r="B102" s="9" t="str">
        <f>"54112023063012203788270"</f>
        <v>54112023063012203788270</v>
      </c>
      <c r="C102" s="9" t="s">
        <v>5</v>
      </c>
      <c r="D102" s="9" t="str">
        <f>"周活"</f>
        <v>周活</v>
      </c>
    </row>
    <row r="103" spans="1:4" ht="34.5" customHeight="1">
      <c r="A103" s="8">
        <v>101</v>
      </c>
      <c r="B103" s="9" t="str">
        <f>"54112023070114315091608"</f>
        <v>54112023070114315091608</v>
      </c>
      <c r="C103" s="9" t="s">
        <v>5</v>
      </c>
      <c r="D103" s="9" t="str">
        <f>"杨怡欣"</f>
        <v>杨怡欣</v>
      </c>
    </row>
    <row r="104" spans="1:4" ht="34.5" customHeight="1">
      <c r="A104" s="8">
        <v>102</v>
      </c>
      <c r="B104" s="9" t="str">
        <f>"54112023062607583965283"</f>
        <v>54112023062607583965283</v>
      </c>
      <c r="C104" s="9" t="s">
        <v>5</v>
      </c>
      <c r="D104" s="9" t="str">
        <f>"高元丽"</f>
        <v>高元丽</v>
      </c>
    </row>
    <row r="105" spans="1:4" ht="34.5" customHeight="1">
      <c r="A105" s="8">
        <v>103</v>
      </c>
      <c r="B105" s="9" t="str">
        <f>"54112023062518493063834"</f>
        <v>54112023062518493063834</v>
      </c>
      <c r="C105" s="9" t="s">
        <v>5</v>
      </c>
      <c r="D105" s="9" t="str">
        <f>"王晓丹"</f>
        <v>王晓丹</v>
      </c>
    </row>
    <row r="106" spans="1:4" ht="34.5" customHeight="1">
      <c r="A106" s="8">
        <v>104</v>
      </c>
      <c r="B106" s="9" t="str">
        <f>"54112023070123070492632"</f>
        <v>54112023070123070492632</v>
      </c>
      <c r="C106" s="9" t="s">
        <v>5</v>
      </c>
      <c r="D106" s="9" t="str">
        <f>"邓颖"</f>
        <v>邓颖</v>
      </c>
    </row>
    <row r="107" spans="1:4" ht="34.5" customHeight="1">
      <c r="A107" s="8">
        <v>105</v>
      </c>
      <c r="B107" s="9" t="str">
        <f>"54112023070200230192736"</f>
        <v>54112023070200230192736</v>
      </c>
      <c r="C107" s="9" t="s">
        <v>5</v>
      </c>
      <c r="D107" s="9" t="str">
        <f>"王欢"</f>
        <v>王欢</v>
      </c>
    </row>
    <row r="108" spans="1:4" ht="34.5" customHeight="1">
      <c r="A108" s="8">
        <v>106</v>
      </c>
      <c r="B108" s="9" t="str">
        <f>"54112023070207435992808"</f>
        <v>54112023070207435992808</v>
      </c>
      <c r="C108" s="9" t="s">
        <v>5</v>
      </c>
      <c r="D108" s="9" t="str">
        <f>"关海萍"</f>
        <v>关海萍</v>
      </c>
    </row>
    <row r="109" spans="1:4" ht="34.5" customHeight="1">
      <c r="A109" s="8">
        <v>107</v>
      </c>
      <c r="B109" s="9" t="str">
        <f>"54112023070211571393417"</f>
        <v>54112023070211571393417</v>
      </c>
      <c r="C109" s="9" t="s">
        <v>5</v>
      </c>
      <c r="D109" s="9" t="str">
        <f>"王馨怡"</f>
        <v>王馨怡</v>
      </c>
    </row>
    <row r="110" spans="1:4" ht="34.5" customHeight="1">
      <c r="A110" s="8">
        <v>108</v>
      </c>
      <c r="B110" s="9" t="str">
        <f>"54112023070213514993700"</f>
        <v>54112023070213514993700</v>
      </c>
      <c r="C110" s="9" t="s">
        <v>5</v>
      </c>
      <c r="D110" s="9" t="str">
        <f>"王誉蓉"</f>
        <v>王誉蓉</v>
      </c>
    </row>
    <row r="111" spans="1:4" ht="34.5" customHeight="1">
      <c r="A111" s="8">
        <v>109</v>
      </c>
      <c r="B111" s="9" t="str">
        <f>"54112023070214495093845"</f>
        <v>54112023070214495093845</v>
      </c>
      <c r="C111" s="9" t="s">
        <v>5</v>
      </c>
      <c r="D111" s="9" t="str">
        <f>"符凌潇"</f>
        <v>符凌潇</v>
      </c>
    </row>
    <row r="112" spans="1:4" ht="34.5" customHeight="1">
      <c r="A112" s="8">
        <v>110</v>
      </c>
      <c r="B112" s="9" t="str">
        <f>"54112023070209351293026"</f>
        <v>54112023070209351293026</v>
      </c>
      <c r="C112" s="9" t="s">
        <v>5</v>
      </c>
      <c r="D112" s="9" t="str">
        <f>"朱妙玲"</f>
        <v>朱妙玲</v>
      </c>
    </row>
    <row r="113" spans="1:4" ht="34.5" customHeight="1">
      <c r="A113" s="8">
        <v>111</v>
      </c>
      <c r="B113" s="9" t="str">
        <f>"54112023062618200170342"</f>
        <v>54112023062618200170342</v>
      </c>
      <c r="C113" s="9" t="s">
        <v>5</v>
      </c>
      <c r="D113" s="9" t="str">
        <f>"谢淑英"</f>
        <v>谢淑英</v>
      </c>
    </row>
    <row r="114" spans="1:4" ht="34.5" customHeight="1">
      <c r="A114" s="8">
        <v>112</v>
      </c>
      <c r="B114" s="9" t="str">
        <f>"54112023070219003494401"</f>
        <v>54112023070219003494401</v>
      </c>
      <c r="C114" s="9" t="s">
        <v>5</v>
      </c>
      <c r="D114" s="9" t="str">
        <f>"王琼扬"</f>
        <v>王琼扬</v>
      </c>
    </row>
    <row r="115" spans="1:4" ht="34.5" customHeight="1">
      <c r="A115" s="8">
        <v>113</v>
      </c>
      <c r="B115" s="9" t="str">
        <f>"54112023070219434094491"</f>
        <v>54112023070219434094491</v>
      </c>
      <c r="C115" s="9" t="s">
        <v>5</v>
      </c>
      <c r="D115" s="9" t="str">
        <f>"徐创蕾"</f>
        <v>徐创蕾</v>
      </c>
    </row>
    <row r="116" spans="1:4" ht="34.5" customHeight="1">
      <c r="A116" s="8">
        <v>114</v>
      </c>
      <c r="B116" s="9" t="str">
        <f>"54112023070220351494599"</f>
        <v>54112023070220351494599</v>
      </c>
      <c r="C116" s="9" t="s">
        <v>5</v>
      </c>
      <c r="D116" s="9" t="str">
        <f>"谢伟罗"</f>
        <v>谢伟罗</v>
      </c>
    </row>
    <row r="117" spans="1:4" ht="34.5" customHeight="1">
      <c r="A117" s="8">
        <v>115</v>
      </c>
      <c r="B117" s="9" t="str">
        <f>"54112023070222421494972"</f>
        <v>54112023070222421494972</v>
      </c>
      <c r="C117" s="9" t="s">
        <v>5</v>
      </c>
      <c r="D117" s="9" t="str">
        <f>"邢其秋"</f>
        <v>邢其秋</v>
      </c>
    </row>
    <row r="118" spans="1:4" ht="34.5" customHeight="1">
      <c r="A118" s="8">
        <v>116</v>
      </c>
      <c r="B118" s="9" t="str">
        <f>"54112023070308440195378"</f>
        <v>54112023070308440195378</v>
      </c>
      <c r="C118" s="9" t="s">
        <v>5</v>
      </c>
      <c r="D118" s="9" t="str">
        <f>"吴佶斋"</f>
        <v>吴佶斋</v>
      </c>
    </row>
    <row r="119" spans="1:4" ht="34.5" customHeight="1">
      <c r="A119" s="8">
        <v>117</v>
      </c>
      <c r="B119" s="9" t="str">
        <f>"54112023070309045095512"</f>
        <v>54112023070309045095512</v>
      </c>
      <c r="C119" s="9" t="s">
        <v>5</v>
      </c>
      <c r="D119" s="9" t="str">
        <f>"麦春菊"</f>
        <v>麦春菊</v>
      </c>
    </row>
    <row r="120" spans="1:4" ht="34.5" customHeight="1">
      <c r="A120" s="8">
        <v>118</v>
      </c>
      <c r="B120" s="9" t="str">
        <f>"54112023070312091796935"</f>
        <v>54112023070312091796935</v>
      </c>
      <c r="C120" s="9" t="s">
        <v>5</v>
      </c>
      <c r="D120" s="9" t="str">
        <f>"林婷婷"</f>
        <v>林婷婷</v>
      </c>
    </row>
    <row r="121" spans="1:4" ht="34.5" customHeight="1">
      <c r="A121" s="8">
        <v>119</v>
      </c>
      <c r="B121" s="9" t="str">
        <f>"54112023062813533578071"</f>
        <v>54112023062813533578071</v>
      </c>
      <c r="C121" s="9" t="s">
        <v>5</v>
      </c>
      <c r="D121" s="9" t="str">
        <f>"周敏"</f>
        <v>周敏</v>
      </c>
    </row>
    <row r="122" spans="1:4" ht="34.5" customHeight="1">
      <c r="A122" s="8">
        <v>120</v>
      </c>
      <c r="B122" s="9" t="str">
        <f>"54112023062609210565933"</f>
        <v>54112023062609210565933</v>
      </c>
      <c r="C122" s="9" t="s">
        <v>5</v>
      </c>
      <c r="D122" s="9" t="str">
        <f>"李沙沙"</f>
        <v>李沙沙</v>
      </c>
    </row>
    <row r="123" spans="1:4" ht="34.5" customHeight="1">
      <c r="A123" s="8">
        <v>121</v>
      </c>
      <c r="B123" s="9" t="str">
        <f>"54112023070313294397402"</f>
        <v>54112023070313294397402</v>
      </c>
      <c r="C123" s="9" t="s">
        <v>5</v>
      </c>
      <c r="D123" s="9" t="str">
        <f>"杨晶"</f>
        <v>杨晶</v>
      </c>
    </row>
    <row r="124" spans="1:4" ht="34.5" customHeight="1">
      <c r="A124" s="8">
        <v>122</v>
      </c>
      <c r="B124" s="9" t="str">
        <f>"54112023070313382797441"</f>
        <v>54112023070313382797441</v>
      </c>
      <c r="C124" s="9" t="s">
        <v>5</v>
      </c>
      <c r="D124" s="9" t="str">
        <f>"薛桃秋"</f>
        <v>薛桃秋</v>
      </c>
    </row>
    <row r="125" spans="1:4" ht="34.5" customHeight="1">
      <c r="A125" s="8">
        <v>123</v>
      </c>
      <c r="B125" s="9" t="str">
        <f>"54112023070313225197382"</f>
        <v>54112023070313225197382</v>
      </c>
      <c r="C125" s="9" t="s">
        <v>5</v>
      </c>
      <c r="D125" s="9" t="str">
        <f>"王馥芸"</f>
        <v>王馥芸</v>
      </c>
    </row>
    <row r="126" spans="1:4" ht="34.5" customHeight="1">
      <c r="A126" s="8">
        <v>124</v>
      </c>
      <c r="B126" s="9" t="str">
        <f>"54112023070315365498026"</f>
        <v>54112023070315365498026</v>
      </c>
      <c r="C126" s="9" t="s">
        <v>5</v>
      </c>
      <c r="D126" s="9" t="str">
        <f>"李祥燕"</f>
        <v>李祥燕</v>
      </c>
    </row>
    <row r="127" spans="1:4" ht="34.5" customHeight="1">
      <c r="A127" s="8">
        <v>125</v>
      </c>
      <c r="B127" s="9" t="str">
        <f>"54112023070316275898324"</f>
        <v>54112023070316275898324</v>
      </c>
      <c r="C127" s="9" t="s">
        <v>5</v>
      </c>
      <c r="D127" s="9" t="str">
        <f>"林晓月"</f>
        <v>林晓月</v>
      </c>
    </row>
    <row r="128" spans="1:4" ht="34.5" customHeight="1">
      <c r="A128" s="8">
        <v>126</v>
      </c>
      <c r="B128" s="9" t="str">
        <f>"54112023070316145498253"</f>
        <v>54112023070316145498253</v>
      </c>
      <c r="C128" s="9" t="s">
        <v>5</v>
      </c>
      <c r="D128" s="9" t="str">
        <f>"罗梅香"</f>
        <v>罗梅香</v>
      </c>
    </row>
    <row r="129" spans="1:4" ht="34.5" customHeight="1">
      <c r="A129" s="8">
        <v>127</v>
      </c>
      <c r="B129" s="9" t="str">
        <f>"54112023070316483598450"</f>
        <v>54112023070316483598450</v>
      </c>
      <c r="C129" s="9" t="s">
        <v>5</v>
      </c>
      <c r="D129" s="9" t="str">
        <f>"刘琪"</f>
        <v>刘琪</v>
      </c>
    </row>
    <row r="130" spans="1:4" ht="34.5" customHeight="1">
      <c r="A130" s="8">
        <v>128</v>
      </c>
      <c r="B130" s="9" t="str">
        <f>"54112023070317252798658"</f>
        <v>54112023070317252798658</v>
      </c>
      <c r="C130" s="9" t="s">
        <v>5</v>
      </c>
      <c r="D130" s="9" t="str">
        <f>"符坤梅"</f>
        <v>符坤梅</v>
      </c>
    </row>
    <row r="131" spans="1:4" ht="34.5" customHeight="1">
      <c r="A131" s="8">
        <v>129</v>
      </c>
      <c r="B131" s="9" t="str">
        <f>"54112023062518333863775"</f>
        <v>54112023062518333863775</v>
      </c>
      <c r="C131" s="9" t="s">
        <v>5</v>
      </c>
      <c r="D131" s="9" t="str">
        <f>"李丽佳"</f>
        <v>李丽佳</v>
      </c>
    </row>
    <row r="132" spans="1:4" ht="34.5" customHeight="1">
      <c r="A132" s="8">
        <v>130</v>
      </c>
      <c r="B132" s="9" t="str">
        <f>"54112023070311485896838"</f>
        <v>54112023070311485896838</v>
      </c>
      <c r="C132" s="9" t="s">
        <v>5</v>
      </c>
      <c r="D132" s="9" t="str">
        <f>"陈谟晨"</f>
        <v>陈谟晨</v>
      </c>
    </row>
    <row r="133" spans="1:4" ht="34.5" customHeight="1">
      <c r="A133" s="8">
        <v>131</v>
      </c>
      <c r="B133" s="9" t="str">
        <f>"54112023070318304198903"</f>
        <v>54112023070318304198903</v>
      </c>
      <c r="C133" s="9" t="s">
        <v>5</v>
      </c>
      <c r="D133" s="9" t="str">
        <f>"赵彩霞"</f>
        <v>赵彩霞</v>
      </c>
    </row>
    <row r="134" spans="1:4" ht="34.5" customHeight="1">
      <c r="A134" s="8">
        <v>132</v>
      </c>
      <c r="B134" s="9" t="str">
        <f>"54112023062810371677216"</f>
        <v>54112023062810371677216</v>
      </c>
      <c r="C134" s="9" t="s">
        <v>5</v>
      </c>
      <c r="D134" s="9" t="str">
        <f>"吴佳欣"</f>
        <v>吴佳欣</v>
      </c>
    </row>
    <row r="135" spans="1:4" ht="34.5" customHeight="1">
      <c r="A135" s="8">
        <v>133</v>
      </c>
      <c r="B135" s="9" t="str">
        <f>"54112023070320282599364"</f>
        <v>54112023070320282599364</v>
      </c>
      <c r="C135" s="9" t="s">
        <v>5</v>
      </c>
      <c r="D135" s="9" t="str">
        <f>"冯燕媛"</f>
        <v>冯燕媛</v>
      </c>
    </row>
    <row r="136" spans="1:4" ht="34.5" customHeight="1">
      <c r="A136" s="8">
        <v>134</v>
      </c>
      <c r="B136" s="9" t="str">
        <f>"54112023070320195999322"</f>
        <v>54112023070320195999322</v>
      </c>
      <c r="C136" s="9" t="s">
        <v>5</v>
      </c>
      <c r="D136" s="9" t="str">
        <f>"汤玉丹"</f>
        <v>汤玉丹</v>
      </c>
    </row>
    <row r="137" spans="1:4" ht="34.5" customHeight="1">
      <c r="A137" s="8">
        <v>135</v>
      </c>
      <c r="B137" s="9" t="str">
        <f>"54112023070319461699168"</f>
        <v>54112023070319461699168</v>
      </c>
      <c r="C137" s="9" t="s">
        <v>5</v>
      </c>
      <c r="D137" s="9" t="str">
        <f>"吴小艳"</f>
        <v>吴小艳</v>
      </c>
    </row>
    <row r="138" spans="1:4" ht="34.5" customHeight="1">
      <c r="A138" s="8">
        <v>136</v>
      </c>
      <c r="B138" s="9" t="str">
        <f>"54112023062621313271237"</f>
        <v>54112023062621313271237</v>
      </c>
      <c r="C138" s="9" t="s">
        <v>5</v>
      </c>
      <c r="D138" s="9" t="str">
        <f>"高能英"</f>
        <v>高能英</v>
      </c>
    </row>
    <row r="139" spans="1:4" ht="34.5" customHeight="1">
      <c r="A139" s="8">
        <v>137</v>
      </c>
      <c r="B139" s="9" t="str">
        <f>"54112023070322033199854"</f>
        <v>54112023070322033199854</v>
      </c>
      <c r="C139" s="9" t="s">
        <v>5</v>
      </c>
      <c r="D139" s="9" t="str">
        <f>"尤会春"</f>
        <v>尤会春</v>
      </c>
    </row>
    <row r="140" spans="1:4" ht="34.5" customHeight="1">
      <c r="A140" s="8">
        <v>138</v>
      </c>
      <c r="B140" s="9" t="str">
        <f>"541120230703224105100025"</f>
        <v>541120230703224105100025</v>
      </c>
      <c r="C140" s="9" t="s">
        <v>5</v>
      </c>
      <c r="D140" s="9" t="str">
        <f>"吴紫莹"</f>
        <v>吴紫莹</v>
      </c>
    </row>
    <row r="141" spans="1:4" ht="34.5" customHeight="1">
      <c r="A141" s="8">
        <v>139</v>
      </c>
      <c r="B141" s="9" t="str">
        <f>"541120230703230918100138"</f>
        <v>541120230703230918100138</v>
      </c>
      <c r="C141" s="9" t="s">
        <v>5</v>
      </c>
      <c r="D141" s="9" t="str">
        <f>"苏丽萍"</f>
        <v>苏丽萍</v>
      </c>
    </row>
    <row r="142" spans="1:4" ht="34.5" customHeight="1">
      <c r="A142" s="8">
        <v>140</v>
      </c>
      <c r="B142" s="9" t="str">
        <f>"541120230704090007100705"</f>
        <v>541120230704090007100705</v>
      </c>
      <c r="C142" s="9" t="s">
        <v>5</v>
      </c>
      <c r="D142" s="9" t="str">
        <f>"王跃情"</f>
        <v>王跃情</v>
      </c>
    </row>
    <row r="143" spans="1:4" ht="34.5" customHeight="1">
      <c r="A143" s="8">
        <v>141</v>
      </c>
      <c r="B143" s="9" t="str">
        <f>"54112023070319495299183"</f>
        <v>54112023070319495299183</v>
      </c>
      <c r="C143" s="9" t="s">
        <v>5</v>
      </c>
      <c r="D143" s="9" t="str">
        <f>"杨艳芳"</f>
        <v>杨艳芳</v>
      </c>
    </row>
    <row r="144" spans="1:4" ht="34.5" customHeight="1">
      <c r="A144" s="8">
        <v>142</v>
      </c>
      <c r="B144" s="9" t="str">
        <f>"541120230704090221100719"</f>
        <v>541120230704090221100719</v>
      </c>
      <c r="C144" s="9" t="s">
        <v>5</v>
      </c>
      <c r="D144" s="9" t="str">
        <f>"翁云惠"</f>
        <v>翁云惠</v>
      </c>
    </row>
    <row r="145" spans="1:4" ht="34.5" customHeight="1">
      <c r="A145" s="8">
        <v>143</v>
      </c>
      <c r="B145" s="9" t="str">
        <f>"541120230704034857100427"</f>
        <v>541120230704034857100427</v>
      </c>
      <c r="C145" s="9" t="s">
        <v>5</v>
      </c>
      <c r="D145" s="9" t="str">
        <f>"吴伊凡"</f>
        <v>吴伊凡</v>
      </c>
    </row>
    <row r="146" spans="1:4" ht="34.5" customHeight="1">
      <c r="A146" s="8">
        <v>144</v>
      </c>
      <c r="B146" s="9" t="str">
        <f>"54112023062912210582468"</f>
        <v>54112023062912210582468</v>
      </c>
      <c r="C146" s="9" t="s">
        <v>5</v>
      </c>
      <c r="D146" s="9" t="str">
        <f>"潘柳蓉"</f>
        <v>潘柳蓉</v>
      </c>
    </row>
    <row r="147" spans="1:4" ht="34.5" customHeight="1">
      <c r="A147" s="8">
        <v>145</v>
      </c>
      <c r="B147" s="9" t="str">
        <f>"541120230704102049101072"</f>
        <v>541120230704102049101072</v>
      </c>
      <c r="C147" s="9" t="s">
        <v>5</v>
      </c>
      <c r="D147" s="9" t="str">
        <f>"苏茹"</f>
        <v>苏茹</v>
      </c>
    </row>
    <row r="148" spans="1:4" ht="34.5" customHeight="1">
      <c r="A148" s="8">
        <v>146</v>
      </c>
      <c r="B148" s="9" t="str">
        <f>"541120230704095027100969"</f>
        <v>541120230704095027100969</v>
      </c>
      <c r="C148" s="9" t="s">
        <v>5</v>
      </c>
      <c r="D148" s="9" t="str">
        <f>"汪瑶"</f>
        <v>汪瑶</v>
      </c>
    </row>
    <row r="149" spans="1:4" ht="34.5" customHeight="1">
      <c r="A149" s="8">
        <v>147</v>
      </c>
      <c r="B149" s="9" t="str">
        <f>"541120230704114036101523"</f>
        <v>541120230704114036101523</v>
      </c>
      <c r="C149" s="9" t="s">
        <v>5</v>
      </c>
      <c r="D149" s="9" t="str">
        <f>"黄婷"</f>
        <v>黄婷</v>
      </c>
    </row>
    <row r="150" spans="1:4" ht="34.5" customHeight="1">
      <c r="A150" s="8">
        <v>148</v>
      </c>
      <c r="B150" s="9" t="str">
        <f>"54112023062508484859721"</f>
        <v>54112023062508484859721</v>
      </c>
      <c r="C150" s="9" t="s">
        <v>6</v>
      </c>
      <c r="D150" s="9" t="str">
        <f>"刘晶"</f>
        <v>刘晶</v>
      </c>
    </row>
    <row r="151" spans="1:4" ht="34.5" customHeight="1">
      <c r="A151" s="8">
        <v>149</v>
      </c>
      <c r="B151" s="9" t="str">
        <f>"54112023062510313260670"</f>
        <v>54112023062510313260670</v>
      </c>
      <c r="C151" s="9" t="s">
        <v>6</v>
      </c>
      <c r="D151" s="9" t="str">
        <f>"王玉花"</f>
        <v>王玉花</v>
      </c>
    </row>
    <row r="152" spans="1:4" ht="34.5" customHeight="1">
      <c r="A152" s="8">
        <v>150</v>
      </c>
      <c r="B152" s="9" t="str">
        <f>"54112023062510370860721"</f>
        <v>54112023062510370860721</v>
      </c>
      <c r="C152" s="9" t="s">
        <v>6</v>
      </c>
      <c r="D152" s="9" t="str">
        <f>"林静"</f>
        <v>林静</v>
      </c>
    </row>
    <row r="153" spans="1:4" ht="34.5" customHeight="1">
      <c r="A153" s="8">
        <v>151</v>
      </c>
      <c r="B153" s="9" t="str">
        <f>"54112023062519592964111"</f>
        <v>54112023062519592964111</v>
      </c>
      <c r="C153" s="9" t="s">
        <v>6</v>
      </c>
      <c r="D153" s="9" t="str">
        <f>"何艳丽"</f>
        <v>何艳丽</v>
      </c>
    </row>
    <row r="154" spans="1:4" ht="34.5" customHeight="1">
      <c r="A154" s="8">
        <v>152</v>
      </c>
      <c r="B154" s="9" t="str">
        <f>"54112023062520175564181"</f>
        <v>54112023062520175564181</v>
      </c>
      <c r="C154" s="9" t="s">
        <v>6</v>
      </c>
      <c r="D154" s="9" t="str">
        <f>"孙嘉慧"</f>
        <v>孙嘉慧</v>
      </c>
    </row>
    <row r="155" spans="1:4" ht="34.5" customHeight="1">
      <c r="A155" s="8">
        <v>153</v>
      </c>
      <c r="B155" s="9" t="str">
        <f>"54112023062516255463273"</f>
        <v>54112023062516255463273</v>
      </c>
      <c r="C155" s="9" t="s">
        <v>6</v>
      </c>
      <c r="D155" s="9" t="str">
        <f>"叶秋余"</f>
        <v>叶秋余</v>
      </c>
    </row>
    <row r="156" spans="1:4" ht="34.5" customHeight="1">
      <c r="A156" s="8">
        <v>154</v>
      </c>
      <c r="B156" s="9" t="str">
        <f>"54112023062608044265299"</f>
        <v>54112023062608044265299</v>
      </c>
      <c r="C156" s="9" t="s">
        <v>6</v>
      </c>
      <c r="D156" s="9" t="str">
        <f>"杨秀联"</f>
        <v>杨秀联</v>
      </c>
    </row>
    <row r="157" spans="1:4" ht="34.5" customHeight="1">
      <c r="A157" s="8">
        <v>155</v>
      </c>
      <c r="B157" s="9" t="str">
        <f>"54112023062609065465670"</f>
        <v>54112023062609065465670</v>
      </c>
      <c r="C157" s="9" t="s">
        <v>6</v>
      </c>
      <c r="D157" s="9" t="str">
        <f>"马丽少"</f>
        <v>马丽少</v>
      </c>
    </row>
    <row r="158" spans="1:4" ht="34.5" customHeight="1">
      <c r="A158" s="8">
        <v>156</v>
      </c>
      <c r="B158" s="9" t="str">
        <f>"54112023062615330169283"</f>
        <v>54112023062615330169283</v>
      </c>
      <c r="C158" s="9" t="s">
        <v>6</v>
      </c>
      <c r="D158" s="9" t="str">
        <f>"彭娜"</f>
        <v>彭娜</v>
      </c>
    </row>
    <row r="159" spans="1:4" ht="34.5" customHeight="1">
      <c r="A159" s="8">
        <v>157</v>
      </c>
      <c r="B159" s="9" t="str">
        <f>"54112023062617015469936"</f>
        <v>54112023062617015469936</v>
      </c>
      <c r="C159" s="9" t="s">
        <v>6</v>
      </c>
      <c r="D159" s="9" t="str">
        <f>"蔡秋艳"</f>
        <v>蔡秋艳</v>
      </c>
    </row>
    <row r="160" spans="1:4" ht="34.5" customHeight="1">
      <c r="A160" s="8">
        <v>158</v>
      </c>
      <c r="B160" s="9" t="str">
        <f>"54112023062618171170327"</f>
        <v>54112023062618171170327</v>
      </c>
      <c r="C160" s="9" t="s">
        <v>6</v>
      </c>
      <c r="D160" s="9" t="str">
        <f>"王祚棋"</f>
        <v>王祚棋</v>
      </c>
    </row>
    <row r="161" spans="1:4" ht="34.5" customHeight="1">
      <c r="A161" s="8">
        <v>159</v>
      </c>
      <c r="B161" s="9" t="str">
        <f>"54112023062622194771475"</f>
        <v>54112023062622194771475</v>
      </c>
      <c r="C161" s="9" t="s">
        <v>6</v>
      </c>
      <c r="D161" s="9" t="str">
        <f>"蔡娃"</f>
        <v>蔡娃</v>
      </c>
    </row>
    <row r="162" spans="1:4" ht="34.5" customHeight="1">
      <c r="A162" s="8">
        <v>160</v>
      </c>
      <c r="B162" s="9" t="str">
        <f>"54112023062622565171637"</f>
        <v>54112023062622565171637</v>
      </c>
      <c r="C162" s="9" t="s">
        <v>6</v>
      </c>
      <c r="D162" s="9" t="str">
        <f>"李婷"</f>
        <v>李婷</v>
      </c>
    </row>
    <row r="163" spans="1:4" ht="34.5" customHeight="1">
      <c r="A163" s="8">
        <v>161</v>
      </c>
      <c r="B163" s="9" t="str">
        <f>"54112023062708053571966"</f>
        <v>54112023062708053571966</v>
      </c>
      <c r="C163" s="9" t="s">
        <v>6</v>
      </c>
      <c r="D163" s="9" t="str">
        <f>"陈雪珠"</f>
        <v>陈雪珠</v>
      </c>
    </row>
    <row r="164" spans="1:4" ht="34.5" customHeight="1">
      <c r="A164" s="8">
        <v>162</v>
      </c>
      <c r="B164" s="9" t="str">
        <f>"54112023062708513472163"</f>
        <v>54112023062708513472163</v>
      </c>
      <c r="C164" s="9" t="s">
        <v>6</v>
      </c>
      <c r="D164" s="9" t="str">
        <f>"杨炳汉"</f>
        <v>杨炳汉</v>
      </c>
    </row>
    <row r="165" spans="1:4" ht="34.5" customHeight="1">
      <c r="A165" s="8">
        <v>163</v>
      </c>
      <c r="B165" s="9" t="str">
        <f>"54112023062510365360718"</f>
        <v>54112023062510365360718</v>
      </c>
      <c r="C165" s="9" t="s">
        <v>6</v>
      </c>
      <c r="D165" s="9" t="str">
        <f>"陈琪"</f>
        <v>陈琪</v>
      </c>
    </row>
    <row r="166" spans="1:4" ht="34.5" customHeight="1">
      <c r="A166" s="8">
        <v>164</v>
      </c>
      <c r="B166" s="9" t="str">
        <f>"54112023062616454869833"</f>
        <v>54112023062616454869833</v>
      </c>
      <c r="C166" s="9" t="s">
        <v>6</v>
      </c>
      <c r="D166" s="9" t="str">
        <f>"朱美丽"</f>
        <v>朱美丽</v>
      </c>
    </row>
    <row r="167" spans="1:4" ht="34.5" customHeight="1">
      <c r="A167" s="8">
        <v>165</v>
      </c>
      <c r="B167" s="9" t="str">
        <f>"54112023062721424176023"</f>
        <v>54112023062721424176023</v>
      </c>
      <c r="C167" s="9" t="s">
        <v>6</v>
      </c>
      <c r="D167" s="9" t="str">
        <f>"黄虹"</f>
        <v>黄虹</v>
      </c>
    </row>
    <row r="168" spans="1:4" ht="34.5" customHeight="1">
      <c r="A168" s="8">
        <v>166</v>
      </c>
      <c r="B168" s="9" t="str">
        <f>"54112023062621550171353"</f>
        <v>54112023062621550171353</v>
      </c>
      <c r="C168" s="9" t="s">
        <v>6</v>
      </c>
      <c r="D168" s="9" t="str">
        <f>"李慧玲"</f>
        <v>李慧玲</v>
      </c>
    </row>
    <row r="169" spans="1:4" ht="34.5" customHeight="1">
      <c r="A169" s="8">
        <v>167</v>
      </c>
      <c r="B169" s="9" t="str">
        <f>"54112023062723324776307"</f>
        <v>54112023062723324776307</v>
      </c>
      <c r="C169" s="9" t="s">
        <v>6</v>
      </c>
      <c r="D169" s="9" t="str">
        <f>"唐小花"</f>
        <v>唐小花</v>
      </c>
    </row>
    <row r="170" spans="1:4" ht="34.5" customHeight="1">
      <c r="A170" s="8">
        <v>168</v>
      </c>
      <c r="B170" s="9" t="str">
        <f>"54112023062802035376419"</f>
        <v>54112023062802035376419</v>
      </c>
      <c r="C170" s="9" t="s">
        <v>6</v>
      </c>
      <c r="D170" s="9" t="str">
        <f>"高德发"</f>
        <v>高德发</v>
      </c>
    </row>
    <row r="171" spans="1:4" ht="34.5" customHeight="1">
      <c r="A171" s="8">
        <v>169</v>
      </c>
      <c r="B171" s="9" t="str">
        <f>"54112023062808431376621"</f>
        <v>54112023062808431376621</v>
      </c>
      <c r="C171" s="9" t="s">
        <v>6</v>
      </c>
      <c r="D171" s="9" t="str">
        <f>"王巧婷"</f>
        <v>王巧婷</v>
      </c>
    </row>
    <row r="172" spans="1:4" ht="34.5" customHeight="1">
      <c r="A172" s="8">
        <v>170</v>
      </c>
      <c r="B172" s="9" t="str">
        <f>"54112023062809583677001"</f>
        <v>54112023062809583677001</v>
      </c>
      <c r="C172" s="9" t="s">
        <v>6</v>
      </c>
      <c r="D172" s="9" t="str">
        <f>"李海川"</f>
        <v>李海川</v>
      </c>
    </row>
    <row r="173" spans="1:4" ht="34.5" customHeight="1">
      <c r="A173" s="8">
        <v>171</v>
      </c>
      <c r="B173" s="9" t="str">
        <f>"54112023062809210776808"</f>
        <v>54112023062809210776808</v>
      </c>
      <c r="C173" s="9" t="s">
        <v>6</v>
      </c>
      <c r="D173" s="9" t="str">
        <f>"冯春霞"</f>
        <v>冯春霞</v>
      </c>
    </row>
    <row r="174" spans="1:4" ht="34.5" customHeight="1">
      <c r="A174" s="8">
        <v>172</v>
      </c>
      <c r="B174" s="9" t="str">
        <f>"54112023062810494977304"</f>
        <v>54112023062810494977304</v>
      </c>
      <c r="C174" s="9" t="s">
        <v>6</v>
      </c>
      <c r="D174" s="9" t="str">
        <f>"林永教"</f>
        <v>林永教</v>
      </c>
    </row>
    <row r="175" spans="1:4" ht="34.5" customHeight="1">
      <c r="A175" s="8">
        <v>173</v>
      </c>
      <c r="B175" s="9" t="str">
        <f>"54112023062815323978475"</f>
        <v>54112023062815323978475</v>
      </c>
      <c r="C175" s="9" t="s">
        <v>6</v>
      </c>
      <c r="D175" s="9" t="str">
        <f>"麦名蕴"</f>
        <v>麦名蕴</v>
      </c>
    </row>
    <row r="176" spans="1:4" ht="34.5" customHeight="1">
      <c r="A176" s="8">
        <v>174</v>
      </c>
      <c r="B176" s="9" t="str">
        <f>"54112023062811453877600"</f>
        <v>54112023062811453877600</v>
      </c>
      <c r="C176" s="9" t="s">
        <v>6</v>
      </c>
      <c r="D176" s="9" t="str">
        <f>"麦娜"</f>
        <v>麦娜</v>
      </c>
    </row>
    <row r="177" spans="1:4" ht="34.5" customHeight="1">
      <c r="A177" s="8">
        <v>175</v>
      </c>
      <c r="B177" s="9" t="str">
        <f>"54112023062811215877487"</f>
        <v>54112023062811215877487</v>
      </c>
      <c r="C177" s="9" t="s">
        <v>6</v>
      </c>
      <c r="D177" s="9" t="str">
        <f>"陈青霞"</f>
        <v>陈青霞</v>
      </c>
    </row>
    <row r="178" spans="1:4" ht="34.5" customHeight="1">
      <c r="A178" s="8">
        <v>176</v>
      </c>
      <c r="B178" s="9" t="str">
        <f>"54112023062716220774459"</f>
        <v>54112023062716220774459</v>
      </c>
      <c r="C178" s="9" t="s">
        <v>6</v>
      </c>
      <c r="D178" s="9" t="str">
        <f>"吴小妹"</f>
        <v>吴小妹</v>
      </c>
    </row>
    <row r="179" spans="1:4" ht="34.5" customHeight="1">
      <c r="A179" s="8">
        <v>177</v>
      </c>
      <c r="B179" s="9" t="str">
        <f>"54112023062909562581280"</f>
        <v>54112023062909562581280</v>
      </c>
      <c r="C179" s="9" t="s">
        <v>6</v>
      </c>
      <c r="D179" s="9" t="str">
        <f>"羊美菊"</f>
        <v>羊美菊</v>
      </c>
    </row>
    <row r="180" spans="1:4" ht="34.5" customHeight="1">
      <c r="A180" s="8">
        <v>178</v>
      </c>
      <c r="B180" s="9" t="str">
        <f>"54112023062911100282000"</f>
        <v>54112023062911100282000</v>
      </c>
      <c r="C180" s="9" t="s">
        <v>6</v>
      </c>
      <c r="D180" s="9" t="str">
        <f>"林启米"</f>
        <v>林启米</v>
      </c>
    </row>
    <row r="181" spans="1:4" ht="34.5" customHeight="1">
      <c r="A181" s="8">
        <v>179</v>
      </c>
      <c r="B181" s="9" t="str">
        <f>"54112023062911221782086"</f>
        <v>54112023062911221782086</v>
      </c>
      <c r="C181" s="9" t="s">
        <v>6</v>
      </c>
      <c r="D181" s="9" t="str">
        <f>"林晓虹"</f>
        <v>林晓虹</v>
      </c>
    </row>
    <row r="182" spans="1:4" ht="34.5" customHeight="1">
      <c r="A182" s="8">
        <v>180</v>
      </c>
      <c r="B182" s="9" t="str">
        <f>"54112023062915403983557"</f>
        <v>54112023062915403983557</v>
      </c>
      <c r="C182" s="9" t="s">
        <v>6</v>
      </c>
      <c r="D182" s="9" t="str">
        <f>"郑晓柳"</f>
        <v>郑晓柳</v>
      </c>
    </row>
    <row r="183" spans="1:4" ht="34.5" customHeight="1">
      <c r="A183" s="8">
        <v>181</v>
      </c>
      <c r="B183" s="9" t="str">
        <f>"54112023062919132484794"</f>
        <v>54112023062919132484794</v>
      </c>
      <c r="C183" s="9" t="s">
        <v>6</v>
      </c>
      <c r="D183" s="9" t="str">
        <f>"陈汉玉"</f>
        <v>陈汉玉</v>
      </c>
    </row>
    <row r="184" spans="1:4" ht="34.5" customHeight="1">
      <c r="A184" s="8">
        <v>182</v>
      </c>
      <c r="B184" s="9" t="str">
        <f>"54112023062921265185570"</f>
        <v>54112023062921265185570</v>
      </c>
      <c r="C184" s="9" t="s">
        <v>6</v>
      </c>
      <c r="D184" s="9" t="str">
        <f>"赵衍珥"</f>
        <v>赵衍珥</v>
      </c>
    </row>
    <row r="185" spans="1:4" ht="34.5" customHeight="1">
      <c r="A185" s="8">
        <v>183</v>
      </c>
      <c r="B185" s="9" t="str">
        <f>"54112023063009592387356"</f>
        <v>54112023063009592387356</v>
      </c>
      <c r="C185" s="9" t="s">
        <v>6</v>
      </c>
      <c r="D185" s="9" t="str">
        <f>"杜小慧"</f>
        <v>杜小慧</v>
      </c>
    </row>
    <row r="186" spans="1:4" ht="34.5" customHeight="1">
      <c r="A186" s="8">
        <v>184</v>
      </c>
      <c r="B186" s="9" t="str">
        <f>"54112023062810550677343"</f>
        <v>54112023062810550677343</v>
      </c>
      <c r="C186" s="9" t="s">
        <v>6</v>
      </c>
      <c r="D186" s="9" t="str">
        <f>"李永容"</f>
        <v>李永容</v>
      </c>
    </row>
    <row r="187" spans="1:4" ht="34.5" customHeight="1">
      <c r="A187" s="8">
        <v>185</v>
      </c>
      <c r="B187" s="9" t="str">
        <f>"54112023063016464689914"</f>
        <v>54112023063016464689914</v>
      </c>
      <c r="C187" s="9" t="s">
        <v>6</v>
      </c>
      <c r="D187" s="9" t="str">
        <f>"王小云"</f>
        <v>王小云</v>
      </c>
    </row>
    <row r="188" spans="1:4" ht="34.5" customHeight="1">
      <c r="A188" s="8">
        <v>186</v>
      </c>
      <c r="B188" s="9" t="str">
        <f>"54112023070110273991092"</f>
        <v>54112023070110273991092</v>
      </c>
      <c r="C188" s="9" t="s">
        <v>6</v>
      </c>
      <c r="D188" s="9" t="str">
        <f>"隋佳宁"</f>
        <v>隋佳宁</v>
      </c>
    </row>
    <row r="189" spans="1:4" ht="34.5" customHeight="1">
      <c r="A189" s="8">
        <v>187</v>
      </c>
      <c r="B189" s="9" t="str">
        <f>"54112023070119281792170"</f>
        <v>54112023070119281792170</v>
      </c>
      <c r="C189" s="9" t="s">
        <v>6</v>
      </c>
      <c r="D189" s="9" t="str">
        <f>"李桂萍"</f>
        <v>李桂萍</v>
      </c>
    </row>
    <row r="190" spans="1:4" ht="34.5" customHeight="1">
      <c r="A190" s="8">
        <v>188</v>
      </c>
      <c r="B190" s="9" t="str">
        <f>"54112023070121413892456"</f>
        <v>54112023070121413892456</v>
      </c>
      <c r="C190" s="9" t="s">
        <v>6</v>
      </c>
      <c r="D190" s="9" t="str">
        <f>"符丽莉"</f>
        <v>符丽莉</v>
      </c>
    </row>
    <row r="191" spans="1:4" ht="34.5" customHeight="1">
      <c r="A191" s="8">
        <v>189</v>
      </c>
      <c r="B191" s="9" t="str">
        <f>"54112023070117255091934"</f>
        <v>54112023070117255091934</v>
      </c>
      <c r="C191" s="9" t="s">
        <v>6</v>
      </c>
      <c r="D191" s="9" t="str">
        <f>"朱春蕾"</f>
        <v>朱春蕾</v>
      </c>
    </row>
    <row r="192" spans="1:4" ht="34.5" customHeight="1">
      <c r="A192" s="8">
        <v>190</v>
      </c>
      <c r="B192" s="9" t="str">
        <f>"54112023070209455493044"</f>
        <v>54112023070209455493044</v>
      </c>
      <c r="C192" s="9" t="s">
        <v>6</v>
      </c>
      <c r="D192" s="9" t="str">
        <f>"郑博良"</f>
        <v>郑博良</v>
      </c>
    </row>
    <row r="193" spans="1:4" ht="34.5" customHeight="1">
      <c r="A193" s="8">
        <v>191</v>
      </c>
      <c r="B193" s="9" t="str">
        <f>"54112023070211142893311"</f>
        <v>54112023070211142893311</v>
      </c>
      <c r="C193" s="9" t="s">
        <v>6</v>
      </c>
      <c r="D193" s="9" t="str">
        <f>"刘如苗"</f>
        <v>刘如苗</v>
      </c>
    </row>
    <row r="194" spans="1:4" ht="34.5" customHeight="1">
      <c r="A194" s="8">
        <v>192</v>
      </c>
      <c r="B194" s="9" t="str">
        <f>"54112023062607055665247"</f>
        <v>54112023062607055665247</v>
      </c>
      <c r="C194" s="9" t="s">
        <v>6</v>
      </c>
      <c r="D194" s="9" t="str">
        <f>"王清荣"</f>
        <v>王清荣</v>
      </c>
    </row>
    <row r="195" spans="1:4" ht="34.5" customHeight="1">
      <c r="A195" s="8">
        <v>193</v>
      </c>
      <c r="B195" s="9" t="str">
        <f>"54112023070221235594744"</f>
        <v>54112023070221235594744</v>
      </c>
      <c r="C195" s="9" t="s">
        <v>6</v>
      </c>
      <c r="D195" s="9" t="str">
        <f>"符玉娘"</f>
        <v>符玉娘</v>
      </c>
    </row>
    <row r="196" spans="1:4" ht="34.5" customHeight="1">
      <c r="A196" s="8">
        <v>194</v>
      </c>
      <c r="B196" s="9" t="str">
        <f>"54112023070221563094844"</f>
        <v>54112023070221563094844</v>
      </c>
      <c r="C196" s="9" t="s">
        <v>6</v>
      </c>
      <c r="D196" s="9" t="str">
        <f>"黄民姣"</f>
        <v>黄民姣</v>
      </c>
    </row>
    <row r="197" spans="1:4" ht="34.5" customHeight="1">
      <c r="A197" s="8">
        <v>195</v>
      </c>
      <c r="B197" s="9" t="str">
        <f>"54112023070218404494370"</f>
        <v>54112023070218404494370</v>
      </c>
      <c r="C197" s="9" t="s">
        <v>6</v>
      </c>
      <c r="D197" s="9" t="str">
        <f>"向舒琪"</f>
        <v>向舒琪</v>
      </c>
    </row>
    <row r="198" spans="1:4" ht="34.5" customHeight="1">
      <c r="A198" s="8">
        <v>196</v>
      </c>
      <c r="B198" s="9" t="str">
        <f>"54112023070310503896451"</f>
        <v>54112023070310503896451</v>
      </c>
      <c r="C198" s="9" t="s">
        <v>6</v>
      </c>
      <c r="D198" s="9" t="str">
        <f>"张雅婷"</f>
        <v>张雅婷</v>
      </c>
    </row>
    <row r="199" spans="1:4" ht="34.5" customHeight="1">
      <c r="A199" s="8">
        <v>197</v>
      </c>
      <c r="B199" s="9" t="str">
        <f>"54112023070312121396952"</f>
        <v>54112023070312121396952</v>
      </c>
      <c r="C199" s="9" t="s">
        <v>6</v>
      </c>
      <c r="D199" s="9" t="str">
        <f>"林如芳"</f>
        <v>林如芳</v>
      </c>
    </row>
    <row r="200" spans="1:4" ht="34.5" customHeight="1">
      <c r="A200" s="8">
        <v>198</v>
      </c>
      <c r="B200" s="9" t="str">
        <f>"54112023070313373197437"</f>
        <v>54112023070313373197437</v>
      </c>
      <c r="C200" s="9" t="s">
        <v>6</v>
      </c>
      <c r="D200" s="9" t="str">
        <f>"陈忆凝"</f>
        <v>陈忆凝</v>
      </c>
    </row>
    <row r="201" spans="1:4" ht="34.5" customHeight="1">
      <c r="A201" s="8">
        <v>199</v>
      </c>
      <c r="B201" s="9" t="str">
        <f>"54112023070312594897250"</f>
        <v>54112023070312594897250</v>
      </c>
      <c r="C201" s="9" t="s">
        <v>6</v>
      </c>
      <c r="D201" s="9" t="str">
        <f>"符创雀"</f>
        <v>符创雀</v>
      </c>
    </row>
    <row r="202" spans="1:4" ht="34.5" customHeight="1">
      <c r="A202" s="8">
        <v>200</v>
      </c>
      <c r="B202" s="9" t="str">
        <f>"54112023070312163296976"</f>
        <v>54112023070312163296976</v>
      </c>
      <c r="C202" s="9" t="s">
        <v>6</v>
      </c>
      <c r="D202" s="9" t="str">
        <f>"王禄 "</f>
        <v>王禄 </v>
      </c>
    </row>
    <row r="203" spans="1:4" ht="34.5" customHeight="1">
      <c r="A203" s="8">
        <v>201</v>
      </c>
      <c r="B203" s="9" t="str">
        <f>"54112023070316564698507"</f>
        <v>54112023070316564698507</v>
      </c>
      <c r="C203" s="9" t="s">
        <v>6</v>
      </c>
      <c r="D203" s="9" t="str">
        <f>"蔡海菠"</f>
        <v>蔡海菠</v>
      </c>
    </row>
    <row r="204" spans="1:4" ht="34.5" customHeight="1">
      <c r="A204" s="8">
        <v>202</v>
      </c>
      <c r="B204" s="9" t="str">
        <f>"54112023070317314098690"</f>
        <v>54112023070317314098690</v>
      </c>
      <c r="C204" s="9" t="s">
        <v>6</v>
      </c>
      <c r="D204" s="9" t="str">
        <f>"蔡亲贝"</f>
        <v>蔡亲贝</v>
      </c>
    </row>
    <row r="205" spans="1:4" ht="34.5" customHeight="1">
      <c r="A205" s="8">
        <v>203</v>
      </c>
      <c r="B205" s="9" t="str">
        <f>"54112023070304490795215"</f>
        <v>54112023070304490795215</v>
      </c>
      <c r="C205" s="9" t="s">
        <v>6</v>
      </c>
      <c r="D205" s="9" t="str">
        <f>"王巧怡"</f>
        <v>王巧怡</v>
      </c>
    </row>
    <row r="206" spans="1:4" ht="34.5" customHeight="1">
      <c r="A206" s="8">
        <v>204</v>
      </c>
      <c r="B206" s="9" t="str">
        <f>"54112023070318063798808"</f>
        <v>54112023070318063798808</v>
      </c>
      <c r="C206" s="9" t="s">
        <v>6</v>
      </c>
      <c r="D206" s="9" t="str">
        <f>"符冬婷"</f>
        <v>符冬婷</v>
      </c>
    </row>
    <row r="207" spans="1:4" ht="34.5" customHeight="1">
      <c r="A207" s="8">
        <v>205</v>
      </c>
      <c r="B207" s="9" t="str">
        <f>"54112023070319230199083"</f>
        <v>54112023070319230199083</v>
      </c>
      <c r="C207" s="9" t="s">
        <v>6</v>
      </c>
      <c r="D207" s="9" t="str">
        <f>"梁春乾"</f>
        <v>梁春乾</v>
      </c>
    </row>
    <row r="208" spans="1:4" ht="34.5" customHeight="1">
      <c r="A208" s="8">
        <v>206</v>
      </c>
      <c r="B208" s="9" t="str">
        <f>"54112023070311454196816"</f>
        <v>54112023070311454196816</v>
      </c>
      <c r="C208" s="9" t="s">
        <v>6</v>
      </c>
      <c r="D208" s="9" t="str">
        <f>"林秋菊"</f>
        <v>林秋菊</v>
      </c>
    </row>
    <row r="209" spans="1:4" ht="34.5" customHeight="1">
      <c r="A209" s="8">
        <v>207</v>
      </c>
      <c r="B209" s="9" t="str">
        <f>"54112023070320235599342"</f>
        <v>54112023070320235599342</v>
      </c>
      <c r="C209" s="9" t="s">
        <v>6</v>
      </c>
      <c r="D209" s="9" t="str">
        <f>"李菲"</f>
        <v>李菲</v>
      </c>
    </row>
    <row r="210" spans="1:4" ht="34.5" customHeight="1">
      <c r="A210" s="8">
        <v>208</v>
      </c>
      <c r="B210" s="9" t="str">
        <f>"54112023070314411297677"</f>
        <v>54112023070314411297677</v>
      </c>
      <c r="C210" s="9" t="s">
        <v>6</v>
      </c>
      <c r="D210" s="9" t="str">
        <f>"许权锋"</f>
        <v>许权锋</v>
      </c>
    </row>
    <row r="211" spans="1:4" ht="34.5" customHeight="1">
      <c r="A211" s="8">
        <v>209</v>
      </c>
      <c r="B211" s="9" t="str">
        <f>"541120230704084608100648"</f>
        <v>541120230704084608100648</v>
      </c>
      <c r="C211" s="9" t="s">
        <v>6</v>
      </c>
      <c r="D211" s="9" t="str">
        <f>"石海倩"</f>
        <v>石海倩</v>
      </c>
    </row>
    <row r="212" spans="1:4" ht="34.5" customHeight="1">
      <c r="A212" s="8">
        <v>210</v>
      </c>
      <c r="B212" s="9" t="str">
        <f>"541120230704090759100747"</f>
        <v>541120230704090759100747</v>
      </c>
      <c r="C212" s="9" t="s">
        <v>6</v>
      </c>
      <c r="D212" s="9" t="str">
        <f>"张深珠"</f>
        <v>张深珠</v>
      </c>
    </row>
    <row r="213" spans="1:4" ht="34.5" customHeight="1">
      <c r="A213" s="8">
        <v>211</v>
      </c>
      <c r="B213" s="9" t="str">
        <f>"54112023062909092280828"</f>
        <v>54112023062909092280828</v>
      </c>
      <c r="C213" s="9" t="s">
        <v>6</v>
      </c>
      <c r="D213" s="9" t="str">
        <f>"陈妹"</f>
        <v>陈妹</v>
      </c>
    </row>
    <row r="214" spans="1:4" ht="34.5" customHeight="1">
      <c r="A214" s="8">
        <v>212</v>
      </c>
      <c r="B214" s="9" t="str">
        <f>"541120230704111956101425"</f>
        <v>541120230704111956101425</v>
      </c>
      <c r="C214" s="9" t="s">
        <v>6</v>
      </c>
      <c r="D214" s="9" t="str">
        <f>"王丽飞"</f>
        <v>王丽飞</v>
      </c>
    </row>
    <row r="215" spans="1:4" ht="34.5" customHeight="1">
      <c r="A215" s="8">
        <v>213</v>
      </c>
      <c r="B215" s="9" t="str">
        <f>"541120230704111306101390"</f>
        <v>541120230704111306101390</v>
      </c>
      <c r="C215" s="9" t="s">
        <v>6</v>
      </c>
      <c r="D215" s="9" t="str">
        <f>"项赐凤"</f>
        <v>项赐凤</v>
      </c>
    </row>
    <row r="216" spans="1:4" ht="34.5" customHeight="1">
      <c r="A216" s="8">
        <v>214</v>
      </c>
      <c r="B216" s="9" t="str">
        <f>"54112023062508560459746"</f>
        <v>54112023062508560459746</v>
      </c>
      <c r="C216" s="9" t="s">
        <v>7</v>
      </c>
      <c r="D216" s="9" t="str">
        <f>"翁晓娟"</f>
        <v>翁晓娟</v>
      </c>
    </row>
    <row r="217" spans="1:4" ht="34.5" customHeight="1">
      <c r="A217" s="8">
        <v>215</v>
      </c>
      <c r="B217" s="9" t="str">
        <f>"54112023062508471659711"</f>
        <v>54112023062508471659711</v>
      </c>
      <c r="C217" s="9" t="s">
        <v>7</v>
      </c>
      <c r="D217" s="9" t="str">
        <f>"邹丹"</f>
        <v>邹丹</v>
      </c>
    </row>
    <row r="218" spans="1:4" ht="34.5" customHeight="1">
      <c r="A218" s="8">
        <v>216</v>
      </c>
      <c r="B218" s="9" t="str">
        <f>"54112023062510204860585"</f>
        <v>54112023062510204860585</v>
      </c>
      <c r="C218" s="9" t="s">
        <v>7</v>
      </c>
      <c r="D218" s="9" t="str">
        <f>"刘振丹"</f>
        <v>刘振丹</v>
      </c>
    </row>
    <row r="219" spans="1:4" ht="34.5" customHeight="1">
      <c r="A219" s="8">
        <v>217</v>
      </c>
      <c r="B219" s="9" t="str">
        <f>"54112023062510222560601"</f>
        <v>54112023062510222560601</v>
      </c>
      <c r="C219" s="9" t="s">
        <v>7</v>
      </c>
      <c r="D219" s="9" t="str">
        <f>"唐桂楼"</f>
        <v>唐桂楼</v>
      </c>
    </row>
    <row r="220" spans="1:4" ht="34.5" customHeight="1">
      <c r="A220" s="8">
        <v>218</v>
      </c>
      <c r="B220" s="9" t="str">
        <f>"54112023062510202160582"</f>
        <v>54112023062510202160582</v>
      </c>
      <c r="C220" s="9" t="s">
        <v>7</v>
      </c>
      <c r="D220" s="9" t="str">
        <f>"吴育芬"</f>
        <v>吴育芬</v>
      </c>
    </row>
    <row r="221" spans="1:4" ht="34.5" customHeight="1">
      <c r="A221" s="8">
        <v>219</v>
      </c>
      <c r="B221" s="9" t="str">
        <f>"54112023062511252261053"</f>
        <v>54112023062511252261053</v>
      </c>
      <c r="C221" s="9" t="s">
        <v>7</v>
      </c>
      <c r="D221" s="9" t="str">
        <f>"吴小佳"</f>
        <v>吴小佳</v>
      </c>
    </row>
    <row r="222" spans="1:4" ht="34.5" customHeight="1">
      <c r="A222" s="8">
        <v>220</v>
      </c>
      <c r="B222" s="9" t="str">
        <f>"54112023062511242161046"</f>
        <v>54112023062511242161046</v>
      </c>
      <c r="C222" s="9" t="s">
        <v>7</v>
      </c>
      <c r="D222" s="9" t="str">
        <f>"吴琦"</f>
        <v>吴琦</v>
      </c>
    </row>
    <row r="223" spans="1:4" ht="34.5" customHeight="1">
      <c r="A223" s="8">
        <v>221</v>
      </c>
      <c r="B223" s="9" t="str">
        <f>"54112023062512260061912"</f>
        <v>54112023062512260061912</v>
      </c>
      <c r="C223" s="9" t="s">
        <v>7</v>
      </c>
      <c r="D223" s="9" t="str">
        <f>"曾令宁"</f>
        <v>曾令宁</v>
      </c>
    </row>
    <row r="224" spans="1:4" ht="34.5" customHeight="1">
      <c r="A224" s="8">
        <v>222</v>
      </c>
      <c r="B224" s="9" t="str">
        <f>"54112023062510051060464"</f>
        <v>54112023062510051060464</v>
      </c>
      <c r="C224" s="9" t="s">
        <v>7</v>
      </c>
      <c r="D224" s="9" t="str">
        <f>"陈芳丽"</f>
        <v>陈芳丽</v>
      </c>
    </row>
    <row r="225" spans="1:4" ht="34.5" customHeight="1">
      <c r="A225" s="8">
        <v>223</v>
      </c>
      <c r="B225" s="9" t="str">
        <f>"54112023062515160562832"</f>
        <v>54112023062515160562832</v>
      </c>
      <c r="C225" s="9" t="s">
        <v>7</v>
      </c>
      <c r="D225" s="9" t="str">
        <f>"王秀娜"</f>
        <v>王秀娜</v>
      </c>
    </row>
    <row r="226" spans="1:4" ht="34.5" customHeight="1">
      <c r="A226" s="8">
        <v>224</v>
      </c>
      <c r="B226" s="9" t="str">
        <f>"54112023062515412963007"</f>
        <v>54112023062515412963007</v>
      </c>
      <c r="C226" s="9" t="s">
        <v>7</v>
      </c>
      <c r="D226" s="9" t="str">
        <f>"柯彦萍"</f>
        <v>柯彦萍</v>
      </c>
    </row>
    <row r="227" spans="1:4" ht="34.5" customHeight="1">
      <c r="A227" s="8">
        <v>225</v>
      </c>
      <c r="B227" s="9" t="str">
        <f>"54112023062515071662782"</f>
        <v>54112023062515071662782</v>
      </c>
      <c r="C227" s="9" t="s">
        <v>7</v>
      </c>
      <c r="D227" s="9" t="str">
        <f>"孟晓莉"</f>
        <v>孟晓莉</v>
      </c>
    </row>
    <row r="228" spans="1:4" ht="34.5" customHeight="1">
      <c r="A228" s="8">
        <v>226</v>
      </c>
      <c r="B228" s="9" t="str">
        <f>"54112023062515535863092"</f>
        <v>54112023062515535863092</v>
      </c>
      <c r="C228" s="9" t="s">
        <v>7</v>
      </c>
      <c r="D228" s="9" t="str">
        <f>"邱惠芳"</f>
        <v>邱惠芳</v>
      </c>
    </row>
    <row r="229" spans="1:4" ht="34.5" customHeight="1">
      <c r="A229" s="8">
        <v>227</v>
      </c>
      <c r="B229" s="9" t="str">
        <f>"54112023062516110363189"</f>
        <v>54112023062516110363189</v>
      </c>
      <c r="C229" s="9" t="s">
        <v>7</v>
      </c>
      <c r="D229" s="9" t="str">
        <f>"张娜"</f>
        <v>张娜</v>
      </c>
    </row>
    <row r="230" spans="1:4" ht="34.5" customHeight="1">
      <c r="A230" s="8">
        <v>228</v>
      </c>
      <c r="B230" s="9" t="str">
        <f>"54112023062516121963198"</f>
        <v>54112023062516121963198</v>
      </c>
      <c r="C230" s="9" t="s">
        <v>7</v>
      </c>
      <c r="D230" s="9" t="str">
        <f>"刘张忠"</f>
        <v>刘张忠</v>
      </c>
    </row>
    <row r="231" spans="1:4" ht="34.5" customHeight="1">
      <c r="A231" s="8">
        <v>229</v>
      </c>
      <c r="B231" s="9" t="str">
        <f>"54112023062516221163253"</f>
        <v>54112023062516221163253</v>
      </c>
      <c r="C231" s="9" t="s">
        <v>7</v>
      </c>
      <c r="D231" s="9" t="str">
        <f>"王详"</f>
        <v>王详</v>
      </c>
    </row>
    <row r="232" spans="1:4" ht="34.5" customHeight="1">
      <c r="A232" s="8">
        <v>230</v>
      </c>
      <c r="B232" s="9" t="str">
        <f>"54112023062511353161120"</f>
        <v>54112023062511353161120</v>
      </c>
      <c r="C232" s="9" t="s">
        <v>7</v>
      </c>
      <c r="D232" s="9" t="str">
        <f>"陈文静"</f>
        <v>陈文静</v>
      </c>
    </row>
    <row r="233" spans="1:4" ht="34.5" customHeight="1">
      <c r="A233" s="8">
        <v>231</v>
      </c>
      <c r="B233" s="9" t="str">
        <f>"54112023062516430363345"</f>
        <v>54112023062516430363345</v>
      </c>
      <c r="C233" s="9" t="s">
        <v>7</v>
      </c>
      <c r="D233" s="9" t="str">
        <f>"郑学彩"</f>
        <v>郑学彩</v>
      </c>
    </row>
    <row r="234" spans="1:4" ht="34.5" customHeight="1">
      <c r="A234" s="8">
        <v>232</v>
      </c>
      <c r="B234" s="9" t="str">
        <f>"54112023062511064160913"</f>
        <v>54112023062511064160913</v>
      </c>
      <c r="C234" s="9" t="s">
        <v>7</v>
      </c>
      <c r="D234" s="9" t="str">
        <f>"唐海文"</f>
        <v>唐海文</v>
      </c>
    </row>
    <row r="235" spans="1:4" ht="34.5" customHeight="1">
      <c r="A235" s="8">
        <v>233</v>
      </c>
      <c r="B235" s="9" t="str">
        <f>"54112023062517111363476"</f>
        <v>54112023062517111363476</v>
      </c>
      <c r="C235" s="9" t="s">
        <v>7</v>
      </c>
      <c r="D235" s="9" t="str">
        <f>"王丽菊"</f>
        <v>王丽菊</v>
      </c>
    </row>
    <row r="236" spans="1:4" ht="34.5" customHeight="1">
      <c r="A236" s="8">
        <v>234</v>
      </c>
      <c r="B236" s="9" t="str">
        <f>"54112023062517214963525"</f>
        <v>54112023062517214963525</v>
      </c>
      <c r="C236" s="9" t="s">
        <v>7</v>
      </c>
      <c r="D236" s="9" t="str">
        <f>"陈其花"</f>
        <v>陈其花</v>
      </c>
    </row>
    <row r="237" spans="1:4" ht="34.5" customHeight="1">
      <c r="A237" s="8">
        <v>235</v>
      </c>
      <c r="B237" s="9" t="str">
        <f>"54112023062518445763819"</f>
        <v>54112023062518445763819</v>
      </c>
      <c r="C237" s="9" t="s">
        <v>7</v>
      </c>
      <c r="D237" s="9" t="str">
        <f>"徐雄姣"</f>
        <v>徐雄姣</v>
      </c>
    </row>
    <row r="238" spans="1:4" ht="34.5" customHeight="1">
      <c r="A238" s="8">
        <v>236</v>
      </c>
      <c r="B238" s="9" t="str">
        <f>"54112023062510022260430"</f>
        <v>54112023062510022260430</v>
      </c>
      <c r="C238" s="9" t="s">
        <v>7</v>
      </c>
      <c r="D238" s="9" t="str">
        <f>"周雨欣"</f>
        <v>周雨欣</v>
      </c>
    </row>
    <row r="239" spans="1:4" ht="34.5" customHeight="1">
      <c r="A239" s="8">
        <v>237</v>
      </c>
      <c r="B239" s="9" t="str">
        <f>"54112023062520160764172"</f>
        <v>54112023062520160764172</v>
      </c>
      <c r="C239" s="9" t="s">
        <v>7</v>
      </c>
      <c r="D239" s="9" t="str">
        <f>"谭向冰"</f>
        <v>谭向冰</v>
      </c>
    </row>
    <row r="240" spans="1:4" ht="34.5" customHeight="1">
      <c r="A240" s="8">
        <v>238</v>
      </c>
      <c r="B240" s="9" t="str">
        <f>"54112023062520231564202"</f>
        <v>54112023062520231564202</v>
      </c>
      <c r="C240" s="9" t="s">
        <v>7</v>
      </c>
      <c r="D240" s="9" t="str">
        <f>"李欣凤"</f>
        <v>李欣凤</v>
      </c>
    </row>
    <row r="241" spans="1:4" ht="34.5" customHeight="1">
      <c r="A241" s="8">
        <v>239</v>
      </c>
      <c r="B241" s="9" t="str">
        <f>"54112023062521531764677"</f>
        <v>54112023062521531764677</v>
      </c>
      <c r="C241" s="9" t="s">
        <v>7</v>
      </c>
      <c r="D241" s="9" t="str">
        <f>"邢增菊"</f>
        <v>邢增菊</v>
      </c>
    </row>
    <row r="242" spans="1:4" ht="34.5" customHeight="1">
      <c r="A242" s="8">
        <v>240</v>
      </c>
      <c r="B242" s="9" t="str">
        <f>"54112023062508450259699"</f>
        <v>54112023062508450259699</v>
      </c>
      <c r="C242" s="9" t="s">
        <v>7</v>
      </c>
      <c r="D242" s="9" t="str">
        <f>"符玉玲"</f>
        <v>符玉玲</v>
      </c>
    </row>
    <row r="243" spans="1:4" ht="34.5" customHeight="1">
      <c r="A243" s="8">
        <v>241</v>
      </c>
      <c r="B243" s="9" t="str">
        <f>"54112023062522572564898"</f>
        <v>54112023062522572564898</v>
      </c>
      <c r="C243" s="9" t="s">
        <v>7</v>
      </c>
      <c r="D243" s="9" t="str">
        <f>"梁华南"</f>
        <v>梁华南</v>
      </c>
    </row>
    <row r="244" spans="1:4" ht="34.5" customHeight="1">
      <c r="A244" s="8">
        <v>242</v>
      </c>
      <c r="B244" s="9" t="str">
        <f>"54112023062515331362954"</f>
        <v>54112023062515331362954</v>
      </c>
      <c r="C244" s="9" t="s">
        <v>7</v>
      </c>
      <c r="D244" s="9" t="str">
        <f>"余瑄"</f>
        <v>余瑄</v>
      </c>
    </row>
    <row r="245" spans="1:4" ht="34.5" customHeight="1">
      <c r="A245" s="8">
        <v>243</v>
      </c>
      <c r="B245" s="9" t="str">
        <f>"54112023062607582065282"</f>
        <v>54112023062607582065282</v>
      </c>
      <c r="C245" s="9" t="s">
        <v>7</v>
      </c>
      <c r="D245" s="9" t="str">
        <f>"王晓雯"</f>
        <v>王晓雯</v>
      </c>
    </row>
    <row r="246" spans="1:4" ht="34.5" customHeight="1">
      <c r="A246" s="8">
        <v>244</v>
      </c>
      <c r="B246" s="9" t="str">
        <f>"54112023062521022864391"</f>
        <v>54112023062521022864391</v>
      </c>
      <c r="C246" s="9" t="s">
        <v>7</v>
      </c>
      <c r="D246" s="9" t="str">
        <f>"许漂漂"</f>
        <v>许漂漂</v>
      </c>
    </row>
    <row r="247" spans="1:4" ht="34.5" customHeight="1">
      <c r="A247" s="8">
        <v>245</v>
      </c>
      <c r="B247" s="9" t="str">
        <f>"54112023062609290466076"</f>
        <v>54112023062609290466076</v>
      </c>
      <c r="C247" s="9" t="s">
        <v>7</v>
      </c>
      <c r="D247" s="9" t="str">
        <f>"蔡玉玲"</f>
        <v>蔡玉玲</v>
      </c>
    </row>
    <row r="248" spans="1:4" ht="34.5" customHeight="1">
      <c r="A248" s="8">
        <v>246</v>
      </c>
      <c r="B248" s="9" t="str">
        <f>"54112023062609450166341"</f>
        <v>54112023062609450166341</v>
      </c>
      <c r="C248" s="9" t="s">
        <v>7</v>
      </c>
      <c r="D248" s="9" t="str">
        <f>"吴海萍"</f>
        <v>吴海萍</v>
      </c>
    </row>
    <row r="249" spans="1:4" ht="34.5" customHeight="1">
      <c r="A249" s="8">
        <v>247</v>
      </c>
      <c r="B249" s="9" t="str">
        <f>"54112023062608520565437"</f>
        <v>54112023062608520565437</v>
      </c>
      <c r="C249" s="9" t="s">
        <v>7</v>
      </c>
      <c r="D249" s="9" t="str">
        <f>"范珊珊"</f>
        <v>范珊珊</v>
      </c>
    </row>
    <row r="250" spans="1:4" ht="34.5" customHeight="1">
      <c r="A250" s="8">
        <v>248</v>
      </c>
      <c r="B250" s="9" t="str">
        <f>"54112023062609363266201"</f>
        <v>54112023062609363266201</v>
      </c>
      <c r="C250" s="9" t="s">
        <v>7</v>
      </c>
      <c r="D250" s="9" t="str">
        <f>"林芳"</f>
        <v>林芳</v>
      </c>
    </row>
    <row r="251" spans="1:4" ht="34.5" customHeight="1">
      <c r="A251" s="8">
        <v>249</v>
      </c>
      <c r="B251" s="9" t="str">
        <f>"54112023062609580966571"</f>
        <v>54112023062609580966571</v>
      </c>
      <c r="C251" s="9" t="s">
        <v>7</v>
      </c>
      <c r="D251" s="9" t="str">
        <f>"李雅洁"</f>
        <v>李雅洁</v>
      </c>
    </row>
    <row r="252" spans="1:4" ht="34.5" customHeight="1">
      <c r="A252" s="8">
        <v>250</v>
      </c>
      <c r="B252" s="9" t="str">
        <f>"54112023062610121766784"</f>
        <v>54112023062610121766784</v>
      </c>
      <c r="C252" s="9" t="s">
        <v>7</v>
      </c>
      <c r="D252" s="9" t="str">
        <f>"符镕麟"</f>
        <v>符镕麟</v>
      </c>
    </row>
    <row r="253" spans="1:4" ht="34.5" customHeight="1">
      <c r="A253" s="8">
        <v>251</v>
      </c>
      <c r="B253" s="9" t="str">
        <f>"54112023062610065366698"</f>
        <v>54112023062610065366698</v>
      </c>
      <c r="C253" s="9" t="s">
        <v>7</v>
      </c>
      <c r="D253" s="9" t="str">
        <f>"王晓玲"</f>
        <v>王晓玲</v>
      </c>
    </row>
    <row r="254" spans="1:4" ht="34.5" customHeight="1">
      <c r="A254" s="8">
        <v>252</v>
      </c>
      <c r="B254" s="9" t="str">
        <f>"54112023062609445366336"</f>
        <v>54112023062609445366336</v>
      </c>
      <c r="C254" s="9" t="s">
        <v>7</v>
      </c>
      <c r="D254" s="9" t="str">
        <f>"陈君君"</f>
        <v>陈君君</v>
      </c>
    </row>
    <row r="255" spans="1:4" ht="34.5" customHeight="1">
      <c r="A255" s="8">
        <v>253</v>
      </c>
      <c r="B255" s="9" t="str">
        <f>"54112023062512324061963"</f>
        <v>54112023062512324061963</v>
      </c>
      <c r="C255" s="9" t="s">
        <v>7</v>
      </c>
      <c r="D255" s="9" t="str">
        <f>"熊雯钰"</f>
        <v>熊雯钰</v>
      </c>
    </row>
    <row r="256" spans="1:4" ht="34.5" customHeight="1">
      <c r="A256" s="8">
        <v>254</v>
      </c>
      <c r="B256" s="9" t="str">
        <f>"54112023062612041668100"</f>
        <v>54112023062612041668100</v>
      </c>
      <c r="C256" s="9" t="s">
        <v>7</v>
      </c>
      <c r="D256" s="9" t="str">
        <f>"张莉"</f>
        <v>张莉</v>
      </c>
    </row>
    <row r="257" spans="1:4" ht="34.5" customHeight="1">
      <c r="A257" s="8">
        <v>255</v>
      </c>
      <c r="B257" s="9" t="str">
        <f>"54112023062610433367248"</f>
        <v>54112023062610433367248</v>
      </c>
      <c r="C257" s="9" t="s">
        <v>7</v>
      </c>
      <c r="D257" s="9" t="str">
        <f>"曾晓蕾"</f>
        <v>曾晓蕾</v>
      </c>
    </row>
    <row r="258" spans="1:4" ht="34.5" customHeight="1">
      <c r="A258" s="8">
        <v>256</v>
      </c>
      <c r="B258" s="9" t="str">
        <f>"54112023062517301663568"</f>
        <v>54112023062517301663568</v>
      </c>
      <c r="C258" s="9" t="s">
        <v>7</v>
      </c>
      <c r="D258" s="9" t="str">
        <f>"王慧"</f>
        <v>王慧</v>
      </c>
    </row>
    <row r="259" spans="1:4" ht="34.5" customHeight="1">
      <c r="A259" s="8">
        <v>257</v>
      </c>
      <c r="B259" s="9" t="str">
        <f>"54112023062521172564473"</f>
        <v>54112023062521172564473</v>
      </c>
      <c r="C259" s="9" t="s">
        <v>7</v>
      </c>
      <c r="D259" s="9" t="str">
        <f>"刘妤茜"</f>
        <v>刘妤茜</v>
      </c>
    </row>
    <row r="260" spans="1:4" ht="34.5" customHeight="1">
      <c r="A260" s="8">
        <v>258</v>
      </c>
      <c r="B260" s="9" t="str">
        <f>"54112023062614581369048"</f>
        <v>54112023062614581369048</v>
      </c>
      <c r="C260" s="9" t="s">
        <v>7</v>
      </c>
      <c r="D260" s="9" t="str">
        <f>"文真真"</f>
        <v>文真真</v>
      </c>
    </row>
    <row r="261" spans="1:4" ht="34.5" customHeight="1">
      <c r="A261" s="8">
        <v>259</v>
      </c>
      <c r="B261" s="9" t="str">
        <f>"54112023062615025769082"</f>
        <v>54112023062615025769082</v>
      </c>
      <c r="C261" s="9" t="s">
        <v>7</v>
      </c>
      <c r="D261" s="9" t="str">
        <f>"王韦月"</f>
        <v>王韦月</v>
      </c>
    </row>
    <row r="262" spans="1:4" ht="34.5" customHeight="1">
      <c r="A262" s="8">
        <v>260</v>
      </c>
      <c r="B262" s="9" t="str">
        <f>"54112023062615132669145"</f>
        <v>54112023062615132669145</v>
      </c>
      <c r="C262" s="9" t="s">
        <v>7</v>
      </c>
      <c r="D262" s="9" t="str">
        <f>"苏莹"</f>
        <v>苏莹</v>
      </c>
    </row>
    <row r="263" spans="1:4" ht="34.5" customHeight="1">
      <c r="A263" s="8">
        <v>261</v>
      </c>
      <c r="B263" s="9" t="str">
        <f>"54112023062617260170074"</f>
        <v>54112023062617260170074</v>
      </c>
      <c r="C263" s="9" t="s">
        <v>7</v>
      </c>
      <c r="D263" s="9" t="str">
        <f>"吴新芬"</f>
        <v>吴新芬</v>
      </c>
    </row>
    <row r="264" spans="1:4" ht="34.5" customHeight="1">
      <c r="A264" s="8">
        <v>262</v>
      </c>
      <c r="B264" s="9" t="str">
        <f>"54112023062618195070341"</f>
        <v>54112023062618195070341</v>
      </c>
      <c r="C264" s="9" t="s">
        <v>7</v>
      </c>
      <c r="D264" s="9" t="str">
        <f>"黄香坛"</f>
        <v>黄香坛</v>
      </c>
    </row>
    <row r="265" spans="1:4" ht="34.5" customHeight="1">
      <c r="A265" s="8">
        <v>263</v>
      </c>
      <c r="B265" s="9" t="str">
        <f>"54112023062620443870999"</f>
        <v>54112023062620443870999</v>
      </c>
      <c r="C265" s="9" t="s">
        <v>7</v>
      </c>
      <c r="D265" s="9" t="str">
        <f>"肖铃"</f>
        <v>肖铃</v>
      </c>
    </row>
    <row r="266" spans="1:4" ht="34.5" customHeight="1">
      <c r="A266" s="8">
        <v>264</v>
      </c>
      <c r="B266" s="9" t="str">
        <f>"54112023062620423970982"</f>
        <v>54112023062620423970982</v>
      </c>
      <c r="C266" s="9" t="s">
        <v>7</v>
      </c>
      <c r="D266" s="9" t="str">
        <f>"曾燕"</f>
        <v>曾燕</v>
      </c>
    </row>
    <row r="267" spans="1:4" ht="34.5" customHeight="1">
      <c r="A267" s="8">
        <v>265</v>
      </c>
      <c r="B267" s="9" t="str">
        <f>"54112023062621400671281"</f>
        <v>54112023062621400671281</v>
      </c>
      <c r="C267" s="9" t="s">
        <v>7</v>
      </c>
      <c r="D267" s="9" t="str">
        <f>"郑芳玲"</f>
        <v>郑芳玲</v>
      </c>
    </row>
    <row r="268" spans="1:4" ht="34.5" customHeight="1">
      <c r="A268" s="8">
        <v>266</v>
      </c>
      <c r="B268" s="9" t="str">
        <f>"54112023062622083571422"</f>
        <v>54112023062622083571422</v>
      </c>
      <c r="C268" s="9" t="s">
        <v>7</v>
      </c>
      <c r="D268" s="9" t="str">
        <f>"韩静"</f>
        <v>韩静</v>
      </c>
    </row>
    <row r="269" spans="1:4" ht="34.5" customHeight="1">
      <c r="A269" s="8">
        <v>267</v>
      </c>
      <c r="B269" s="9" t="str">
        <f>"54112023062622185271470"</f>
        <v>54112023062622185271470</v>
      </c>
      <c r="C269" s="9" t="s">
        <v>7</v>
      </c>
      <c r="D269" s="9" t="str">
        <f>"陈思婵"</f>
        <v>陈思婵</v>
      </c>
    </row>
    <row r="270" spans="1:4" ht="34.5" customHeight="1">
      <c r="A270" s="8">
        <v>268</v>
      </c>
      <c r="B270" s="9" t="str">
        <f>"54112023062623313071737"</f>
        <v>54112023062623313071737</v>
      </c>
      <c r="C270" s="9" t="s">
        <v>7</v>
      </c>
      <c r="D270" s="9" t="str">
        <f>"李杏"</f>
        <v>李杏</v>
      </c>
    </row>
    <row r="271" spans="1:4" ht="34.5" customHeight="1">
      <c r="A271" s="8">
        <v>269</v>
      </c>
      <c r="B271" s="9" t="str">
        <f>"54112023062614184268793"</f>
        <v>54112023062614184268793</v>
      </c>
      <c r="C271" s="9" t="s">
        <v>7</v>
      </c>
      <c r="D271" s="9" t="str">
        <f>"吴艳"</f>
        <v>吴艳</v>
      </c>
    </row>
    <row r="272" spans="1:4" ht="34.5" customHeight="1">
      <c r="A272" s="8">
        <v>270</v>
      </c>
      <c r="B272" s="9" t="str">
        <f>"54112023062708115471988"</f>
        <v>54112023062708115471988</v>
      </c>
      <c r="C272" s="9" t="s">
        <v>7</v>
      </c>
      <c r="D272" s="9" t="str">
        <f>"陆显任"</f>
        <v>陆显任</v>
      </c>
    </row>
    <row r="273" spans="1:4" ht="34.5" customHeight="1">
      <c r="A273" s="8">
        <v>271</v>
      </c>
      <c r="B273" s="9" t="str">
        <f>"54112023062708592372199"</f>
        <v>54112023062708592372199</v>
      </c>
      <c r="C273" s="9" t="s">
        <v>7</v>
      </c>
      <c r="D273" s="9" t="str">
        <f>"文梅燕"</f>
        <v>文梅燕</v>
      </c>
    </row>
    <row r="274" spans="1:4" ht="34.5" customHeight="1">
      <c r="A274" s="8">
        <v>272</v>
      </c>
      <c r="B274" s="9" t="str">
        <f>"54112023062616524269874"</f>
        <v>54112023062616524269874</v>
      </c>
      <c r="C274" s="9" t="s">
        <v>7</v>
      </c>
      <c r="D274" s="9" t="str">
        <f>"符蓉"</f>
        <v>符蓉</v>
      </c>
    </row>
    <row r="275" spans="1:4" ht="34.5" customHeight="1">
      <c r="A275" s="8">
        <v>273</v>
      </c>
      <c r="B275" s="9" t="str">
        <f>"54112023062708182472009"</f>
        <v>54112023062708182472009</v>
      </c>
      <c r="C275" s="9" t="s">
        <v>7</v>
      </c>
      <c r="D275" s="9" t="str">
        <f>"陶玲"</f>
        <v>陶玲</v>
      </c>
    </row>
    <row r="276" spans="1:4" ht="34.5" customHeight="1">
      <c r="A276" s="8">
        <v>274</v>
      </c>
      <c r="B276" s="9" t="str">
        <f>"54112023062709233372356"</f>
        <v>54112023062709233372356</v>
      </c>
      <c r="C276" s="9" t="s">
        <v>7</v>
      </c>
      <c r="D276" s="9" t="str">
        <f>"赵学清"</f>
        <v>赵学清</v>
      </c>
    </row>
    <row r="277" spans="1:4" ht="34.5" customHeight="1">
      <c r="A277" s="8">
        <v>275</v>
      </c>
      <c r="B277" s="9" t="str">
        <f>"54112023062709311972404"</f>
        <v>54112023062709311972404</v>
      </c>
      <c r="C277" s="9" t="s">
        <v>7</v>
      </c>
      <c r="D277" s="9" t="str">
        <f>"蔡云飞"</f>
        <v>蔡云飞</v>
      </c>
    </row>
    <row r="278" spans="1:4" ht="34.5" customHeight="1">
      <c r="A278" s="8">
        <v>276</v>
      </c>
      <c r="B278" s="9" t="str">
        <f>"54112023062708323472065"</f>
        <v>54112023062708323472065</v>
      </c>
      <c r="C278" s="9" t="s">
        <v>7</v>
      </c>
      <c r="D278" s="9" t="str">
        <f>"黎灵娟"</f>
        <v>黎灵娟</v>
      </c>
    </row>
    <row r="279" spans="1:4" ht="34.5" customHeight="1">
      <c r="A279" s="8">
        <v>277</v>
      </c>
      <c r="B279" s="9" t="str">
        <f>"54112023062710552273229"</f>
        <v>54112023062710552273229</v>
      </c>
      <c r="C279" s="9" t="s">
        <v>7</v>
      </c>
      <c r="D279" s="9" t="str">
        <f>"王转珠"</f>
        <v>王转珠</v>
      </c>
    </row>
    <row r="280" spans="1:4" ht="34.5" customHeight="1">
      <c r="A280" s="8">
        <v>278</v>
      </c>
      <c r="B280" s="9" t="str">
        <f>"54112023062711025573272"</f>
        <v>54112023062711025573272</v>
      </c>
      <c r="C280" s="9" t="s">
        <v>7</v>
      </c>
      <c r="D280" s="9" t="str">
        <f>"符亚菊"</f>
        <v>符亚菊</v>
      </c>
    </row>
    <row r="281" spans="1:4" ht="34.5" customHeight="1">
      <c r="A281" s="8">
        <v>279</v>
      </c>
      <c r="B281" s="9" t="str">
        <f>"54112023062711132973320"</f>
        <v>54112023062711132973320</v>
      </c>
      <c r="C281" s="9" t="s">
        <v>7</v>
      </c>
      <c r="D281" s="9" t="str">
        <f>"王晶晶"</f>
        <v>王晶晶</v>
      </c>
    </row>
    <row r="282" spans="1:4" ht="34.5" customHeight="1">
      <c r="A282" s="8">
        <v>280</v>
      </c>
      <c r="B282" s="9" t="str">
        <f>"54112023062710540073224"</f>
        <v>54112023062710540073224</v>
      </c>
      <c r="C282" s="9" t="s">
        <v>7</v>
      </c>
      <c r="D282" s="9" t="str">
        <f>"刘晓英"</f>
        <v>刘晓英</v>
      </c>
    </row>
    <row r="283" spans="1:4" ht="34.5" customHeight="1">
      <c r="A283" s="8">
        <v>281</v>
      </c>
      <c r="B283" s="9" t="str">
        <f>"54112023062712235073609"</f>
        <v>54112023062712235073609</v>
      </c>
      <c r="C283" s="9" t="s">
        <v>7</v>
      </c>
      <c r="D283" s="9" t="str">
        <f>"纪小健"</f>
        <v>纪小健</v>
      </c>
    </row>
    <row r="284" spans="1:4" ht="34.5" customHeight="1">
      <c r="A284" s="8">
        <v>282</v>
      </c>
      <c r="B284" s="9" t="str">
        <f>"54112023062712555073711"</f>
        <v>54112023062712555073711</v>
      </c>
      <c r="C284" s="9" t="s">
        <v>7</v>
      </c>
      <c r="D284" s="9" t="str">
        <f>"陈婆转"</f>
        <v>陈婆转</v>
      </c>
    </row>
    <row r="285" spans="1:4" ht="34.5" customHeight="1">
      <c r="A285" s="8">
        <v>283</v>
      </c>
      <c r="B285" s="9" t="str">
        <f>"54112023062510424360756"</f>
        <v>54112023062510424360756</v>
      </c>
      <c r="C285" s="9" t="s">
        <v>7</v>
      </c>
      <c r="D285" s="9" t="str">
        <f>"苏文玲"</f>
        <v>苏文玲</v>
      </c>
    </row>
    <row r="286" spans="1:4" ht="34.5" customHeight="1">
      <c r="A286" s="8">
        <v>284</v>
      </c>
      <c r="B286" s="9" t="str">
        <f>"54112023062714463174031"</f>
        <v>54112023062714463174031</v>
      </c>
      <c r="C286" s="9" t="s">
        <v>7</v>
      </c>
      <c r="D286" s="9" t="str">
        <f>"周振誉"</f>
        <v>周振誉</v>
      </c>
    </row>
    <row r="287" spans="1:4" ht="34.5" customHeight="1">
      <c r="A287" s="8">
        <v>285</v>
      </c>
      <c r="B287" s="9" t="str">
        <f>"54112023062523281164987"</f>
        <v>54112023062523281164987</v>
      </c>
      <c r="C287" s="9" t="s">
        <v>7</v>
      </c>
      <c r="D287" s="9" t="str">
        <f>"黄祥姑"</f>
        <v>黄祥姑</v>
      </c>
    </row>
    <row r="288" spans="1:4" ht="34.5" customHeight="1">
      <c r="A288" s="8">
        <v>286</v>
      </c>
      <c r="B288" s="9" t="str">
        <f>"54112023062716140774423"</f>
        <v>54112023062716140774423</v>
      </c>
      <c r="C288" s="9" t="s">
        <v>7</v>
      </c>
      <c r="D288" s="9" t="str">
        <f>"李竹"</f>
        <v>李竹</v>
      </c>
    </row>
    <row r="289" spans="1:4" ht="34.5" customHeight="1">
      <c r="A289" s="8">
        <v>287</v>
      </c>
      <c r="B289" s="9" t="str">
        <f>"54112023062712513873695"</f>
        <v>54112023062712513873695</v>
      </c>
      <c r="C289" s="9" t="s">
        <v>7</v>
      </c>
      <c r="D289" s="9" t="str">
        <f>"吴文君"</f>
        <v>吴文君</v>
      </c>
    </row>
    <row r="290" spans="1:4" ht="34.5" customHeight="1">
      <c r="A290" s="8">
        <v>288</v>
      </c>
      <c r="B290" s="9" t="str">
        <f>"54112023062719235175502"</f>
        <v>54112023062719235175502</v>
      </c>
      <c r="C290" s="9" t="s">
        <v>7</v>
      </c>
      <c r="D290" s="9" t="str">
        <f>"黄冰"</f>
        <v>黄冰</v>
      </c>
    </row>
    <row r="291" spans="1:4" ht="34.5" customHeight="1">
      <c r="A291" s="8">
        <v>289</v>
      </c>
      <c r="B291" s="9" t="str">
        <f>"54112023062720321775722"</f>
        <v>54112023062720321775722</v>
      </c>
      <c r="C291" s="9" t="s">
        <v>7</v>
      </c>
      <c r="D291" s="9" t="str">
        <f>"黎美青"</f>
        <v>黎美青</v>
      </c>
    </row>
    <row r="292" spans="1:4" ht="34.5" customHeight="1">
      <c r="A292" s="8">
        <v>290</v>
      </c>
      <c r="B292" s="9" t="str">
        <f>"54112023062720360975730"</f>
        <v>54112023062720360975730</v>
      </c>
      <c r="C292" s="9" t="s">
        <v>7</v>
      </c>
      <c r="D292" s="9" t="str">
        <f>"高秀凤"</f>
        <v>高秀凤</v>
      </c>
    </row>
    <row r="293" spans="1:4" ht="34.5" customHeight="1">
      <c r="A293" s="8">
        <v>291</v>
      </c>
      <c r="B293" s="9" t="str">
        <f>"54112023062521202564495"</f>
        <v>54112023062521202564495</v>
      </c>
      <c r="C293" s="9" t="s">
        <v>7</v>
      </c>
      <c r="D293" s="9" t="str">
        <f>"罗丹"</f>
        <v>罗丹</v>
      </c>
    </row>
    <row r="294" spans="1:4" ht="34.5" customHeight="1">
      <c r="A294" s="8">
        <v>292</v>
      </c>
      <c r="B294" s="9" t="str">
        <f>"54112023062721351175989"</f>
        <v>54112023062721351175989</v>
      </c>
      <c r="C294" s="9" t="s">
        <v>7</v>
      </c>
      <c r="D294" s="9" t="str">
        <f>"王道东"</f>
        <v>王道东</v>
      </c>
    </row>
    <row r="295" spans="1:4" ht="34.5" customHeight="1">
      <c r="A295" s="8">
        <v>293</v>
      </c>
      <c r="B295" s="9" t="str">
        <f>"54112023062721505976052"</f>
        <v>54112023062721505976052</v>
      </c>
      <c r="C295" s="9" t="s">
        <v>7</v>
      </c>
      <c r="D295" s="9" t="str">
        <f>"王康丽"</f>
        <v>王康丽</v>
      </c>
    </row>
    <row r="296" spans="1:4" ht="34.5" customHeight="1">
      <c r="A296" s="8">
        <v>294</v>
      </c>
      <c r="B296" s="9" t="str">
        <f>"54112023062723420676325"</f>
        <v>54112023062723420676325</v>
      </c>
      <c r="C296" s="9" t="s">
        <v>7</v>
      </c>
      <c r="D296" s="9" t="str">
        <f>"郭义妹"</f>
        <v>郭义妹</v>
      </c>
    </row>
    <row r="297" spans="1:4" ht="34.5" customHeight="1">
      <c r="A297" s="8">
        <v>295</v>
      </c>
      <c r="B297" s="9" t="str">
        <f>"54112023062807190676464"</f>
        <v>54112023062807190676464</v>
      </c>
      <c r="C297" s="9" t="s">
        <v>7</v>
      </c>
      <c r="D297" s="9" t="str">
        <f>"李晶"</f>
        <v>李晶</v>
      </c>
    </row>
    <row r="298" spans="1:4" ht="34.5" customHeight="1">
      <c r="A298" s="8">
        <v>296</v>
      </c>
      <c r="B298" s="9" t="str">
        <f>"54112023062522490864866"</f>
        <v>54112023062522490864866</v>
      </c>
      <c r="C298" s="9" t="s">
        <v>7</v>
      </c>
      <c r="D298" s="9" t="str">
        <f>"陈婉芬"</f>
        <v>陈婉芬</v>
      </c>
    </row>
    <row r="299" spans="1:4" ht="34.5" customHeight="1">
      <c r="A299" s="8">
        <v>297</v>
      </c>
      <c r="B299" s="9" t="str">
        <f>"54112023062809502176946"</f>
        <v>54112023062809502176946</v>
      </c>
      <c r="C299" s="9" t="s">
        <v>7</v>
      </c>
      <c r="D299" s="9" t="str">
        <f>"苏海媚"</f>
        <v>苏海媚</v>
      </c>
    </row>
    <row r="300" spans="1:4" ht="34.5" customHeight="1">
      <c r="A300" s="8">
        <v>298</v>
      </c>
      <c r="B300" s="9" t="str">
        <f>"54112023062810231877148"</f>
        <v>54112023062810231877148</v>
      </c>
      <c r="C300" s="9" t="s">
        <v>7</v>
      </c>
      <c r="D300" s="9" t="str">
        <f>"王浪洁"</f>
        <v>王浪洁</v>
      </c>
    </row>
    <row r="301" spans="1:4" ht="34.5" customHeight="1">
      <c r="A301" s="8">
        <v>299</v>
      </c>
      <c r="B301" s="9" t="str">
        <f>"54112023062618281970376"</f>
        <v>54112023062618281970376</v>
      </c>
      <c r="C301" s="9" t="s">
        <v>7</v>
      </c>
      <c r="D301" s="9" t="str">
        <f>"陈民丽"</f>
        <v>陈民丽</v>
      </c>
    </row>
    <row r="302" spans="1:4" ht="34.5" customHeight="1">
      <c r="A302" s="8">
        <v>300</v>
      </c>
      <c r="B302" s="9" t="str">
        <f>"54112023062810500277308"</f>
        <v>54112023062810500277308</v>
      </c>
      <c r="C302" s="9" t="s">
        <v>7</v>
      </c>
      <c r="D302" s="9" t="str">
        <f>"胡紫静"</f>
        <v>胡紫静</v>
      </c>
    </row>
    <row r="303" spans="1:4" ht="34.5" customHeight="1">
      <c r="A303" s="8">
        <v>301</v>
      </c>
      <c r="B303" s="9" t="str">
        <f>"54112023062809165376788"</f>
        <v>54112023062809165376788</v>
      </c>
      <c r="C303" s="9" t="s">
        <v>7</v>
      </c>
      <c r="D303" s="9" t="str">
        <f>"卢宛芳"</f>
        <v>卢宛芳</v>
      </c>
    </row>
    <row r="304" spans="1:4" ht="34.5" customHeight="1">
      <c r="A304" s="8">
        <v>302</v>
      </c>
      <c r="B304" s="9" t="str">
        <f>"54112023062815185878410"</f>
        <v>54112023062815185878410</v>
      </c>
      <c r="C304" s="9" t="s">
        <v>7</v>
      </c>
      <c r="D304" s="9" t="str">
        <f>"吴雪"</f>
        <v>吴雪</v>
      </c>
    </row>
    <row r="305" spans="1:4" ht="34.5" customHeight="1">
      <c r="A305" s="8">
        <v>303</v>
      </c>
      <c r="B305" s="9" t="str">
        <f>"54112023062811045577390"</f>
        <v>54112023062811045577390</v>
      </c>
      <c r="C305" s="9" t="s">
        <v>7</v>
      </c>
      <c r="D305" s="9" t="str">
        <f>"陈清柳"</f>
        <v>陈清柳</v>
      </c>
    </row>
    <row r="306" spans="1:4" ht="34.5" customHeight="1">
      <c r="A306" s="8">
        <v>304</v>
      </c>
      <c r="B306" s="9" t="str">
        <f>"54112023062816321778784"</f>
        <v>54112023062816321778784</v>
      </c>
      <c r="C306" s="9" t="s">
        <v>7</v>
      </c>
      <c r="D306" s="9" t="str">
        <f>"林静"</f>
        <v>林静</v>
      </c>
    </row>
    <row r="307" spans="1:4" ht="34.5" customHeight="1">
      <c r="A307" s="8">
        <v>305</v>
      </c>
      <c r="B307" s="9" t="str">
        <f>"54112023062815313778470"</f>
        <v>54112023062815313778470</v>
      </c>
      <c r="C307" s="9" t="s">
        <v>7</v>
      </c>
      <c r="D307" s="9" t="str">
        <f>"胡丹"</f>
        <v>胡丹</v>
      </c>
    </row>
    <row r="308" spans="1:4" ht="34.5" customHeight="1">
      <c r="A308" s="8">
        <v>306</v>
      </c>
      <c r="B308" s="9" t="str">
        <f>"54112023062817012578909"</f>
        <v>54112023062817012578909</v>
      </c>
      <c r="C308" s="9" t="s">
        <v>7</v>
      </c>
      <c r="D308" s="9" t="str">
        <f>"陈尼"</f>
        <v>陈尼</v>
      </c>
    </row>
    <row r="309" spans="1:4" ht="34.5" customHeight="1">
      <c r="A309" s="8">
        <v>307</v>
      </c>
      <c r="B309" s="9" t="str">
        <f>"54112023062817000378900"</f>
        <v>54112023062817000378900</v>
      </c>
      <c r="C309" s="9" t="s">
        <v>7</v>
      </c>
      <c r="D309" s="9" t="str">
        <f>"李王芳"</f>
        <v>李王芳</v>
      </c>
    </row>
    <row r="310" spans="1:4" ht="34.5" customHeight="1">
      <c r="A310" s="8">
        <v>308</v>
      </c>
      <c r="B310" s="9" t="str">
        <f>"54112023062817134778947"</f>
        <v>54112023062817134778947</v>
      </c>
      <c r="C310" s="9" t="s">
        <v>7</v>
      </c>
      <c r="D310" s="9" t="str">
        <f>"黄秋梅"</f>
        <v>黄秋梅</v>
      </c>
    </row>
    <row r="311" spans="1:4" ht="34.5" customHeight="1">
      <c r="A311" s="8">
        <v>309</v>
      </c>
      <c r="B311" s="9" t="str">
        <f>"54112023062708302472056"</f>
        <v>54112023062708302472056</v>
      </c>
      <c r="C311" s="9" t="s">
        <v>7</v>
      </c>
      <c r="D311" s="9" t="str">
        <f>"李兴健"</f>
        <v>李兴健</v>
      </c>
    </row>
    <row r="312" spans="1:4" ht="34.5" customHeight="1">
      <c r="A312" s="8">
        <v>310</v>
      </c>
      <c r="B312" s="9" t="str">
        <f>"54112023062520394064280"</f>
        <v>54112023062520394064280</v>
      </c>
      <c r="C312" s="9" t="s">
        <v>7</v>
      </c>
      <c r="D312" s="9" t="str">
        <f>"郭紫盈"</f>
        <v>郭紫盈</v>
      </c>
    </row>
    <row r="313" spans="1:4" ht="34.5" customHeight="1">
      <c r="A313" s="8">
        <v>311</v>
      </c>
      <c r="B313" s="9" t="str">
        <f>"54112023062821155779762"</f>
        <v>54112023062821155779762</v>
      </c>
      <c r="C313" s="9" t="s">
        <v>7</v>
      </c>
      <c r="D313" s="9" t="str">
        <f>"黎秋宏"</f>
        <v>黎秋宏</v>
      </c>
    </row>
    <row r="314" spans="1:4" ht="34.5" customHeight="1">
      <c r="A314" s="8">
        <v>312</v>
      </c>
      <c r="B314" s="9" t="str">
        <f>"54112023062711484673466"</f>
        <v>54112023062711484673466</v>
      </c>
      <c r="C314" s="9" t="s">
        <v>7</v>
      </c>
      <c r="D314" s="9" t="str">
        <f>"李冰"</f>
        <v>李冰</v>
      </c>
    </row>
    <row r="315" spans="1:4" ht="34.5" customHeight="1">
      <c r="A315" s="8">
        <v>313</v>
      </c>
      <c r="B315" s="9" t="str">
        <f>"54112023062823562480325"</f>
        <v>54112023062823562480325</v>
      </c>
      <c r="C315" s="9" t="s">
        <v>7</v>
      </c>
      <c r="D315" s="9" t="str">
        <f>"黄永芳"</f>
        <v>黄永芳</v>
      </c>
    </row>
    <row r="316" spans="1:4" ht="34.5" customHeight="1">
      <c r="A316" s="8">
        <v>314</v>
      </c>
      <c r="B316" s="9" t="str">
        <f>"54112023062622273771512"</f>
        <v>54112023062622273771512</v>
      </c>
      <c r="C316" s="9" t="s">
        <v>7</v>
      </c>
      <c r="D316" s="9" t="str">
        <f>"云琼雨"</f>
        <v>云琼雨</v>
      </c>
    </row>
    <row r="317" spans="1:4" ht="34.5" customHeight="1">
      <c r="A317" s="8">
        <v>315</v>
      </c>
      <c r="B317" s="9" t="str">
        <f>"54112023062909494181223"</f>
        <v>54112023062909494181223</v>
      </c>
      <c r="C317" s="9" t="s">
        <v>7</v>
      </c>
      <c r="D317" s="9" t="str">
        <f>"李文丽"</f>
        <v>李文丽</v>
      </c>
    </row>
    <row r="318" spans="1:4" ht="34.5" customHeight="1">
      <c r="A318" s="8">
        <v>316</v>
      </c>
      <c r="B318" s="9" t="str">
        <f>"54112023062909440181158"</f>
        <v>54112023062909440181158</v>
      </c>
      <c r="C318" s="9" t="s">
        <v>7</v>
      </c>
      <c r="D318" s="9" t="str">
        <f>"符芸芸"</f>
        <v>符芸芸</v>
      </c>
    </row>
    <row r="319" spans="1:4" ht="34.5" customHeight="1">
      <c r="A319" s="8">
        <v>317</v>
      </c>
      <c r="B319" s="9" t="str">
        <f>"54112023062910244181573"</f>
        <v>54112023062910244181573</v>
      </c>
      <c r="C319" s="9" t="s">
        <v>7</v>
      </c>
      <c r="D319" s="9" t="str">
        <f>"郑春花"</f>
        <v>郑春花</v>
      </c>
    </row>
    <row r="320" spans="1:4" ht="34.5" customHeight="1">
      <c r="A320" s="8">
        <v>318</v>
      </c>
      <c r="B320" s="9" t="str">
        <f>"54112023062911363082172"</f>
        <v>54112023062911363082172</v>
      </c>
      <c r="C320" s="9" t="s">
        <v>7</v>
      </c>
      <c r="D320" s="9" t="str">
        <f>"陈雨欣"</f>
        <v>陈雨欣</v>
      </c>
    </row>
    <row r="321" spans="1:4" ht="34.5" customHeight="1">
      <c r="A321" s="8">
        <v>319</v>
      </c>
      <c r="B321" s="9" t="str">
        <f>"54112023062912012782339"</f>
        <v>54112023062912012782339</v>
      </c>
      <c r="C321" s="9" t="s">
        <v>7</v>
      </c>
      <c r="D321" s="9" t="str">
        <f>"林羚"</f>
        <v>林羚</v>
      </c>
    </row>
    <row r="322" spans="1:4" ht="34.5" customHeight="1">
      <c r="A322" s="8">
        <v>320</v>
      </c>
      <c r="B322" s="9" t="str">
        <f>"54112023062717204875109"</f>
        <v>54112023062717204875109</v>
      </c>
      <c r="C322" s="9" t="s">
        <v>7</v>
      </c>
      <c r="D322" s="9" t="str">
        <f>"王佳佳"</f>
        <v>王佳佳</v>
      </c>
    </row>
    <row r="323" spans="1:4" ht="34.5" customHeight="1">
      <c r="A323" s="8">
        <v>321</v>
      </c>
      <c r="B323" s="9" t="str">
        <f>"54112023062618121370298"</f>
        <v>54112023062618121370298</v>
      </c>
      <c r="C323" s="9" t="s">
        <v>7</v>
      </c>
      <c r="D323" s="9" t="str">
        <f>"翁书玲"</f>
        <v>翁书玲</v>
      </c>
    </row>
    <row r="324" spans="1:4" ht="34.5" customHeight="1">
      <c r="A324" s="8">
        <v>322</v>
      </c>
      <c r="B324" s="9" t="str">
        <f>"54112023062910163981498"</f>
        <v>54112023062910163981498</v>
      </c>
      <c r="C324" s="9" t="s">
        <v>7</v>
      </c>
      <c r="D324" s="9" t="str">
        <f>"李珊珊"</f>
        <v>李珊珊</v>
      </c>
    </row>
    <row r="325" spans="1:4" ht="34.5" customHeight="1">
      <c r="A325" s="8">
        <v>323</v>
      </c>
      <c r="B325" s="9" t="str">
        <f>"54112023062914444483171"</f>
        <v>54112023062914444483171</v>
      </c>
      <c r="C325" s="9" t="s">
        <v>7</v>
      </c>
      <c r="D325" s="9" t="str">
        <f>"洪丽美"</f>
        <v>洪丽美</v>
      </c>
    </row>
    <row r="326" spans="1:4" ht="34.5" customHeight="1">
      <c r="A326" s="8">
        <v>324</v>
      </c>
      <c r="B326" s="9" t="str">
        <f>"54112023062616501369865"</f>
        <v>54112023062616501369865</v>
      </c>
      <c r="C326" s="9" t="s">
        <v>7</v>
      </c>
      <c r="D326" s="9" t="str">
        <f>"陈冰冰"</f>
        <v>陈冰冰</v>
      </c>
    </row>
    <row r="327" spans="1:4" ht="34.5" customHeight="1">
      <c r="A327" s="8">
        <v>325</v>
      </c>
      <c r="B327" s="9" t="str">
        <f>"54112023062710142472681"</f>
        <v>54112023062710142472681</v>
      </c>
      <c r="C327" s="9" t="s">
        <v>7</v>
      </c>
      <c r="D327" s="9" t="str">
        <f>"古庭玮"</f>
        <v>古庭玮</v>
      </c>
    </row>
    <row r="328" spans="1:4" ht="34.5" customHeight="1">
      <c r="A328" s="8">
        <v>326</v>
      </c>
      <c r="B328" s="9" t="str">
        <f>"54112023062821223979790"</f>
        <v>54112023062821223979790</v>
      </c>
      <c r="C328" s="9" t="s">
        <v>7</v>
      </c>
      <c r="D328" s="9" t="str">
        <f>"周和芳"</f>
        <v>周和芳</v>
      </c>
    </row>
    <row r="329" spans="1:4" ht="34.5" customHeight="1">
      <c r="A329" s="8">
        <v>327</v>
      </c>
      <c r="B329" s="9" t="str">
        <f>"54112023062616585469916"</f>
        <v>54112023062616585469916</v>
      </c>
      <c r="C329" s="9" t="s">
        <v>7</v>
      </c>
      <c r="D329" s="9" t="str">
        <f>"文凤婉"</f>
        <v>文凤婉</v>
      </c>
    </row>
    <row r="330" spans="1:4" ht="34.5" customHeight="1">
      <c r="A330" s="8">
        <v>328</v>
      </c>
      <c r="B330" s="9" t="str">
        <f>"54112023062916343183945"</f>
        <v>54112023062916343183945</v>
      </c>
      <c r="C330" s="9" t="s">
        <v>7</v>
      </c>
      <c r="D330" s="9" t="str">
        <f>"黄伟"</f>
        <v>黄伟</v>
      </c>
    </row>
    <row r="331" spans="1:4" ht="34.5" customHeight="1">
      <c r="A331" s="8">
        <v>329</v>
      </c>
      <c r="B331" s="9" t="str">
        <f>"54112023062916473984033"</f>
        <v>54112023062916473984033</v>
      </c>
      <c r="C331" s="9" t="s">
        <v>7</v>
      </c>
      <c r="D331" s="9" t="str">
        <f>"廖正莉"</f>
        <v>廖正莉</v>
      </c>
    </row>
    <row r="332" spans="1:4" ht="34.5" customHeight="1">
      <c r="A332" s="8">
        <v>330</v>
      </c>
      <c r="B332" s="9" t="str">
        <f>"54112023062817105178937"</f>
        <v>54112023062817105178937</v>
      </c>
      <c r="C332" s="9" t="s">
        <v>7</v>
      </c>
      <c r="D332" s="9" t="str">
        <f>"林小晨"</f>
        <v>林小晨</v>
      </c>
    </row>
    <row r="333" spans="1:4" ht="34.5" customHeight="1">
      <c r="A333" s="8">
        <v>331</v>
      </c>
      <c r="B333" s="9" t="str">
        <f>"54112023062918532984695"</f>
        <v>54112023062918532984695</v>
      </c>
      <c r="C333" s="9" t="s">
        <v>7</v>
      </c>
      <c r="D333" s="9" t="str">
        <f>"叶琳"</f>
        <v>叶琳</v>
      </c>
    </row>
    <row r="334" spans="1:4" ht="34.5" customHeight="1">
      <c r="A334" s="8">
        <v>332</v>
      </c>
      <c r="B334" s="9" t="str">
        <f>"54112023062823121180233"</f>
        <v>54112023062823121180233</v>
      </c>
      <c r="C334" s="9" t="s">
        <v>7</v>
      </c>
      <c r="D334" s="9" t="str">
        <f>"陈德嫒"</f>
        <v>陈德嫒</v>
      </c>
    </row>
    <row r="335" spans="1:4" ht="34.5" customHeight="1">
      <c r="A335" s="8">
        <v>333</v>
      </c>
      <c r="B335" s="9" t="str">
        <f>"54112023062918353684603"</f>
        <v>54112023062918353684603</v>
      </c>
      <c r="C335" s="9" t="s">
        <v>7</v>
      </c>
      <c r="D335" s="9" t="str">
        <f>"桂俊盈"</f>
        <v>桂俊盈</v>
      </c>
    </row>
    <row r="336" spans="1:4" ht="34.5" customHeight="1">
      <c r="A336" s="8">
        <v>334</v>
      </c>
      <c r="B336" s="9" t="str">
        <f>"54112023062922151085896"</f>
        <v>54112023062922151085896</v>
      </c>
      <c r="C336" s="9" t="s">
        <v>7</v>
      </c>
      <c r="D336" s="9" t="str">
        <f>"陈颖"</f>
        <v>陈颖</v>
      </c>
    </row>
    <row r="337" spans="1:4" ht="34.5" customHeight="1">
      <c r="A337" s="8">
        <v>335</v>
      </c>
      <c r="B337" s="9" t="str">
        <f>"54112023062922351586017"</f>
        <v>54112023062922351586017</v>
      </c>
      <c r="C337" s="9" t="s">
        <v>7</v>
      </c>
      <c r="D337" s="9" t="str">
        <f>"李小健"</f>
        <v>李小健</v>
      </c>
    </row>
    <row r="338" spans="1:4" ht="34.5" customHeight="1">
      <c r="A338" s="8">
        <v>336</v>
      </c>
      <c r="B338" s="9" t="str">
        <f>"54112023062923031586160"</f>
        <v>54112023062923031586160</v>
      </c>
      <c r="C338" s="9" t="s">
        <v>7</v>
      </c>
      <c r="D338" s="9" t="str">
        <f>"冯宣华"</f>
        <v>冯宣华</v>
      </c>
    </row>
    <row r="339" spans="1:4" ht="34.5" customHeight="1">
      <c r="A339" s="8">
        <v>337</v>
      </c>
      <c r="B339" s="9" t="str">
        <f>"54112023062922541786118"</f>
        <v>54112023062922541786118</v>
      </c>
      <c r="C339" s="9" t="s">
        <v>7</v>
      </c>
      <c r="D339" s="9" t="str">
        <f>"洪月珍"</f>
        <v>洪月珍</v>
      </c>
    </row>
    <row r="340" spans="1:4" ht="34.5" customHeight="1">
      <c r="A340" s="8">
        <v>338</v>
      </c>
      <c r="B340" s="9" t="str">
        <f>"54112023062923380086307"</f>
        <v>54112023062923380086307</v>
      </c>
      <c r="C340" s="9" t="s">
        <v>7</v>
      </c>
      <c r="D340" s="9" t="str">
        <f>"林彩芬"</f>
        <v>林彩芬</v>
      </c>
    </row>
    <row r="341" spans="1:4" ht="34.5" customHeight="1">
      <c r="A341" s="8">
        <v>339</v>
      </c>
      <c r="B341" s="9" t="str">
        <f>"54112023062610420267225"</f>
        <v>54112023062610420267225</v>
      </c>
      <c r="C341" s="9" t="s">
        <v>7</v>
      </c>
      <c r="D341" s="9" t="str">
        <f>"关冉歆"</f>
        <v>关冉歆</v>
      </c>
    </row>
    <row r="342" spans="1:4" ht="34.5" customHeight="1">
      <c r="A342" s="8">
        <v>340</v>
      </c>
      <c r="B342" s="9" t="str">
        <f>"54112023063010425787691"</f>
        <v>54112023063010425787691</v>
      </c>
      <c r="C342" s="9" t="s">
        <v>7</v>
      </c>
      <c r="D342" s="9" t="str">
        <f>"吴思颖"</f>
        <v>吴思颖</v>
      </c>
    </row>
    <row r="343" spans="1:4" ht="34.5" customHeight="1">
      <c r="A343" s="8">
        <v>341</v>
      </c>
      <c r="B343" s="9" t="str">
        <f>"54112023063013442088764"</f>
        <v>54112023063013442088764</v>
      </c>
      <c r="C343" s="9" t="s">
        <v>7</v>
      </c>
      <c r="D343" s="9" t="str">
        <f>"杨小香"</f>
        <v>杨小香</v>
      </c>
    </row>
    <row r="344" spans="1:4" ht="34.5" customHeight="1">
      <c r="A344" s="8">
        <v>342</v>
      </c>
      <c r="B344" s="9" t="str">
        <f>"54112023063014275889022"</f>
        <v>54112023063014275889022</v>
      </c>
      <c r="C344" s="9" t="s">
        <v>7</v>
      </c>
      <c r="D344" s="9" t="str">
        <f>"吴泳丽"</f>
        <v>吴泳丽</v>
      </c>
    </row>
    <row r="345" spans="1:4" ht="34.5" customHeight="1">
      <c r="A345" s="8">
        <v>343</v>
      </c>
      <c r="B345" s="9" t="str">
        <f>"54112023062817293479012"</f>
        <v>54112023062817293479012</v>
      </c>
      <c r="C345" s="9" t="s">
        <v>7</v>
      </c>
      <c r="D345" s="9" t="str">
        <f>"庄丽莹"</f>
        <v>庄丽莹</v>
      </c>
    </row>
    <row r="346" spans="1:4" ht="34.5" customHeight="1">
      <c r="A346" s="8">
        <v>344</v>
      </c>
      <c r="B346" s="9" t="str">
        <f>"54112023063015361689585"</f>
        <v>54112023063015361689585</v>
      </c>
      <c r="C346" s="9" t="s">
        <v>7</v>
      </c>
      <c r="D346" s="9" t="str">
        <f>"羊秀恋"</f>
        <v>羊秀恋</v>
      </c>
    </row>
    <row r="347" spans="1:4" ht="34.5" customHeight="1">
      <c r="A347" s="8">
        <v>345</v>
      </c>
      <c r="B347" s="9" t="str">
        <f>"54112023063016263589863"</f>
        <v>54112023063016263589863</v>
      </c>
      <c r="C347" s="9" t="s">
        <v>7</v>
      </c>
      <c r="D347" s="9" t="str">
        <f>"张艺"</f>
        <v>张艺</v>
      </c>
    </row>
    <row r="348" spans="1:4" ht="34.5" customHeight="1">
      <c r="A348" s="8">
        <v>346</v>
      </c>
      <c r="B348" s="9" t="str">
        <f>"54112023063019313390272"</f>
        <v>54112023063019313390272</v>
      </c>
      <c r="C348" s="9" t="s">
        <v>7</v>
      </c>
      <c r="D348" s="9" t="str">
        <f>"刘玉珍"</f>
        <v>刘玉珍</v>
      </c>
    </row>
    <row r="349" spans="1:4" ht="34.5" customHeight="1">
      <c r="A349" s="8">
        <v>347</v>
      </c>
      <c r="B349" s="9" t="str">
        <f>"54112023063011475988091"</f>
        <v>54112023063011475988091</v>
      </c>
      <c r="C349" s="9" t="s">
        <v>7</v>
      </c>
      <c r="D349" s="9" t="str">
        <f>"郑惠春"</f>
        <v>郑惠春</v>
      </c>
    </row>
    <row r="350" spans="1:4" ht="34.5" customHeight="1">
      <c r="A350" s="8">
        <v>348</v>
      </c>
      <c r="B350" s="9" t="str">
        <f>"54112023063021272190487"</f>
        <v>54112023063021272190487</v>
      </c>
      <c r="C350" s="9" t="s">
        <v>7</v>
      </c>
      <c r="D350" s="9" t="str">
        <f>"王婷婷"</f>
        <v>王婷婷</v>
      </c>
    </row>
    <row r="351" spans="1:4" ht="34.5" customHeight="1">
      <c r="A351" s="8">
        <v>349</v>
      </c>
      <c r="B351" s="9" t="str">
        <f>"54112023063022141590574"</f>
        <v>54112023063022141590574</v>
      </c>
      <c r="C351" s="9" t="s">
        <v>7</v>
      </c>
      <c r="D351" s="9" t="str">
        <f>"邓秋霞"</f>
        <v>邓秋霞</v>
      </c>
    </row>
    <row r="352" spans="1:4" ht="34.5" customHeight="1">
      <c r="A352" s="8">
        <v>350</v>
      </c>
      <c r="B352" s="9" t="str">
        <f>"54112023062722402876194"</f>
        <v>54112023062722402876194</v>
      </c>
      <c r="C352" s="9" t="s">
        <v>7</v>
      </c>
      <c r="D352" s="9" t="str">
        <f>"伍海容"</f>
        <v>伍海容</v>
      </c>
    </row>
    <row r="353" spans="1:4" ht="34.5" customHeight="1">
      <c r="A353" s="8">
        <v>351</v>
      </c>
      <c r="B353" s="9" t="str">
        <f>"54112023063023455890720"</f>
        <v>54112023063023455890720</v>
      </c>
      <c r="C353" s="9" t="s">
        <v>7</v>
      </c>
      <c r="D353" s="9" t="str">
        <f>"李柏林"</f>
        <v>李柏林</v>
      </c>
    </row>
    <row r="354" spans="1:4" ht="34.5" customHeight="1">
      <c r="A354" s="8">
        <v>352</v>
      </c>
      <c r="B354" s="9" t="str">
        <f>"54112023070100340690775"</f>
        <v>54112023070100340690775</v>
      </c>
      <c r="C354" s="9" t="s">
        <v>7</v>
      </c>
      <c r="D354" s="9" t="str">
        <f>"陈星晶"</f>
        <v>陈星晶</v>
      </c>
    </row>
    <row r="355" spans="1:4" ht="34.5" customHeight="1">
      <c r="A355" s="8">
        <v>353</v>
      </c>
      <c r="B355" s="9" t="str">
        <f>"54112023062611140567643"</f>
        <v>54112023062611140567643</v>
      </c>
      <c r="C355" s="9" t="s">
        <v>7</v>
      </c>
      <c r="D355" s="9" t="str">
        <f>"陈楚楚"</f>
        <v>陈楚楚</v>
      </c>
    </row>
    <row r="356" spans="1:4" ht="34.5" customHeight="1">
      <c r="A356" s="8">
        <v>354</v>
      </c>
      <c r="B356" s="9" t="str">
        <f>"54112023070111465191293"</f>
        <v>54112023070111465191293</v>
      </c>
      <c r="C356" s="9" t="s">
        <v>7</v>
      </c>
      <c r="D356" s="9" t="str">
        <f>"郑源"</f>
        <v>郑源</v>
      </c>
    </row>
    <row r="357" spans="1:4" ht="34.5" customHeight="1">
      <c r="A357" s="8">
        <v>355</v>
      </c>
      <c r="B357" s="9" t="str">
        <f>"54112023070113312291509"</f>
        <v>54112023070113312291509</v>
      </c>
      <c r="C357" s="9" t="s">
        <v>7</v>
      </c>
      <c r="D357" s="9" t="str">
        <f>"梁茹祯"</f>
        <v>梁茹祯</v>
      </c>
    </row>
    <row r="358" spans="1:4" ht="34.5" customHeight="1">
      <c r="A358" s="8">
        <v>356</v>
      </c>
      <c r="B358" s="9" t="str">
        <f>"54112023070114065491566"</f>
        <v>54112023070114065491566</v>
      </c>
      <c r="C358" s="9" t="s">
        <v>7</v>
      </c>
      <c r="D358" s="9" t="str">
        <f>"杨璐"</f>
        <v>杨璐</v>
      </c>
    </row>
    <row r="359" spans="1:4" ht="34.5" customHeight="1">
      <c r="A359" s="8">
        <v>357</v>
      </c>
      <c r="B359" s="9" t="str">
        <f>"54112023070120012292229"</f>
        <v>54112023070120012292229</v>
      </c>
      <c r="C359" s="9" t="s">
        <v>7</v>
      </c>
      <c r="D359" s="9" t="str">
        <f>"王惠琳"</f>
        <v>王惠琳</v>
      </c>
    </row>
    <row r="360" spans="1:4" ht="34.5" customHeight="1">
      <c r="A360" s="8">
        <v>358</v>
      </c>
      <c r="B360" s="9" t="str">
        <f>"54112023070112203291352"</f>
        <v>54112023070112203291352</v>
      </c>
      <c r="C360" s="9" t="s">
        <v>7</v>
      </c>
      <c r="D360" s="9" t="str">
        <f>"刘少磊"</f>
        <v>刘少磊</v>
      </c>
    </row>
    <row r="361" spans="1:4" ht="34.5" customHeight="1">
      <c r="A361" s="8">
        <v>359</v>
      </c>
      <c r="B361" s="9" t="str">
        <f>"54112023070209521793065"</f>
        <v>54112023070209521793065</v>
      </c>
      <c r="C361" s="9" t="s">
        <v>7</v>
      </c>
      <c r="D361" s="9" t="str">
        <f>"陈莹莹"</f>
        <v>陈莹莹</v>
      </c>
    </row>
    <row r="362" spans="1:4" ht="34.5" customHeight="1">
      <c r="A362" s="8">
        <v>360</v>
      </c>
      <c r="B362" s="9" t="str">
        <f>"54112023070210114193122"</f>
        <v>54112023070210114193122</v>
      </c>
      <c r="C362" s="9" t="s">
        <v>7</v>
      </c>
      <c r="D362" s="9" t="str">
        <f>"邝小艳"</f>
        <v>邝小艳</v>
      </c>
    </row>
    <row r="363" spans="1:4" ht="34.5" customHeight="1">
      <c r="A363" s="8">
        <v>361</v>
      </c>
      <c r="B363" s="9" t="str">
        <f>"54112023070210500793243"</f>
        <v>54112023070210500793243</v>
      </c>
      <c r="C363" s="9" t="s">
        <v>7</v>
      </c>
      <c r="D363" s="9" t="str">
        <f>"丁晓楠"</f>
        <v>丁晓楠</v>
      </c>
    </row>
    <row r="364" spans="1:4" ht="34.5" customHeight="1">
      <c r="A364" s="8">
        <v>362</v>
      </c>
      <c r="B364" s="9" t="str">
        <f>"54112023070210492493241"</f>
        <v>54112023070210492493241</v>
      </c>
      <c r="C364" s="9" t="s">
        <v>7</v>
      </c>
      <c r="D364" s="9" t="str">
        <f>"韦桂丹"</f>
        <v>韦桂丹</v>
      </c>
    </row>
    <row r="365" spans="1:4" ht="34.5" customHeight="1">
      <c r="A365" s="8">
        <v>363</v>
      </c>
      <c r="B365" s="9" t="str">
        <f>"54112023062610230666961"</f>
        <v>54112023062610230666961</v>
      </c>
      <c r="C365" s="9" t="s">
        <v>7</v>
      </c>
      <c r="D365" s="9" t="str">
        <f>"符冰冰"</f>
        <v>符冰冰</v>
      </c>
    </row>
    <row r="366" spans="1:4" ht="34.5" customHeight="1">
      <c r="A366" s="8">
        <v>364</v>
      </c>
      <c r="B366" s="9" t="str">
        <f>"54112023070212292793501"</f>
        <v>54112023070212292793501</v>
      </c>
      <c r="C366" s="9" t="s">
        <v>7</v>
      </c>
      <c r="D366" s="9" t="str">
        <f>"陈海莹"</f>
        <v>陈海莹</v>
      </c>
    </row>
    <row r="367" spans="1:4" ht="34.5" customHeight="1">
      <c r="A367" s="8">
        <v>365</v>
      </c>
      <c r="B367" s="9" t="str">
        <f>"54112023062712084173552"</f>
        <v>54112023062712084173552</v>
      </c>
      <c r="C367" s="9" t="s">
        <v>7</v>
      </c>
      <c r="D367" s="9" t="str">
        <f>"林益花"</f>
        <v>林益花</v>
      </c>
    </row>
    <row r="368" spans="1:4" ht="34.5" customHeight="1">
      <c r="A368" s="8">
        <v>366</v>
      </c>
      <c r="B368" s="9" t="str">
        <f>"54112023062521381564592"</f>
        <v>54112023062521381564592</v>
      </c>
      <c r="C368" s="9" t="s">
        <v>7</v>
      </c>
      <c r="D368" s="9" t="str">
        <f>"蔡姑美"</f>
        <v>蔡姑美</v>
      </c>
    </row>
    <row r="369" spans="1:4" ht="34.5" customHeight="1">
      <c r="A369" s="8">
        <v>367</v>
      </c>
      <c r="B369" s="9" t="str">
        <f>"54112023070217262894225"</f>
        <v>54112023070217262894225</v>
      </c>
      <c r="C369" s="9" t="s">
        <v>7</v>
      </c>
      <c r="D369" s="9" t="str">
        <f>"羊秋鍊"</f>
        <v>羊秋鍊</v>
      </c>
    </row>
    <row r="370" spans="1:4" ht="34.5" customHeight="1">
      <c r="A370" s="8">
        <v>368</v>
      </c>
      <c r="B370" s="9" t="str">
        <f>"54112023070219022994405"</f>
        <v>54112023070219022994405</v>
      </c>
      <c r="C370" s="9" t="s">
        <v>7</v>
      </c>
      <c r="D370" s="9" t="str">
        <f>"林俐宏"</f>
        <v>林俐宏</v>
      </c>
    </row>
    <row r="371" spans="1:4" ht="34.5" customHeight="1">
      <c r="A371" s="8">
        <v>369</v>
      </c>
      <c r="B371" s="9" t="str">
        <f>"54112023070213345993660"</f>
        <v>54112023070213345993660</v>
      </c>
      <c r="C371" s="9" t="s">
        <v>7</v>
      </c>
      <c r="D371" s="9" t="str">
        <f>"杨栩栩"</f>
        <v>杨栩栩</v>
      </c>
    </row>
    <row r="372" spans="1:4" ht="34.5" customHeight="1">
      <c r="A372" s="8">
        <v>370</v>
      </c>
      <c r="B372" s="9" t="str">
        <f>"54112023070210274293165"</f>
        <v>54112023070210274293165</v>
      </c>
      <c r="C372" s="9" t="s">
        <v>7</v>
      </c>
      <c r="D372" s="9" t="str">
        <f>"彭舒凤"</f>
        <v>彭舒凤</v>
      </c>
    </row>
    <row r="373" spans="1:4" ht="34.5" customHeight="1">
      <c r="A373" s="8">
        <v>371</v>
      </c>
      <c r="B373" s="9" t="str">
        <f>"54112023070220271794574"</f>
        <v>54112023070220271794574</v>
      </c>
      <c r="C373" s="9" t="s">
        <v>7</v>
      </c>
      <c r="D373" s="9" t="str">
        <f>"李妮蔓"</f>
        <v>李妮蔓</v>
      </c>
    </row>
    <row r="374" spans="1:4" ht="34.5" customHeight="1">
      <c r="A374" s="8">
        <v>372</v>
      </c>
      <c r="B374" s="9" t="str">
        <f>"54112023070220512694642"</f>
        <v>54112023070220512694642</v>
      </c>
      <c r="C374" s="9" t="s">
        <v>7</v>
      </c>
      <c r="D374" s="9" t="str">
        <f>"唐惠敏"</f>
        <v>唐惠敏</v>
      </c>
    </row>
    <row r="375" spans="1:4" ht="34.5" customHeight="1">
      <c r="A375" s="8">
        <v>373</v>
      </c>
      <c r="B375" s="9" t="str">
        <f>"54112023070221331794776"</f>
        <v>54112023070221331794776</v>
      </c>
      <c r="C375" s="9" t="s">
        <v>7</v>
      </c>
      <c r="D375" s="9" t="str">
        <f>"杨小丹"</f>
        <v>杨小丹</v>
      </c>
    </row>
    <row r="376" spans="1:4" ht="34.5" customHeight="1">
      <c r="A376" s="8">
        <v>374</v>
      </c>
      <c r="B376" s="9" t="str">
        <f>"54112023070221252994750"</f>
        <v>54112023070221252994750</v>
      </c>
      <c r="C376" s="9" t="s">
        <v>7</v>
      </c>
      <c r="D376" s="9" t="str">
        <f>"陈兰午"</f>
        <v>陈兰午</v>
      </c>
    </row>
    <row r="377" spans="1:4" ht="34.5" customHeight="1">
      <c r="A377" s="8">
        <v>375</v>
      </c>
      <c r="B377" s="9" t="str">
        <f>"54112023070221394494799"</f>
        <v>54112023070221394494799</v>
      </c>
      <c r="C377" s="9" t="s">
        <v>7</v>
      </c>
      <c r="D377" s="9" t="str">
        <f>"陈秋子"</f>
        <v>陈秋子</v>
      </c>
    </row>
    <row r="378" spans="1:4" ht="34.5" customHeight="1">
      <c r="A378" s="8">
        <v>376</v>
      </c>
      <c r="B378" s="9" t="str">
        <f>"54112023070221545994838"</f>
        <v>54112023070221545994838</v>
      </c>
      <c r="C378" s="9" t="s">
        <v>7</v>
      </c>
      <c r="D378" s="9" t="str">
        <f>" 邢静心"</f>
        <v> 邢静心</v>
      </c>
    </row>
    <row r="379" spans="1:4" ht="34.5" customHeight="1">
      <c r="A379" s="8">
        <v>377</v>
      </c>
      <c r="B379" s="9" t="str">
        <f>"54112023070223200295058"</f>
        <v>54112023070223200295058</v>
      </c>
      <c r="C379" s="9" t="s">
        <v>7</v>
      </c>
      <c r="D379" s="9" t="str">
        <f>"王灵巧"</f>
        <v>王灵巧</v>
      </c>
    </row>
    <row r="380" spans="1:4" ht="34.5" customHeight="1">
      <c r="A380" s="8">
        <v>378</v>
      </c>
      <c r="B380" s="9" t="str">
        <f>"54112023070223481295105"</f>
        <v>54112023070223481295105</v>
      </c>
      <c r="C380" s="9" t="s">
        <v>7</v>
      </c>
      <c r="D380" s="9" t="str">
        <f>"羊丹川"</f>
        <v>羊丹川</v>
      </c>
    </row>
    <row r="381" spans="1:4" ht="34.5" customHeight="1">
      <c r="A381" s="8">
        <v>379</v>
      </c>
      <c r="B381" s="9" t="str">
        <f>"54112023070300023795133"</f>
        <v>54112023070300023795133</v>
      </c>
      <c r="C381" s="9" t="s">
        <v>7</v>
      </c>
      <c r="D381" s="9" t="str">
        <f>"文婷"</f>
        <v>文婷</v>
      </c>
    </row>
    <row r="382" spans="1:4" ht="34.5" customHeight="1">
      <c r="A382" s="8">
        <v>380</v>
      </c>
      <c r="B382" s="9" t="str">
        <f>"54112023070300111195145"</f>
        <v>54112023070300111195145</v>
      </c>
      <c r="C382" s="9" t="s">
        <v>7</v>
      </c>
      <c r="D382" s="9" t="str">
        <f>"纪培娜"</f>
        <v>纪培娜</v>
      </c>
    </row>
    <row r="383" spans="1:4" ht="34.5" customHeight="1">
      <c r="A383" s="8">
        <v>381</v>
      </c>
      <c r="B383" s="9" t="str">
        <f>"54112023070300284195162"</f>
        <v>54112023070300284195162</v>
      </c>
      <c r="C383" s="9" t="s">
        <v>7</v>
      </c>
      <c r="D383" s="9" t="str">
        <f>"王芸娇"</f>
        <v>王芸娇</v>
      </c>
    </row>
    <row r="384" spans="1:4" ht="34.5" customHeight="1">
      <c r="A384" s="8">
        <v>382</v>
      </c>
      <c r="B384" s="9" t="str">
        <f>"54112023070300512695176"</f>
        <v>54112023070300512695176</v>
      </c>
      <c r="C384" s="9" t="s">
        <v>7</v>
      </c>
      <c r="D384" s="9" t="str">
        <f>"梁乾英"</f>
        <v>梁乾英</v>
      </c>
    </row>
    <row r="385" spans="1:4" ht="34.5" customHeight="1">
      <c r="A385" s="8">
        <v>383</v>
      </c>
      <c r="B385" s="9" t="str">
        <f>"54112023062608123665322"</f>
        <v>54112023062608123665322</v>
      </c>
      <c r="C385" s="9" t="s">
        <v>7</v>
      </c>
      <c r="D385" s="9" t="str">
        <f>"王誉霏"</f>
        <v>王誉霏</v>
      </c>
    </row>
    <row r="386" spans="1:4" ht="34.5" customHeight="1">
      <c r="A386" s="8">
        <v>384</v>
      </c>
      <c r="B386" s="9" t="str">
        <f>"54112023070308211895301"</f>
        <v>54112023070308211895301</v>
      </c>
      <c r="C386" s="9" t="s">
        <v>7</v>
      </c>
      <c r="D386" s="9" t="str">
        <f>"江萍"</f>
        <v>江萍</v>
      </c>
    </row>
    <row r="387" spans="1:4" ht="34.5" customHeight="1">
      <c r="A387" s="8">
        <v>385</v>
      </c>
      <c r="B387" s="9" t="str">
        <f>"54112023062815244478436"</f>
        <v>54112023062815244478436</v>
      </c>
      <c r="C387" s="9" t="s">
        <v>7</v>
      </c>
      <c r="D387" s="9" t="str">
        <f>"张涵雅"</f>
        <v>张涵雅</v>
      </c>
    </row>
    <row r="388" spans="1:4" ht="34.5" customHeight="1">
      <c r="A388" s="8">
        <v>386</v>
      </c>
      <c r="B388" s="9" t="str">
        <f>"54112023062916005683716"</f>
        <v>54112023062916005683716</v>
      </c>
      <c r="C388" s="9" t="s">
        <v>7</v>
      </c>
      <c r="D388" s="9" t="str">
        <f>"黄春苗"</f>
        <v>黄春苗</v>
      </c>
    </row>
    <row r="389" spans="1:4" ht="34.5" customHeight="1">
      <c r="A389" s="8">
        <v>387</v>
      </c>
      <c r="B389" s="9" t="str">
        <f>"54112023070223575295123"</f>
        <v>54112023070223575295123</v>
      </c>
      <c r="C389" s="9" t="s">
        <v>7</v>
      </c>
      <c r="D389" s="9" t="str">
        <f>"黄小芳"</f>
        <v>黄小芳</v>
      </c>
    </row>
    <row r="390" spans="1:4" ht="34.5" customHeight="1">
      <c r="A390" s="8">
        <v>388</v>
      </c>
      <c r="B390" s="9" t="str">
        <f>"54112023070310552596489"</f>
        <v>54112023070310552596489</v>
      </c>
      <c r="C390" s="9" t="s">
        <v>7</v>
      </c>
      <c r="D390" s="9" t="str">
        <f>"黄文凤"</f>
        <v>黄文凤</v>
      </c>
    </row>
    <row r="391" spans="1:4" ht="34.5" customHeight="1">
      <c r="A391" s="8">
        <v>389</v>
      </c>
      <c r="B391" s="9" t="str">
        <f>"54112023070311483696834"</f>
        <v>54112023070311483696834</v>
      </c>
      <c r="C391" s="9" t="s">
        <v>7</v>
      </c>
      <c r="D391" s="9" t="str">
        <f>"林世芳"</f>
        <v>林世芳</v>
      </c>
    </row>
    <row r="392" spans="1:4" ht="34.5" customHeight="1">
      <c r="A392" s="8">
        <v>390</v>
      </c>
      <c r="B392" s="9" t="str">
        <f>"54112023070310390196356"</f>
        <v>54112023070310390196356</v>
      </c>
      <c r="C392" s="9" t="s">
        <v>7</v>
      </c>
      <c r="D392" s="9" t="str">
        <f>"罗倩莹"</f>
        <v>罗倩莹</v>
      </c>
    </row>
    <row r="393" spans="1:4" ht="34.5" customHeight="1">
      <c r="A393" s="8">
        <v>391</v>
      </c>
      <c r="B393" s="9" t="str">
        <f>"54112023070312550497220"</f>
        <v>54112023070312550497220</v>
      </c>
      <c r="C393" s="9" t="s">
        <v>7</v>
      </c>
      <c r="D393" s="9" t="str">
        <f>"何映雪"</f>
        <v>何映雪</v>
      </c>
    </row>
    <row r="394" spans="1:4" ht="34.5" customHeight="1">
      <c r="A394" s="8">
        <v>392</v>
      </c>
      <c r="B394" s="9" t="str">
        <f>"54112023070222230694920"</f>
        <v>54112023070222230694920</v>
      </c>
      <c r="C394" s="9" t="s">
        <v>7</v>
      </c>
      <c r="D394" s="9" t="str">
        <f>"麦书琪"</f>
        <v>麦书琪</v>
      </c>
    </row>
    <row r="395" spans="1:4" ht="34.5" customHeight="1">
      <c r="A395" s="8">
        <v>393</v>
      </c>
      <c r="B395" s="9" t="str">
        <f>"54112023062609462966366"</f>
        <v>54112023062609462966366</v>
      </c>
      <c r="C395" s="9" t="s">
        <v>7</v>
      </c>
      <c r="D395" s="9" t="str">
        <f>"王欢"</f>
        <v>王欢</v>
      </c>
    </row>
    <row r="396" spans="1:4" ht="34.5" customHeight="1">
      <c r="A396" s="8">
        <v>394</v>
      </c>
      <c r="B396" s="9" t="str">
        <f>"54112023070311583496875"</f>
        <v>54112023070311583496875</v>
      </c>
      <c r="C396" s="9" t="s">
        <v>7</v>
      </c>
      <c r="D396" s="9" t="str">
        <f>"符颖"</f>
        <v>符颖</v>
      </c>
    </row>
    <row r="397" spans="1:4" ht="34.5" customHeight="1">
      <c r="A397" s="8">
        <v>395</v>
      </c>
      <c r="B397" s="9" t="str">
        <f>"54112023070212090493456"</f>
        <v>54112023070212090493456</v>
      </c>
      <c r="C397" s="9" t="s">
        <v>7</v>
      </c>
      <c r="D397" s="9" t="str">
        <f>"王容"</f>
        <v>王容</v>
      </c>
    </row>
    <row r="398" spans="1:4" ht="34.5" customHeight="1">
      <c r="A398" s="8">
        <v>396</v>
      </c>
      <c r="B398" s="9" t="str">
        <f>"54112023070314522497739"</f>
        <v>54112023070314522497739</v>
      </c>
      <c r="C398" s="9" t="s">
        <v>7</v>
      </c>
      <c r="D398" s="9" t="str">
        <f>"符火苗"</f>
        <v>符火苗</v>
      </c>
    </row>
    <row r="399" spans="1:4" ht="34.5" customHeight="1">
      <c r="A399" s="8">
        <v>397</v>
      </c>
      <c r="B399" s="9" t="str">
        <f>"54112023070315053997820"</f>
        <v>54112023070315053997820</v>
      </c>
      <c r="C399" s="9" t="s">
        <v>7</v>
      </c>
      <c r="D399" s="9" t="str">
        <f>"符蓉蓉"</f>
        <v>符蓉蓉</v>
      </c>
    </row>
    <row r="400" spans="1:4" ht="34.5" customHeight="1">
      <c r="A400" s="8">
        <v>398</v>
      </c>
      <c r="B400" s="9" t="str">
        <f>"54112023070311305196729"</f>
        <v>54112023070311305196729</v>
      </c>
      <c r="C400" s="9" t="s">
        <v>7</v>
      </c>
      <c r="D400" s="9" t="str">
        <f>"黄丹"</f>
        <v>黄丹</v>
      </c>
    </row>
    <row r="401" spans="1:4" ht="34.5" customHeight="1">
      <c r="A401" s="8">
        <v>399</v>
      </c>
      <c r="B401" s="9" t="str">
        <f>"54112023070315573498164"</f>
        <v>54112023070315573498164</v>
      </c>
      <c r="C401" s="9" t="s">
        <v>7</v>
      </c>
      <c r="D401" s="9" t="str">
        <f>"杨娇惠"</f>
        <v>杨娇惠</v>
      </c>
    </row>
    <row r="402" spans="1:4" ht="34.5" customHeight="1">
      <c r="A402" s="8">
        <v>400</v>
      </c>
      <c r="B402" s="9" t="str">
        <f>"54112023062816445178830"</f>
        <v>54112023062816445178830</v>
      </c>
      <c r="C402" s="9" t="s">
        <v>7</v>
      </c>
      <c r="D402" s="9" t="str">
        <f>"韦洁"</f>
        <v>韦洁</v>
      </c>
    </row>
    <row r="403" spans="1:4" ht="34.5" customHeight="1">
      <c r="A403" s="8">
        <v>401</v>
      </c>
      <c r="B403" s="9" t="str">
        <f>"54112023062816463078836"</f>
        <v>54112023062816463078836</v>
      </c>
      <c r="C403" s="9" t="s">
        <v>7</v>
      </c>
      <c r="D403" s="9" t="str">
        <f>"符运伟"</f>
        <v>符运伟</v>
      </c>
    </row>
    <row r="404" spans="1:4" ht="34.5" customHeight="1">
      <c r="A404" s="8">
        <v>402</v>
      </c>
      <c r="B404" s="9" t="str">
        <f>"54112023070317020098539"</f>
        <v>54112023070317020098539</v>
      </c>
      <c r="C404" s="9" t="s">
        <v>7</v>
      </c>
      <c r="D404" s="9" t="str">
        <f>"林哲"</f>
        <v>林哲</v>
      </c>
    </row>
    <row r="405" spans="1:4" ht="34.5" customHeight="1">
      <c r="A405" s="8">
        <v>403</v>
      </c>
      <c r="B405" s="9" t="str">
        <f>"54112023070317333098700"</f>
        <v>54112023070317333098700</v>
      </c>
      <c r="C405" s="9" t="s">
        <v>7</v>
      </c>
      <c r="D405" s="9" t="str">
        <f>"李锦妍"</f>
        <v>李锦妍</v>
      </c>
    </row>
    <row r="406" spans="1:4" ht="34.5" customHeight="1">
      <c r="A406" s="8">
        <v>404</v>
      </c>
      <c r="B406" s="9" t="str">
        <f>"54112023070317531698762"</f>
        <v>54112023070317531698762</v>
      </c>
      <c r="C406" s="9" t="s">
        <v>7</v>
      </c>
      <c r="D406" s="9" t="str">
        <f>"邢晓颖"</f>
        <v>邢晓颖</v>
      </c>
    </row>
    <row r="407" spans="1:4" ht="34.5" customHeight="1">
      <c r="A407" s="8">
        <v>405</v>
      </c>
      <c r="B407" s="9" t="str">
        <f>"54112023070318270998886"</f>
        <v>54112023070318270998886</v>
      </c>
      <c r="C407" s="9" t="s">
        <v>7</v>
      </c>
      <c r="D407" s="9" t="str">
        <f>"陈彩燕"</f>
        <v>陈彩燕</v>
      </c>
    </row>
    <row r="408" spans="1:4" ht="34.5" customHeight="1">
      <c r="A408" s="8">
        <v>406</v>
      </c>
      <c r="B408" s="9" t="str">
        <f>"54112023062515053762772"</f>
        <v>54112023062515053762772</v>
      </c>
      <c r="C408" s="9" t="s">
        <v>7</v>
      </c>
      <c r="D408" s="9" t="str">
        <f>"陈足莲"</f>
        <v>陈足莲</v>
      </c>
    </row>
    <row r="409" spans="1:4" ht="34.5" customHeight="1">
      <c r="A409" s="8">
        <v>407</v>
      </c>
      <c r="B409" s="9" t="str">
        <f>"54112023070319593999230"</f>
        <v>54112023070319593999230</v>
      </c>
      <c r="C409" s="9" t="s">
        <v>7</v>
      </c>
      <c r="D409" s="9" t="str">
        <f>"符梦洁"</f>
        <v>符梦洁</v>
      </c>
    </row>
    <row r="410" spans="1:4" ht="34.5" customHeight="1">
      <c r="A410" s="8">
        <v>408</v>
      </c>
      <c r="B410" s="9" t="str">
        <f>"54112023062720430075761"</f>
        <v>54112023062720430075761</v>
      </c>
      <c r="C410" s="9" t="s">
        <v>7</v>
      </c>
      <c r="D410" s="9" t="str">
        <f>"陈心怡"</f>
        <v>陈心怡</v>
      </c>
    </row>
    <row r="411" spans="1:4" ht="34.5" customHeight="1">
      <c r="A411" s="8">
        <v>409</v>
      </c>
      <c r="B411" s="9" t="str">
        <f>"54112023070318312298912"</f>
        <v>54112023070318312298912</v>
      </c>
      <c r="C411" s="9" t="s">
        <v>7</v>
      </c>
      <c r="D411" s="9" t="str">
        <f>"王乙冰"</f>
        <v>王乙冰</v>
      </c>
    </row>
    <row r="412" spans="1:4" ht="34.5" customHeight="1">
      <c r="A412" s="8">
        <v>410</v>
      </c>
      <c r="B412" s="9" t="str">
        <f>"54112023070320485199469"</f>
        <v>54112023070320485199469</v>
      </c>
      <c r="C412" s="9" t="s">
        <v>7</v>
      </c>
      <c r="D412" s="9" t="str">
        <f>"许玲"</f>
        <v>许玲</v>
      </c>
    </row>
    <row r="413" spans="1:4" ht="34.5" customHeight="1">
      <c r="A413" s="8">
        <v>411</v>
      </c>
      <c r="B413" s="9" t="str">
        <f>"54112023070321313899701"</f>
        <v>54112023070321313899701</v>
      </c>
      <c r="C413" s="9" t="s">
        <v>7</v>
      </c>
      <c r="D413" s="9" t="str">
        <f>"邢恋"</f>
        <v>邢恋</v>
      </c>
    </row>
    <row r="414" spans="1:4" ht="34.5" customHeight="1">
      <c r="A414" s="8">
        <v>412</v>
      </c>
      <c r="B414" s="9" t="str">
        <f>"54112023070322042699859"</f>
        <v>54112023070322042699859</v>
      </c>
      <c r="C414" s="9" t="s">
        <v>7</v>
      </c>
      <c r="D414" s="9" t="str">
        <f>"王世韵"</f>
        <v>王世韵</v>
      </c>
    </row>
    <row r="415" spans="1:4" ht="34.5" customHeight="1">
      <c r="A415" s="8">
        <v>413</v>
      </c>
      <c r="B415" s="9" t="str">
        <f>"54112023070321155099615"</f>
        <v>54112023070321155099615</v>
      </c>
      <c r="C415" s="9" t="s">
        <v>7</v>
      </c>
      <c r="D415" s="9" t="str">
        <f>"符芳秀"</f>
        <v>符芳秀</v>
      </c>
    </row>
    <row r="416" spans="1:4" ht="34.5" customHeight="1">
      <c r="A416" s="8">
        <v>414</v>
      </c>
      <c r="B416" s="9" t="str">
        <f>"54112023070322104599897"</f>
        <v>54112023070322104599897</v>
      </c>
      <c r="C416" s="9" t="s">
        <v>7</v>
      </c>
      <c r="D416" s="9" t="str">
        <f>"冯晓柳"</f>
        <v>冯晓柳</v>
      </c>
    </row>
    <row r="417" spans="1:4" ht="34.5" customHeight="1">
      <c r="A417" s="8">
        <v>415</v>
      </c>
      <c r="B417" s="9" t="str">
        <f>"54112023070315463798086"</f>
        <v>54112023070315463798086</v>
      </c>
      <c r="C417" s="9" t="s">
        <v>7</v>
      </c>
      <c r="D417" s="9" t="str">
        <f>"符誉尹"</f>
        <v>符誉尹</v>
      </c>
    </row>
    <row r="418" spans="1:4" ht="34.5" customHeight="1">
      <c r="A418" s="8">
        <v>416</v>
      </c>
      <c r="B418" s="9" t="str">
        <f>"541120230704003756100341"</f>
        <v>541120230704003756100341</v>
      </c>
      <c r="C418" s="9" t="s">
        <v>7</v>
      </c>
      <c r="D418" s="9" t="str">
        <f>"王智慧"</f>
        <v>王智慧</v>
      </c>
    </row>
    <row r="419" spans="1:4" ht="34.5" customHeight="1">
      <c r="A419" s="8">
        <v>417</v>
      </c>
      <c r="B419" s="9" t="str">
        <f>"541120230704004513100349"</f>
        <v>541120230704004513100349</v>
      </c>
      <c r="C419" s="9" t="s">
        <v>7</v>
      </c>
      <c r="D419" s="9" t="str">
        <f>"王晶"</f>
        <v>王晶</v>
      </c>
    </row>
    <row r="420" spans="1:4" ht="34.5" customHeight="1">
      <c r="A420" s="8">
        <v>418</v>
      </c>
      <c r="B420" s="9" t="str">
        <f>"54112023070313063197296"</f>
        <v>54112023070313063197296</v>
      </c>
      <c r="C420" s="9" t="s">
        <v>7</v>
      </c>
      <c r="D420" s="9" t="str">
        <f>"符鹤"</f>
        <v>符鹤</v>
      </c>
    </row>
    <row r="421" spans="1:4" ht="34.5" customHeight="1">
      <c r="A421" s="8">
        <v>419</v>
      </c>
      <c r="B421" s="9" t="str">
        <f>"541120230704000537100296"</f>
        <v>541120230704000537100296</v>
      </c>
      <c r="C421" s="9" t="s">
        <v>7</v>
      </c>
      <c r="D421" s="9" t="str">
        <f>"陈丽花"</f>
        <v>陈丽花</v>
      </c>
    </row>
    <row r="422" spans="1:4" ht="34.5" customHeight="1">
      <c r="A422" s="8">
        <v>420</v>
      </c>
      <c r="B422" s="9" t="str">
        <f>"54112023062523354565004"</f>
        <v>54112023062523354565004</v>
      </c>
      <c r="C422" s="9" t="s">
        <v>7</v>
      </c>
      <c r="D422" s="9" t="str">
        <f>"李想"</f>
        <v>李想</v>
      </c>
    </row>
    <row r="423" spans="1:4" ht="34.5" customHeight="1">
      <c r="A423" s="8">
        <v>421</v>
      </c>
      <c r="B423" s="9" t="str">
        <f>"54112023062900530880385"</f>
        <v>54112023062900530880385</v>
      </c>
      <c r="C423" s="9" t="s">
        <v>7</v>
      </c>
      <c r="D423" s="9" t="str">
        <f>"吉琳静"</f>
        <v>吉琳静</v>
      </c>
    </row>
    <row r="424" spans="1:4" ht="34.5" customHeight="1">
      <c r="A424" s="8">
        <v>422</v>
      </c>
      <c r="B424" s="9" t="str">
        <f>"541120230704085409100675"</f>
        <v>541120230704085409100675</v>
      </c>
      <c r="C424" s="9" t="s">
        <v>7</v>
      </c>
      <c r="D424" s="9" t="str">
        <f>"邢福丹"</f>
        <v>邢福丹</v>
      </c>
    </row>
    <row r="425" spans="1:4" ht="34.5" customHeight="1">
      <c r="A425" s="8">
        <v>423</v>
      </c>
      <c r="B425" s="9" t="str">
        <f>"541120230704093904100903"</f>
        <v>541120230704093904100903</v>
      </c>
      <c r="C425" s="9" t="s">
        <v>7</v>
      </c>
      <c r="D425" s="9" t="str">
        <f>"林造芳"</f>
        <v>林造芳</v>
      </c>
    </row>
    <row r="426" spans="1:4" ht="34.5" customHeight="1">
      <c r="A426" s="8">
        <v>424</v>
      </c>
      <c r="B426" s="9" t="str">
        <f>"54112023062609295166091"</f>
        <v>54112023062609295166091</v>
      </c>
      <c r="C426" s="9" t="s">
        <v>7</v>
      </c>
      <c r="D426" s="9" t="str">
        <f>"林艳"</f>
        <v>林艳</v>
      </c>
    </row>
    <row r="427" spans="1:4" ht="34.5" customHeight="1">
      <c r="A427" s="8">
        <v>425</v>
      </c>
      <c r="B427" s="9" t="str">
        <f>"541120230704091356100773"</f>
        <v>541120230704091356100773</v>
      </c>
      <c r="C427" s="9" t="s">
        <v>7</v>
      </c>
      <c r="D427" s="9" t="str">
        <f>"符银苗"</f>
        <v>符银苗</v>
      </c>
    </row>
    <row r="428" spans="1:4" ht="34.5" customHeight="1">
      <c r="A428" s="8">
        <v>426</v>
      </c>
      <c r="B428" s="9" t="str">
        <f>"541120230704092037100810"</f>
        <v>541120230704092037100810</v>
      </c>
      <c r="C428" s="9" t="s">
        <v>7</v>
      </c>
      <c r="D428" s="9" t="str">
        <f>"梁昌奋"</f>
        <v>梁昌奋</v>
      </c>
    </row>
    <row r="429" spans="1:4" ht="34.5" customHeight="1">
      <c r="A429" s="8">
        <v>427</v>
      </c>
      <c r="B429" s="9" t="str">
        <f>"541120230703233013100204"</f>
        <v>541120230703233013100204</v>
      </c>
      <c r="C429" s="9" t="s">
        <v>7</v>
      </c>
      <c r="D429" s="9" t="str">
        <f>"王冬玲"</f>
        <v>王冬玲</v>
      </c>
    </row>
    <row r="430" spans="1:4" ht="34.5" customHeight="1">
      <c r="A430" s="8">
        <v>428</v>
      </c>
      <c r="B430" s="9" t="str">
        <f>"541120230704101807101040"</f>
        <v>541120230704101807101040</v>
      </c>
      <c r="C430" s="9" t="s">
        <v>7</v>
      </c>
      <c r="D430" s="9" t="str">
        <f>"卓菁菁"</f>
        <v>卓菁菁</v>
      </c>
    </row>
    <row r="431" spans="1:4" ht="34.5" customHeight="1">
      <c r="A431" s="8">
        <v>429</v>
      </c>
      <c r="B431" s="9" t="str">
        <f>"54112023070115472991739"</f>
        <v>54112023070115472991739</v>
      </c>
      <c r="C431" s="9" t="s">
        <v>7</v>
      </c>
      <c r="D431" s="9" t="str">
        <f>"莫家阳"</f>
        <v>莫家阳</v>
      </c>
    </row>
    <row r="432" spans="1:4" ht="34.5" customHeight="1">
      <c r="A432" s="8">
        <v>430</v>
      </c>
      <c r="B432" s="9" t="str">
        <f>"54112023062512144961827"</f>
        <v>54112023062512144961827</v>
      </c>
      <c r="C432" s="9" t="s">
        <v>8</v>
      </c>
      <c r="D432" s="9" t="str">
        <f>"陈小丽"</f>
        <v>陈小丽</v>
      </c>
    </row>
    <row r="433" spans="1:4" ht="34.5" customHeight="1">
      <c r="A433" s="8">
        <v>431</v>
      </c>
      <c r="B433" s="9" t="str">
        <f>"54112023062514541562684"</f>
        <v>54112023062514541562684</v>
      </c>
      <c r="C433" s="9" t="s">
        <v>8</v>
      </c>
      <c r="D433" s="9" t="str">
        <f>"王平辉"</f>
        <v>王平辉</v>
      </c>
    </row>
    <row r="434" spans="1:4" ht="34.5" customHeight="1">
      <c r="A434" s="8">
        <v>432</v>
      </c>
      <c r="B434" s="9" t="str">
        <f>"54112023062515200662861"</f>
        <v>54112023062515200662861</v>
      </c>
      <c r="C434" s="9" t="s">
        <v>8</v>
      </c>
      <c r="D434" s="9" t="str">
        <f>"郭真夏"</f>
        <v>郭真夏</v>
      </c>
    </row>
    <row r="435" spans="1:4" ht="34.5" customHeight="1">
      <c r="A435" s="8">
        <v>433</v>
      </c>
      <c r="B435" s="9" t="str">
        <f>"54112023062516230363259"</f>
        <v>54112023062516230363259</v>
      </c>
      <c r="C435" s="9" t="s">
        <v>8</v>
      </c>
      <c r="D435" s="9" t="str">
        <f>"陈引花"</f>
        <v>陈引花</v>
      </c>
    </row>
    <row r="436" spans="1:4" ht="34.5" customHeight="1">
      <c r="A436" s="8">
        <v>434</v>
      </c>
      <c r="B436" s="9" t="str">
        <f>"54112023062509532660334"</f>
        <v>54112023062509532660334</v>
      </c>
      <c r="C436" s="9" t="s">
        <v>8</v>
      </c>
      <c r="D436" s="9" t="str">
        <f>"符倩"</f>
        <v>符倩</v>
      </c>
    </row>
    <row r="437" spans="1:4" ht="34.5" customHeight="1">
      <c r="A437" s="8">
        <v>435</v>
      </c>
      <c r="B437" s="9" t="str">
        <f>"54112023062516432063346"</f>
        <v>54112023062516432063346</v>
      </c>
      <c r="C437" s="9" t="s">
        <v>8</v>
      </c>
      <c r="D437" s="9" t="str">
        <f>"万火玉"</f>
        <v>万火玉</v>
      </c>
    </row>
    <row r="438" spans="1:4" ht="34.5" customHeight="1">
      <c r="A438" s="8">
        <v>436</v>
      </c>
      <c r="B438" s="9" t="str">
        <f>"54112023062518181363729"</f>
        <v>54112023062518181363729</v>
      </c>
      <c r="C438" s="9" t="s">
        <v>8</v>
      </c>
      <c r="D438" s="9" t="str">
        <f>"李拔培"</f>
        <v>李拔培</v>
      </c>
    </row>
    <row r="439" spans="1:4" ht="34.5" customHeight="1">
      <c r="A439" s="8">
        <v>437</v>
      </c>
      <c r="B439" s="9" t="str">
        <f>"54112023062518374163788"</f>
        <v>54112023062518374163788</v>
      </c>
      <c r="C439" s="9" t="s">
        <v>8</v>
      </c>
      <c r="D439" s="9" t="str">
        <f>"陈苗"</f>
        <v>陈苗</v>
      </c>
    </row>
    <row r="440" spans="1:4" ht="34.5" customHeight="1">
      <c r="A440" s="8">
        <v>438</v>
      </c>
      <c r="B440" s="9" t="str">
        <f>"54112023062517563063658"</f>
        <v>54112023062517563063658</v>
      </c>
      <c r="C440" s="9" t="s">
        <v>8</v>
      </c>
      <c r="D440" s="9" t="str">
        <f>"王含文"</f>
        <v>王含文</v>
      </c>
    </row>
    <row r="441" spans="1:4" ht="34.5" customHeight="1">
      <c r="A441" s="8">
        <v>439</v>
      </c>
      <c r="B441" s="9" t="str">
        <f>"54112023062519502664065"</f>
        <v>54112023062519502664065</v>
      </c>
      <c r="C441" s="9" t="s">
        <v>8</v>
      </c>
      <c r="D441" s="9" t="str">
        <f>"黄光森"</f>
        <v>黄光森</v>
      </c>
    </row>
    <row r="442" spans="1:4" ht="34.5" customHeight="1">
      <c r="A442" s="8">
        <v>440</v>
      </c>
      <c r="B442" s="9" t="str">
        <f>"54112023062518500263839"</f>
        <v>54112023062518500263839</v>
      </c>
      <c r="C442" s="9" t="s">
        <v>8</v>
      </c>
      <c r="D442" s="9" t="str">
        <f>"陈小平"</f>
        <v>陈小平</v>
      </c>
    </row>
    <row r="443" spans="1:4" ht="34.5" customHeight="1">
      <c r="A443" s="8">
        <v>441</v>
      </c>
      <c r="B443" s="9" t="str">
        <f>"54112023062519552064094"</f>
        <v>54112023062519552064094</v>
      </c>
      <c r="C443" s="9" t="s">
        <v>8</v>
      </c>
      <c r="D443" s="9" t="str">
        <f>"许佩汝"</f>
        <v>许佩汝</v>
      </c>
    </row>
    <row r="444" spans="1:4" ht="34.5" customHeight="1">
      <c r="A444" s="8">
        <v>442</v>
      </c>
      <c r="B444" s="9" t="str">
        <f>"54112023062508301359651"</f>
        <v>54112023062508301359651</v>
      </c>
      <c r="C444" s="9" t="s">
        <v>8</v>
      </c>
      <c r="D444" s="9" t="str">
        <f>"谢立妹"</f>
        <v>谢立妹</v>
      </c>
    </row>
    <row r="445" spans="1:4" ht="34.5" customHeight="1">
      <c r="A445" s="8">
        <v>443</v>
      </c>
      <c r="B445" s="9" t="str">
        <f>"54112023062520101264148"</f>
        <v>54112023062520101264148</v>
      </c>
      <c r="C445" s="9" t="s">
        <v>8</v>
      </c>
      <c r="D445" s="9" t="str">
        <f>"韩林定"</f>
        <v>韩林定</v>
      </c>
    </row>
    <row r="446" spans="1:4" ht="34.5" customHeight="1">
      <c r="A446" s="8">
        <v>444</v>
      </c>
      <c r="B446" s="9" t="str">
        <f>"54112023062519503064068"</f>
        <v>54112023062519503064068</v>
      </c>
      <c r="C446" s="9" t="s">
        <v>8</v>
      </c>
      <c r="D446" s="9" t="str">
        <f>"王菊影"</f>
        <v>王菊影</v>
      </c>
    </row>
    <row r="447" spans="1:4" ht="34.5" customHeight="1">
      <c r="A447" s="8">
        <v>445</v>
      </c>
      <c r="B447" s="9" t="str">
        <f>"54112023062521133264446"</f>
        <v>54112023062521133264446</v>
      </c>
      <c r="C447" s="9" t="s">
        <v>8</v>
      </c>
      <c r="D447" s="9" t="str">
        <f>"王晶"</f>
        <v>王晶</v>
      </c>
    </row>
    <row r="448" spans="1:4" ht="34.5" customHeight="1">
      <c r="A448" s="8">
        <v>446</v>
      </c>
      <c r="B448" s="9" t="str">
        <f>"54112023062519460264048"</f>
        <v>54112023062519460264048</v>
      </c>
      <c r="C448" s="9" t="s">
        <v>8</v>
      </c>
      <c r="D448" s="9" t="str">
        <f>"王平仙"</f>
        <v>王平仙</v>
      </c>
    </row>
    <row r="449" spans="1:4" ht="34.5" customHeight="1">
      <c r="A449" s="8">
        <v>447</v>
      </c>
      <c r="B449" s="9" t="str">
        <f>"54112023062521481164654"</f>
        <v>54112023062521481164654</v>
      </c>
      <c r="C449" s="9" t="s">
        <v>8</v>
      </c>
      <c r="D449" s="9" t="str">
        <f>"陈小红"</f>
        <v>陈小红</v>
      </c>
    </row>
    <row r="450" spans="1:4" ht="34.5" customHeight="1">
      <c r="A450" s="8">
        <v>448</v>
      </c>
      <c r="B450" s="9" t="str">
        <f>"54112023062509290060087"</f>
        <v>54112023062509290060087</v>
      </c>
      <c r="C450" s="9" t="s">
        <v>8</v>
      </c>
      <c r="D450" s="9" t="str">
        <f>"陈翠曼"</f>
        <v>陈翠曼</v>
      </c>
    </row>
    <row r="451" spans="1:4" ht="34.5" customHeight="1">
      <c r="A451" s="8">
        <v>449</v>
      </c>
      <c r="B451" s="9" t="str">
        <f>"54112023062522072764726"</f>
        <v>54112023062522072764726</v>
      </c>
      <c r="C451" s="9" t="s">
        <v>8</v>
      </c>
      <c r="D451" s="9" t="str">
        <f>"郑雪"</f>
        <v>郑雪</v>
      </c>
    </row>
    <row r="452" spans="1:4" ht="34.5" customHeight="1">
      <c r="A452" s="8">
        <v>450</v>
      </c>
      <c r="B452" s="9" t="str">
        <f>"54112023062522544864885"</f>
        <v>54112023062522544864885</v>
      </c>
      <c r="C452" s="9" t="s">
        <v>8</v>
      </c>
      <c r="D452" s="9" t="str">
        <f>"王业中"</f>
        <v>王业中</v>
      </c>
    </row>
    <row r="453" spans="1:4" ht="34.5" customHeight="1">
      <c r="A453" s="8">
        <v>451</v>
      </c>
      <c r="B453" s="9" t="str">
        <f>"54112023062600105265079"</f>
        <v>54112023062600105265079</v>
      </c>
      <c r="C453" s="9" t="s">
        <v>8</v>
      </c>
      <c r="D453" s="9" t="str">
        <f>"林美伶"</f>
        <v>林美伶</v>
      </c>
    </row>
    <row r="454" spans="1:4" ht="34.5" customHeight="1">
      <c r="A454" s="8">
        <v>452</v>
      </c>
      <c r="B454" s="9" t="str">
        <f>"54112023062509061259838"</f>
        <v>54112023062509061259838</v>
      </c>
      <c r="C454" s="9" t="s">
        <v>8</v>
      </c>
      <c r="D454" s="9" t="str">
        <f>"张基华"</f>
        <v>张基华</v>
      </c>
    </row>
    <row r="455" spans="1:4" ht="34.5" customHeight="1">
      <c r="A455" s="8">
        <v>453</v>
      </c>
      <c r="B455" s="9" t="str">
        <f>"54112023062609523166473"</f>
        <v>54112023062609523166473</v>
      </c>
      <c r="C455" s="9" t="s">
        <v>8</v>
      </c>
      <c r="D455" s="9" t="str">
        <f>"符冬妹"</f>
        <v>符冬妹</v>
      </c>
    </row>
    <row r="456" spans="1:4" ht="34.5" customHeight="1">
      <c r="A456" s="8">
        <v>454</v>
      </c>
      <c r="B456" s="9" t="str">
        <f>"54112023062608550465450"</f>
        <v>54112023062608550465450</v>
      </c>
      <c r="C456" s="9" t="s">
        <v>8</v>
      </c>
      <c r="D456" s="9" t="str">
        <f>"陈长荟"</f>
        <v>陈长荟</v>
      </c>
    </row>
    <row r="457" spans="1:4" ht="34.5" customHeight="1">
      <c r="A457" s="8">
        <v>455</v>
      </c>
      <c r="B457" s="9" t="str">
        <f>"54112023062609465866376"</f>
        <v>54112023062609465866376</v>
      </c>
      <c r="C457" s="9" t="s">
        <v>8</v>
      </c>
      <c r="D457" s="9" t="str">
        <f>"麦春凤"</f>
        <v>麦春凤</v>
      </c>
    </row>
    <row r="458" spans="1:4" ht="34.5" customHeight="1">
      <c r="A458" s="8">
        <v>456</v>
      </c>
      <c r="B458" s="9" t="str">
        <f>"54112023062608540365445"</f>
        <v>54112023062608540365445</v>
      </c>
      <c r="C458" s="9" t="s">
        <v>8</v>
      </c>
      <c r="D458" s="9" t="str">
        <f>"王符姑"</f>
        <v>王符姑</v>
      </c>
    </row>
    <row r="459" spans="1:4" ht="34.5" customHeight="1">
      <c r="A459" s="8">
        <v>457</v>
      </c>
      <c r="B459" s="9" t="str">
        <f>"54112023062610551867394"</f>
        <v>54112023062610551867394</v>
      </c>
      <c r="C459" s="9" t="s">
        <v>8</v>
      </c>
      <c r="D459" s="9" t="str">
        <f>"陈小丽"</f>
        <v>陈小丽</v>
      </c>
    </row>
    <row r="460" spans="1:4" ht="34.5" customHeight="1">
      <c r="A460" s="8">
        <v>458</v>
      </c>
      <c r="B460" s="9" t="str">
        <f>"54112023062610095666744"</f>
        <v>54112023062610095666744</v>
      </c>
      <c r="C460" s="9" t="s">
        <v>8</v>
      </c>
      <c r="D460" s="9" t="str">
        <f>"陈国瑶"</f>
        <v>陈国瑶</v>
      </c>
    </row>
    <row r="461" spans="1:4" ht="34.5" customHeight="1">
      <c r="A461" s="8">
        <v>459</v>
      </c>
      <c r="B461" s="9" t="str">
        <f>"54112023062611342967852"</f>
        <v>54112023062611342967852</v>
      </c>
      <c r="C461" s="9" t="s">
        <v>8</v>
      </c>
      <c r="D461" s="9" t="str">
        <f>"李伟杰"</f>
        <v>李伟杰</v>
      </c>
    </row>
    <row r="462" spans="1:4" ht="34.5" customHeight="1">
      <c r="A462" s="8">
        <v>460</v>
      </c>
      <c r="B462" s="9" t="str">
        <f>"54112023062613090668484"</f>
        <v>54112023062613090668484</v>
      </c>
      <c r="C462" s="9" t="s">
        <v>8</v>
      </c>
      <c r="D462" s="9" t="str">
        <f>"卢艾妃"</f>
        <v>卢艾妃</v>
      </c>
    </row>
    <row r="463" spans="1:4" ht="34.5" customHeight="1">
      <c r="A463" s="8">
        <v>461</v>
      </c>
      <c r="B463" s="9" t="str">
        <f>"54112023062613293668584"</f>
        <v>54112023062613293668584</v>
      </c>
      <c r="C463" s="9" t="s">
        <v>8</v>
      </c>
      <c r="D463" s="9" t="str">
        <f>"王晓娜"</f>
        <v>王晓娜</v>
      </c>
    </row>
    <row r="464" spans="1:4" ht="34.5" customHeight="1">
      <c r="A464" s="8">
        <v>462</v>
      </c>
      <c r="B464" s="9" t="str">
        <f>"54112023062521060964406"</f>
        <v>54112023062521060964406</v>
      </c>
      <c r="C464" s="9" t="s">
        <v>8</v>
      </c>
      <c r="D464" s="9" t="str">
        <f>"许巍伟"</f>
        <v>许巍伟</v>
      </c>
    </row>
    <row r="465" spans="1:4" ht="34.5" customHeight="1">
      <c r="A465" s="8">
        <v>463</v>
      </c>
      <c r="B465" s="9" t="str">
        <f>"54112023062615430869380"</f>
        <v>54112023062615430869380</v>
      </c>
      <c r="C465" s="9" t="s">
        <v>8</v>
      </c>
      <c r="D465" s="9" t="str">
        <f>"吉受玲"</f>
        <v>吉受玲</v>
      </c>
    </row>
    <row r="466" spans="1:4" ht="34.5" customHeight="1">
      <c r="A466" s="8">
        <v>464</v>
      </c>
      <c r="B466" s="9" t="str">
        <f>"54112023062615133569147"</f>
        <v>54112023062615133569147</v>
      </c>
      <c r="C466" s="9" t="s">
        <v>8</v>
      </c>
      <c r="D466" s="9" t="str">
        <f>"方其向"</f>
        <v>方其向</v>
      </c>
    </row>
    <row r="467" spans="1:4" ht="34.5" customHeight="1">
      <c r="A467" s="8">
        <v>465</v>
      </c>
      <c r="B467" s="9" t="str">
        <f>"54112023062616122369588"</f>
        <v>54112023062616122369588</v>
      </c>
      <c r="C467" s="9" t="s">
        <v>8</v>
      </c>
      <c r="D467" s="9" t="str">
        <f>"周璇"</f>
        <v>周璇</v>
      </c>
    </row>
    <row r="468" spans="1:4" ht="34.5" customHeight="1">
      <c r="A468" s="8">
        <v>466</v>
      </c>
      <c r="B468" s="9" t="str">
        <f>"54112023062519561364099"</f>
        <v>54112023062519561364099</v>
      </c>
      <c r="C468" s="9" t="s">
        <v>8</v>
      </c>
      <c r="D468" s="9" t="str">
        <f>"林静茹"</f>
        <v>林静茹</v>
      </c>
    </row>
    <row r="469" spans="1:4" ht="34.5" customHeight="1">
      <c r="A469" s="8">
        <v>467</v>
      </c>
      <c r="B469" s="9" t="str">
        <f>"54112023062622290971522"</f>
        <v>54112023062622290971522</v>
      </c>
      <c r="C469" s="9" t="s">
        <v>8</v>
      </c>
      <c r="D469" s="9" t="str">
        <f>"曾小丽"</f>
        <v>曾小丽</v>
      </c>
    </row>
    <row r="470" spans="1:4" ht="34.5" customHeight="1">
      <c r="A470" s="8">
        <v>468</v>
      </c>
      <c r="B470" s="9" t="str">
        <f>"54112023062622445971592"</f>
        <v>54112023062622445971592</v>
      </c>
      <c r="C470" s="9" t="s">
        <v>8</v>
      </c>
      <c r="D470" s="9" t="str">
        <f>"王昌喜"</f>
        <v>王昌喜</v>
      </c>
    </row>
    <row r="471" spans="1:4" ht="34.5" customHeight="1">
      <c r="A471" s="8">
        <v>469</v>
      </c>
      <c r="B471" s="9" t="str">
        <f>"54112023062516203563244"</f>
        <v>54112023062516203563244</v>
      </c>
      <c r="C471" s="9" t="s">
        <v>8</v>
      </c>
      <c r="D471" s="9" t="str">
        <f>"王玉叶"</f>
        <v>王玉叶</v>
      </c>
    </row>
    <row r="472" spans="1:4" ht="34.5" customHeight="1">
      <c r="A472" s="8">
        <v>470</v>
      </c>
      <c r="B472" s="9" t="str">
        <f>"54112023062710240673047"</f>
        <v>54112023062710240673047</v>
      </c>
      <c r="C472" s="9" t="s">
        <v>8</v>
      </c>
      <c r="D472" s="9" t="str">
        <f>"吴曼谊"</f>
        <v>吴曼谊</v>
      </c>
    </row>
    <row r="473" spans="1:4" ht="34.5" customHeight="1">
      <c r="A473" s="8">
        <v>471</v>
      </c>
      <c r="B473" s="9" t="str">
        <f>"54112023062712432173674"</f>
        <v>54112023062712432173674</v>
      </c>
      <c r="C473" s="9" t="s">
        <v>8</v>
      </c>
      <c r="D473" s="9" t="str">
        <f>"简天智"</f>
        <v>简天智</v>
      </c>
    </row>
    <row r="474" spans="1:4" ht="34.5" customHeight="1">
      <c r="A474" s="8">
        <v>472</v>
      </c>
      <c r="B474" s="9" t="str">
        <f>"54112023062608210965340"</f>
        <v>54112023062608210965340</v>
      </c>
      <c r="C474" s="9" t="s">
        <v>8</v>
      </c>
      <c r="D474" s="9" t="str">
        <f>"徐桃来"</f>
        <v>徐桃来</v>
      </c>
    </row>
    <row r="475" spans="1:4" ht="34.5" customHeight="1">
      <c r="A475" s="8">
        <v>473</v>
      </c>
      <c r="B475" s="9" t="str">
        <f>"54112023062713481273853"</f>
        <v>54112023062713481273853</v>
      </c>
      <c r="C475" s="9" t="s">
        <v>8</v>
      </c>
      <c r="D475" s="9" t="str">
        <f>"曾根生"</f>
        <v>曾根生</v>
      </c>
    </row>
    <row r="476" spans="1:4" ht="34.5" customHeight="1">
      <c r="A476" s="8">
        <v>474</v>
      </c>
      <c r="B476" s="9" t="str">
        <f>"54112023062715210774191"</f>
        <v>54112023062715210774191</v>
      </c>
      <c r="C476" s="9" t="s">
        <v>8</v>
      </c>
      <c r="D476" s="9" t="str">
        <f>"陈秀联"</f>
        <v>陈秀联</v>
      </c>
    </row>
    <row r="477" spans="1:4" ht="34.5" customHeight="1">
      <c r="A477" s="8">
        <v>475</v>
      </c>
      <c r="B477" s="9" t="str">
        <f>"54112023062716303374495"</f>
        <v>54112023062716303374495</v>
      </c>
      <c r="C477" s="9" t="s">
        <v>8</v>
      </c>
      <c r="D477" s="9" t="str">
        <f>"陈家钰"</f>
        <v>陈家钰</v>
      </c>
    </row>
    <row r="478" spans="1:4" ht="34.5" customHeight="1">
      <c r="A478" s="8">
        <v>476</v>
      </c>
      <c r="B478" s="9" t="str">
        <f>"54112023062617131069997"</f>
        <v>54112023062617131069997</v>
      </c>
      <c r="C478" s="9" t="s">
        <v>8</v>
      </c>
      <c r="D478" s="9" t="str">
        <f>"陈中凯"</f>
        <v>陈中凯</v>
      </c>
    </row>
    <row r="479" spans="1:4" ht="34.5" customHeight="1">
      <c r="A479" s="8">
        <v>477</v>
      </c>
      <c r="B479" s="9" t="str">
        <f>"54112023062619531370745"</f>
        <v>54112023062619531370745</v>
      </c>
      <c r="C479" s="9" t="s">
        <v>8</v>
      </c>
      <c r="D479" s="9" t="str">
        <f>"吴海荣"</f>
        <v>吴海荣</v>
      </c>
    </row>
    <row r="480" spans="1:4" ht="34.5" customHeight="1">
      <c r="A480" s="8">
        <v>478</v>
      </c>
      <c r="B480" s="9" t="str">
        <f>"54112023062513033462146"</f>
        <v>54112023062513033462146</v>
      </c>
      <c r="C480" s="9" t="s">
        <v>8</v>
      </c>
      <c r="D480" s="9" t="str">
        <f>"曾令嘉"</f>
        <v>曾令嘉</v>
      </c>
    </row>
    <row r="481" spans="1:4" ht="34.5" customHeight="1">
      <c r="A481" s="8">
        <v>479</v>
      </c>
      <c r="B481" s="9" t="str">
        <f>"54112023062520173564180"</f>
        <v>54112023062520173564180</v>
      </c>
      <c r="C481" s="9" t="s">
        <v>8</v>
      </c>
      <c r="D481" s="9" t="str">
        <f>"林月圆"</f>
        <v>林月圆</v>
      </c>
    </row>
    <row r="482" spans="1:4" ht="34.5" customHeight="1">
      <c r="A482" s="8">
        <v>480</v>
      </c>
      <c r="B482" s="9" t="str">
        <f>"54112023062721254775954"</f>
        <v>54112023062721254775954</v>
      </c>
      <c r="C482" s="9" t="s">
        <v>8</v>
      </c>
      <c r="D482" s="9" t="str">
        <f>"王首道"</f>
        <v>王首道</v>
      </c>
    </row>
    <row r="483" spans="1:4" ht="34.5" customHeight="1">
      <c r="A483" s="8">
        <v>481</v>
      </c>
      <c r="B483" s="9" t="str">
        <f>"54112023062721450476032"</f>
        <v>54112023062721450476032</v>
      </c>
      <c r="C483" s="9" t="s">
        <v>8</v>
      </c>
      <c r="D483" s="9" t="str">
        <f>"邹健峰"</f>
        <v>邹健峰</v>
      </c>
    </row>
    <row r="484" spans="1:4" ht="34.5" customHeight="1">
      <c r="A484" s="8">
        <v>482</v>
      </c>
      <c r="B484" s="9" t="str">
        <f>"54112023062517553663652"</f>
        <v>54112023062517553663652</v>
      </c>
      <c r="C484" s="9" t="s">
        <v>8</v>
      </c>
      <c r="D484" s="9" t="str">
        <f>"陈科霖"</f>
        <v>陈科霖</v>
      </c>
    </row>
    <row r="485" spans="1:4" ht="34.5" customHeight="1">
      <c r="A485" s="8">
        <v>483</v>
      </c>
      <c r="B485" s="9" t="str">
        <f>"54112023062800133676373"</f>
        <v>54112023062800133676373</v>
      </c>
      <c r="C485" s="9" t="s">
        <v>8</v>
      </c>
      <c r="D485" s="9" t="str">
        <f>"陈丽莹"</f>
        <v>陈丽莹</v>
      </c>
    </row>
    <row r="486" spans="1:4" ht="34.5" customHeight="1">
      <c r="A486" s="8">
        <v>484</v>
      </c>
      <c r="B486" s="9" t="str">
        <f>"54112023062810052777037"</f>
        <v>54112023062810052777037</v>
      </c>
      <c r="C486" s="9" t="s">
        <v>8</v>
      </c>
      <c r="D486" s="9" t="str">
        <f>"王昭宇"</f>
        <v>王昭宇</v>
      </c>
    </row>
    <row r="487" spans="1:4" ht="34.5" customHeight="1">
      <c r="A487" s="8">
        <v>485</v>
      </c>
      <c r="B487" s="9" t="str">
        <f>"54112023062811114577425"</f>
        <v>54112023062811114577425</v>
      </c>
      <c r="C487" s="9" t="s">
        <v>8</v>
      </c>
      <c r="D487" s="9" t="str">
        <f>"翁海花"</f>
        <v>翁海花</v>
      </c>
    </row>
    <row r="488" spans="1:4" ht="34.5" customHeight="1">
      <c r="A488" s="8">
        <v>486</v>
      </c>
      <c r="B488" s="9" t="str">
        <f>"54112023062810471277290"</f>
        <v>54112023062810471277290</v>
      </c>
      <c r="C488" s="9" t="s">
        <v>8</v>
      </c>
      <c r="D488" s="9" t="str">
        <f>"陈丽丽"</f>
        <v>陈丽丽</v>
      </c>
    </row>
    <row r="489" spans="1:4" ht="34.5" customHeight="1">
      <c r="A489" s="8">
        <v>487</v>
      </c>
      <c r="B489" s="9" t="str">
        <f>"54112023062722482376221"</f>
        <v>54112023062722482376221</v>
      </c>
      <c r="C489" s="9" t="s">
        <v>8</v>
      </c>
      <c r="D489" s="9" t="str">
        <f>"欧明宏"</f>
        <v>欧明宏</v>
      </c>
    </row>
    <row r="490" spans="1:4" ht="34.5" customHeight="1">
      <c r="A490" s="8">
        <v>488</v>
      </c>
      <c r="B490" s="9" t="str">
        <f>"54112023062514395162585"</f>
        <v>54112023062514395162585</v>
      </c>
      <c r="C490" s="9" t="s">
        <v>8</v>
      </c>
      <c r="D490" s="9" t="str">
        <f>"朱金丽"</f>
        <v>朱金丽</v>
      </c>
    </row>
    <row r="491" spans="1:4" ht="34.5" customHeight="1">
      <c r="A491" s="8">
        <v>489</v>
      </c>
      <c r="B491" s="9" t="str">
        <f>"54112023062812493677886"</f>
        <v>54112023062812493677886</v>
      </c>
      <c r="C491" s="9" t="s">
        <v>8</v>
      </c>
      <c r="D491" s="9" t="str">
        <f>"薛芳芳"</f>
        <v>薛芳芳</v>
      </c>
    </row>
    <row r="492" spans="1:4" ht="34.5" customHeight="1">
      <c r="A492" s="8">
        <v>490</v>
      </c>
      <c r="B492" s="9" t="str">
        <f>"54112023062812502677888"</f>
        <v>54112023062812502677888</v>
      </c>
      <c r="C492" s="9" t="s">
        <v>8</v>
      </c>
      <c r="D492" s="9" t="str">
        <f>"邓华清"</f>
        <v>邓华清</v>
      </c>
    </row>
    <row r="493" spans="1:4" ht="34.5" customHeight="1">
      <c r="A493" s="8">
        <v>491</v>
      </c>
      <c r="B493" s="9" t="str">
        <f>"54112023062816004878630"</f>
        <v>54112023062816004878630</v>
      </c>
      <c r="C493" s="9" t="s">
        <v>8</v>
      </c>
      <c r="D493" s="9" t="str">
        <f>"林彩美"</f>
        <v>林彩美</v>
      </c>
    </row>
    <row r="494" spans="1:4" ht="34.5" customHeight="1">
      <c r="A494" s="8">
        <v>492</v>
      </c>
      <c r="B494" s="9" t="str">
        <f>"54112023062820324179595"</f>
        <v>54112023062820324179595</v>
      </c>
      <c r="C494" s="9" t="s">
        <v>8</v>
      </c>
      <c r="D494" s="9" t="str">
        <f>"王小妹"</f>
        <v>王小妹</v>
      </c>
    </row>
    <row r="495" spans="1:4" ht="34.5" customHeight="1">
      <c r="A495" s="8">
        <v>493</v>
      </c>
      <c r="B495" s="9" t="str">
        <f>"54112023062521130864441"</f>
        <v>54112023062521130864441</v>
      </c>
      <c r="C495" s="9" t="s">
        <v>8</v>
      </c>
      <c r="D495" s="9" t="str">
        <f>"蒙庆"</f>
        <v>蒙庆</v>
      </c>
    </row>
    <row r="496" spans="1:4" ht="34.5" customHeight="1">
      <c r="A496" s="8">
        <v>494</v>
      </c>
      <c r="B496" s="9" t="str">
        <f>"54112023062909162980906"</f>
        <v>54112023062909162980906</v>
      </c>
      <c r="C496" s="9" t="s">
        <v>8</v>
      </c>
      <c r="D496" s="9" t="str">
        <f>"刘玲叶"</f>
        <v>刘玲叶</v>
      </c>
    </row>
    <row r="497" spans="1:4" ht="34.5" customHeight="1">
      <c r="A497" s="8">
        <v>495</v>
      </c>
      <c r="B497" s="9" t="str">
        <f>"54112023062909344681071"</f>
        <v>54112023062909344681071</v>
      </c>
      <c r="C497" s="9" t="s">
        <v>8</v>
      </c>
      <c r="D497" s="9" t="str">
        <f>"王一云"</f>
        <v>王一云</v>
      </c>
    </row>
    <row r="498" spans="1:4" ht="34.5" customHeight="1">
      <c r="A498" s="8">
        <v>496</v>
      </c>
      <c r="B498" s="9" t="str">
        <f>"54112023062911133782022"</f>
        <v>54112023062911133782022</v>
      </c>
      <c r="C498" s="9" t="s">
        <v>8</v>
      </c>
      <c r="D498" s="9" t="str">
        <f>"陈庆丽"</f>
        <v>陈庆丽</v>
      </c>
    </row>
    <row r="499" spans="1:4" ht="34.5" customHeight="1">
      <c r="A499" s="8">
        <v>497</v>
      </c>
      <c r="B499" s="9" t="str">
        <f>"54112023062911170682044"</f>
        <v>54112023062911170682044</v>
      </c>
      <c r="C499" s="9" t="s">
        <v>8</v>
      </c>
      <c r="D499" s="9" t="str">
        <f>"林施妹"</f>
        <v>林施妹</v>
      </c>
    </row>
    <row r="500" spans="1:4" ht="34.5" customHeight="1">
      <c r="A500" s="8">
        <v>498</v>
      </c>
      <c r="B500" s="9" t="str">
        <f>"54112023062911210582076"</f>
        <v>54112023062911210582076</v>
      </c>
      <c r="C500" s="9" t="s">
        <v>8</v>
      </c>
      <c r="D500" s="9" t="str">
        <f>"吴梅转"</f>
        <v>吴梅转</v>
      </c>
    </row>
    <row r="501" spans="1:4" ht="34.5" customHeight="1">
      <c r="A501" s="8">
        <v>499</v>
      </c>
      <c r="B501" s="9" t="str">
        <f>"54112023062912533282652"</f>
        <v>54112023062912533282652</v>
      </c>
      <c r="C501" s="9" t="s">
        <v>8</v>
      </c>
      <c r="D501" s="9" t="str">
        <f>"郭坤女"</f>
        <v>郭坤女</v>
      </c>
    </row>
    <row r="502" spans="1:4" ht="34.5" customHeight="1">
      <c r="A502" s="8">
        <v>500</v>
      </c>
      <c r="B502" s="9" t="str">
        <f>"54112023062913431082887"</f>
        <v>54112023062913431082887</v>
      </c>
      <c r="C502" s="9" t="s">
        <v>8</v>
      </c>
      <c r="D502" s="9" t="str">
        <f>"陈莹"</f>
        <v>陈莹</v>
      </c>
    </row>
    <row r="503" spans="1:4" ht="34.5" customHeight="1">
      <c r="A503" s="8">
        <v>501</v>
      </c>
      <c r="B503" s="9" t="str">
        <f>"54112023062508572259752"</f>
        <v>54112023062508572259752</v>
      </c>
      <c r="C503" s="9" t="s">
        <v>8</v>
      </c>
      <c r="D503" s="9" t="str">
        <f>"陈夏珍"</f>
        <v>陈夏珍</v>
      </c>
    </row>
    <row r="504" spans="1:4" ht="34.5" customHeight="1">
      <c r="A504" s="8">
        <v>502</v>
      </c>
      <c r="B504" s="9" t="str">
        <f>"54112023062512043361738"</f>
        <v>54112023062512043361738</v>
      </c>
      <c r="C504" s="9" t="s">
        <v>8</v>
      </c>
      <c r="D504" s="9" t="str">
        <f>"黄海烁"</f>
        <v>黄海烁</v>
      </c>
    </row>
    <row r="505" spans="1:4" ht="34.5" customHeight="1">
      <c r="A505" s="8">
        <v>503</v>
      </c>
      <c r="B505" s="9" t="str">
        <f>"54112023062920394585253"</f>
        <v>54112023062920394585253</v>
      </c>
      <c r="C505" s="9" t="s">
        <v>8</v>
      </c>
      <c r="D505" s="9" t="str">
        <f>"陈余英"</f>
        <v>陈余英</v>
      </c>
    </row>
    <row r="506" spans="1:4" ht="34.5" customHeight="1">
      <c r="A506" s="8">
        <v>504</v>
      </c>
      <c r="B506" s="9" t="str">
        <f>"54112023062915392683547"</f>
        <v>54112023062915392683547</v>
      </c>
      <c r="C506" s="9" t="s">
        <v>8</v>
      </c>
      <c r="D506" s="9" t="str">
        <f>"郑秋香"</f>
        <v>郑秋香</v>
      </c>
    </row>
    <row r="507" spans="1:4" ht="34.5" customHeight="1">
      <c r="A507" s="8">
        <v>505</v>
      </c>
      <c r="B507" s="9" t="str">
        <f>"54112023062720220775696"</f>
        <v>54112023062720220775696</v>
      </c>
      <c r="C507" s="9" t="s">
        <v>8</v>
      </c>
      <c r="D507" s="9" t="str">
        <f>"符筱霞"</f>
        <v>符筱霞</v>
      </c>
    </row>
    <row r="508" spans="1:4" ht="34.5" customHeight="1">
      <c r="A508" s="8">
        <v>506</v>
      </c>
      <c r="B508" s="9" t="str">
        <f>"54112023062922223785935"</f>
        <v>54112023062922223785935</v>
      </c>
      <c r="C508" s="9" t="s">
        <v>8</v>
      </c>
      <c r="D508" s="9" t="str">
        <f>"王小宾"</f>
        <v>王小宾</v>
      </c>
    </row>
    <row r="509" spans="1:4" ht="34.5" customHeight="1">
      <c r="A509" s="8">
        <v>507</v>
      </c>
      <c r="B509" s="9" t="str">
        <f>"54112023062922484586087"</f>
        <v>54112023062922484586087</v>
      </c>
      <c r="C509" s="9" t="s">
        <v>8</v>
      </c>
      <c r="D509" s="9" t="str">
        <f>"王萍艳"</f>
        <v>王萍艳</v>
      </c>
    </row>
    <row r="510" spans="1:4" ht="34.5" customHeight="1">
      <c r="A510" s="8">
        <v>508</v>
      </c>
      <c r="B510" s="9" t="str">
        <f>"54112023062518153963721"</f>
        <v>54112023062518153963721</v>
      </c>
      <c r="C510" s="9" t="s">
        <v>8</v>
      </c>
      <c r="D510" s="9" t="str">
        <f>"蔡乔乔"</f>
        <v>蔡乔乔</v>
      </c>
    </row>
    <row r="511" spans="1:4" ht="34.5" customHeight="1">
      <c r="A511" s="8">
        <v>509</v>
      </c>
      <c r="B511" s="9" t="str">
        <f>"54112023063008392286848"</f>
        <v>54112023063008392286848</v>
      </c>
      <c r="C511" s="9" t="s">
        <v>8</v>
      </c>
      <c r="D511" s="9" t="str">
        <f>"林升恒"</f>
        <v>林升恒</v>
      </c>
    </row>
    <row r="512" spans="1:4" ht="34.5" customHeight="1">
      <c r="A512" s="8">
        <v>510</v>
      </c>
      <c r="B512" s="9" t="str">
        <f>"54112023063011163987923"</f>
        <v>54112023063011163987923</v>
      </c>
      <c r="C512" s="9" t="s">
        <v>8</v>
      </c>
      <c r="D512" s="9" t="str">
        <f>"李倩"</f>
        <v>李倩</v>
      </c>
    </row>
    <row r="513" spans="1:4" ht="34.5" customHeight="1">
      <c r="A513" s="8">
        <v>511</v>
      </c>
      <c r="B513" s="9" t="str">
        <f>"54112023063011284287994"</f>
        <v>54112023063011284287994</v>
      </c>
      <c r="C513" s="9" t="s">
        <v>8</v>
      </c>
      <c r="D513" s="9" t="str">
        <f>"朱树花"</f>
        <v>朱树花</v>
      </c>
    </row>
    <row r="514" spans="1:4" ht="34.5" customHeight="1">
      <c r="A514" s="8">
        <v>512</v>
      </c>
      <c r="B514" s="9" t="str">
        <f>"54112023062812550377905"</f>
        <v>54112023062812550377905</v>
      </c>
      <c r="C514" s="9" t="s">
        <v>8</v>
      </c>
      <c r="D514" s="9" t="str">
        <f>"黄方"</f>
        <v>黄方</v>
      </c>
    </row>
    <row r="515" spans="1:4" ht="34.5" customHeight="1">
      <c r="A515" s="8">
        <v>513</v>
      </c>
      <c r="B515" s="9" t="str">
        <f>"54112023062514485962649"</f>
        <v>54112023062514485962649</v>
      </c>
      <c r="C515" s="9" t="s">
        <v>8</v>
      </c>
      <c r="D515" s="9" t="str">
        <f>"李艳萍"</f>
        <v>李艳萍</v>
      </c>
    </row>
    <row r="516" spans="1:4" ht="34.5" customHeight="1">
      <c r="A516" s="8">
        <v>514</v>
      </c>
      <c r="B516" s="9" t="str">
        <f>"54112023063014171088946"</f>
        <v>54112023063014171088946</v>
      </c>
      <c r="C516" s="9" t="s">
        <v>8</v>
      </c>
      <c r="D516" s="9" t="str">
        <f>"张雯昕"</f>
        <v>张雯昕</v>
      </c>
    </row>
    <row r="517" spans="1:4" ht="34.5" customHeight="1">
      <c r="A517" s="8">
        <v>515</v>
      </c>
      <c r="B517" s="9" t="str">
        <f>"54112023063014291689026"</f>
        <v>54112023063014291689026</v>
      </c>
      <c r="C517" s="9" t="s">
        <v>8</v>
      </c>
      <c r="D517" s="9" t="str">
        <f>"钟林蓉"</f>
        <v>钟林蓉</v>
      </c>
    </row>
    <row r="518" spans="1:4" ht="34.5" customHeight="1">
      <c r="A518" s="8">
        <v>516</v>
      </c>
      <c r="B518" s="9" t="str">
        <f>"54112023063015134189385"</f>
        <v>54112023063015134189385</v>
      </c>
      <c r="C518" s="9" t="s">
        <v>8</v>
      </c>
      <c r="D518" s="9" t="str">
        <f>"唐艳婷"</f>
        <v>唐艳婷</v>
      </c>
    </row>
    <row r="519" spans="1:4" ht="34.5" customHeight="1">
      <c r="A519" s="8">
        <v>517</v>
      </c>
      <c r="B519" s="9" t="str">
        <f>"54112023063014584289252"</f>
        <v>54112023063014584289252</v>
      </c>
      <c r="C519" s="9" t="s">
        <v>8</v>
      </c>
      <c r="D519" s="9" t="str">
        <f>"符永星"</f>
        <v>符永星</v>
      </c>
    </row>
    <row r="520" spans="1:4" ht="34.5" customHeight="1">
      <c r="A520" s="8">
        <v>518</v>
      </c>
      <c r="B520" s="9" t="str">
        <f>"54112023063023435090716"</f>
        <v>54112023063023435090716</v>
      </c>
      <c r="C520" s="9" t="s">
        <v>8</v>
      </c>
      <c r="D520" s="9" t="str">
        <f>"王彩虹"</f>
        <v>王彩虹</v>
      </c>
    </row>
    <row r="521" spans="1:4" ht="34.5" customHeight="1">
      <c r="A521" s="8">
        <v>519</v>
      </c>
      <c r="B521" s="9" t="str">
        <f>"54112023070100194490766"</f>
        <v>54112023070100194490766</v>
      </c>
      <c r="C521" s="9" t="s">
        <v>8</v>
      </c>
      <c r="D521" s="9" t="str">
        <f>"李冬舅"</f>
        <v>李冬舅</v>
      </c>
    </row>
    <row r="522" spans="1:4" ht="34.5" customHeight="1">
      <c r="A522" s="8">
        <v>520</v>
      </c>
      <c r="B522" s="9" t="str">
        <f>"54112023070110361691117"</f>
        <v>54112023070110361691117</v>
      </c>
      <c r="C522" s="9" t="s">
        <v>8</v>
      </c>
      <c r="D522" s="9" t="str">
        <f>"陈小冬"</f>
        <v>陈小冬</v>
      </c>
    </row>
    <row r="523" spans="1:4" ht="34.5" customHeight="1">
      <c r="A523" s="8">
        <v>521</v>
      </c>
      <c r="B523" s="9" t="str">
        <f>"54112023062917111784197"</f>
        <v>54112023062917111784197</v>
      </c>
      <c r="C523" s="9" t="s">
        <v>8</v>
      </c>
      <c r="D523" s="9" t="str">
        <f>"陈太淑"</f>
        <v>陈太淑</v>
      </c>
    </row>
    <row r="524" spans="1:4" ht="34.5" customHeight="1">
      <c r="A524" s="8">
        <v>522</v>
      </c>
      <c r="B524" s="9" t="str">
        <f>"54112023070114014991558"</f>
        <v>54112023070114014991558</v>
      </c>
      <c r="C524" s="9" t="s">
        <v>8</v>
      </c>
      <c r="D524" s="9" t="str">
        <f>"吴家和"</f>
        <v>吴家和</v>
      </c>
    </row>
    <row r="525" spans="1:4" ht="34.5" customHeight="1">
      <c r="A525" s="8">
        <v>523</v>
      </c>
      <c r="B525" s="9" t="str">
        <f>"54112023070115420391725"</f>
        <v>54112023070115420391725</v>
      </c>
      <c r="C525" s="9" t="s">
        <v>8</v>
      </c>
      <c r="D525" s="9" t="str">
        <f>"王丽娟"</f>
        <v>王丽娟</v>
      </c>
    </row>
    <row r="526" spans="1:4" ht="34.5" customHeight="1">
      <c r="A526" s="8">
        <v>524</v>
      </c>
      <c r="B526" s="9" t="str">
        <f>"54112023062710034072601"</f>
        <v>54112023062710034072601</v>
      </c>
      <c r="C526" s="9" t="s">
        <v>8</v>
      </c>
      <c r="D526" s="9" t="str">
        <f>"颜明"</f>
        <v>颜明</v>
      </c>
    </row>
    <row r="527" spans="1:4" ht="34.5" customHeight="1">
      <c r="A527" s="8">
        <v>525</v>
      </c>
      <c r="B527" s="9" t="str">
        <f>"54112023070113584891553"</f>
        <v>54112023070113584891553</v>
      </c>
      <c r="C527" s="9" t="s">
        <v>8</v>
      </c>
      <c r="D527" s="9" t="str">
        <f>"黄玉宝"</f>
        <v>黄玉宝</v>
      </c>
    </row>
    <row r="528" spans="1:4" ht="34.5" customHeight="1">
      <c r="A528" s="8">
        <v>526</v>
      </c>
      <c r="B528" s="9" t="str">
        <f>"54112023063014415989116"</f>
        <v>54112023063014415989116</v>
      </c>
      <c r="C528" s="9" t="s">
        <v>8</v>
      </c>
      <c r="D528" s="9" t="str">
        <f>"袁美娴"</f>
        <v>袁美娴</v>
      </c>
    </row>
    <row r="529" spans="1:4" ht="34.5" customHeight="1">
      <c r="A529" s="8">
        <v>527</v>
      </c>
      <c r="B529" s="9" t="str">
        <f>"54112023063018012090081"</f>
        <v>54112023063018012090081</v>
      </c>
      <c r="C529" s="9" t="s">
        <v>8</v>
      </c>
      <c r="D529" s="9" t="str">
        <f>"郑惟佑"</f>
        <v>郑惟佑</v>
      </c>
    </row>
    <row r="530" spans="1:4" ht="34.5" customHeight="1">
      <c r="A530" s="8">
        <v>528</v>
      </c>
      <c r="B530" s="9" t="str">
        <f>"54112023070207432792807"</f>
        <v>54112023070207432792807</v>
      </c>
      <c r="C530" s="9" t="s">
        <v>8</v>
      </c>
      <c r="D530" s="9" t="str">
        <f>"梁小叶"</f>
        <v>梁小叶</v>
      </c>
    </row>
    <row r="531" spans="1:4" ht="34.5" customHeight="1">
      <c r="A531" s="8">
        <v>529</v>
      </c>
      <c r="B531" s="9" t="str">
        <f>"54112023070209125892978"</f>
        <v>54112023070209125892978</v>
      </c>
      <c r="C531" s="9" t="s">
        <v>8</v>
      </c>
      <c r="D531" s="9" t="str">
        <f>"符万方"</f>
        <v>符万方</v>
      </c>
    </row>
    <row r="532" spans="1:4" ht="34.5" customHeight="1">
      <c r="A532" s="8">
        <v>530</v>
      </c>
      <c r="B532" s="9" t="str">
        <f>"54112023062913353682856"</f>
        <v>54112023062913353682856</v>
      </c>
      <c r="C532" s="9" t="s">
        <v>8</v>
      </c>
      <c r="D532" s="9" t="str">
        <f>"庞华"</f>
        <v>庞华</v>
      </c>
    </row>
    <row r="533" spans="1:4" ht="34.5" customHeight="1">
      <c r="A533" s="8">
        <v>531</v>
      </c>
      <c r="B533" s="9" t="str">
        <f>"54112023070210001393089"</f>
        <v>54112023070210001393089</v>
      </c>
      <c r="C533" s="9" t="s">
        <v>8</v>
      </c>
      <c r="D533" s="9" t="str">
        <f>"林颂宇"</f>
        <v>林颂宇</v>
      </c>
    </row>
    <row r="534" spans="1:4" ht="34.5" customHeight="1">
      <c r="A534" s="8">
        <v>532</v>
      </c>
      <c r="B534" s="9" t="str">
        <f>"54112023070210225393147"</f>
        <v>54112023070210225393147</v>
      </c>
      <c r="C534" s="9" t="s">
        <v>8</v>
      </c>
      <c r="D534" s="9" t="str">
        <f>"苏元丽"</f>
        <v>苏元丽</v>
      </c>
    </row>
    <row r="535" spans="1:4" ht="34.5" customHeight="1">
      <c r="A535" s="8">
        <v>533</v>
      </c>
      <c r="B535" s="9" t="str">
        <f>"54112023070211442793385"</f>
        <v>54112023070211442793385</v>
      </c>
      <c r="C535" s="9" t="s">
        <v>8</v>
      </c>
      <c r="D535" s="9" t="str">
        <f>"古德丽"</f>
        <v>古德丽</v>
      </c>
    </row>
    <row r="536" spans="1:4" ht="34.5" customHeight="1">
      <c r="A536" s="8">
        <v>534</v>
      </c>
      <c r="B536" s="9" t="str">
        <f>"54112023070212052793443"</f>
        <v>54112023070212052793443</v>
      </c>
      <c r="C536" s="9" t="s">
        <v>8</v>
      </c>
      <c r="D536" s="9" t="str">
        <f>"洪彩欢"</f>
        <v>洪彩欢</v>
      </c>
    </row>
    <row r="537" spans="1:4" ht="34.5" customHeight="1">
      <c r="A537" s="8">
        <v>535</v>
      </c>
      <c r="B537" s="9" t="str">
        <f>"54112023070212191193480"</f>
        <v>54112023070212191193480</v>
      </c>
      <c r="C537" s="9" t="s">
        <v>8</v>
      </c>
      <c r="D537" s="9" t="str">
        <f>"符诗燕"</f>
        <v>符诗燕</v>
      </c>
    </row>
    <row r="538" spans="1:4" ht="34.5" customHeight="1">
      <c r="A538" s="8">
        <v>536</v>
      </c>
      <c r="B538" s="9" t="str">
        <f>"54112023070216145494054"</f>
        <v>54112023070216145494054</v>
      </c>
      <c r="C538" s="9" t="s">
        <v>8</v>
      </c>
      <c r="D538" s="9" t="str">
        <f>"李珍"</f>
        <v>李珍</v>
      </c>
    </row>
    <row r="539" spans="1:4" ht="34.5" customHeight="1">
      <c r="A539" s="8">
        <v>537</v>
      </c>
      <c r="B539" s="9" t="str">
        <f>"54112023062911064681975"</f>
        <v>54112023062911064681975</v>
      </c>
      <c r="C539" s="9" t="s">
        <v>8</v>
      </c>
      <c r="D539" s="9" t="str">
        <f>"陈联威"</f>
        <v>陈联威</v>
      </c>
    </row>
    <row r="540" spans="1:4" ht="34.5" customHeight="1">
      <c r="A540" s="8">
        <v>538</v>
      </c>
      <c r="B540" s="9" t="str">
        <f>"54112023062617033869943"</f>
        <v>54112023062617033869943</v>
      </c>
      <c r="C540" s="9" t="s">
        <v>8</v>
      </c>
      <c r="D540" s="9" t="str">
        <f>"王明祎"</f>
        <v>王明祎</v>
      </c>
    </row>
    <row r="541" spans="1:4" ht="34.5" customHeight="1">
      <c r="A541" s="8">
        <v>539</v>
      </c>
      <c r="B541" s="9" t="str">
        <f>"54112023063018084590107"</f>
        <v>54112023063018084590107</v>
      </c>
      <c r="C541" s="9" t="s">
        <v>8</v>
      </c>
      <c r="D541" s="9" t="str">
        <f>"邢琛琛"</f>
        <v>邢琛琛</v>
      </c>
    </row>
    <row r="542" spans="1:4" ht="34.5" customHeight="1">
      <c r="A542" s="8">
        <v>540</v>
      </c>
      <c r="B542" s="9" t="str">
        <f>"54112023070221293594763"</f>
        <v>54112023070221293594763</v>
      </c>
      <c r="C542" s="9" t="s">
        <v>8</v>
      </c>
      <c r="D542" s="9" t="str">
        <f>"叶秋雅"</f>
        <v>叶秋雅</v>
      </c>
    </row>
    <row r="543" spans="1:4" ht="34.5" customHeight="1">
      <c r="A543" s="8">
        <v>541</v>
      </c>
      <c r="B543" s="9" t="str">
        <f>"54112023070221383994794"</f>
        <v>54112023070221383994794</v>
      </c>
      <c r="C543" s="9" t="s">
        <v>8</v>
      </c>
      <c r="D543" s="9" t="str">
        <f>"陈海霞"</f>
        <v>陈海霞</v>
      </c>
    </row>
    <row r="544" spans="1:4" ht="34.5" customHeight="1">
      <c r="A544" s="8">
        <v>542</v>
      </c>
      <c r="B544" s="9" t="str">
        <f>"54112023070222271394929"</f>
        <v>54112023070222271394929</v>
      </c>
      <c r="C544" s="9" t="s">
        <v>8</v>
      </c>
      <c r="D544" s="9" t="str">
        <f>"林诗梦"</f>
        <v>林诗梦</v>
      </c>
    </row>
    <row r="545" spans="1:4" ht="34.5" customHeight="1">
      <c r="A545" s="8">
        <v>543</v>
      </c>
      <c r="B545" s="9" t="str">
        <f>"54112023062923513686352"</f>
        <v>54112023062923513686352</v>
      </c>
      <c r="C545" s="9" t="s">
        <v>8</v>
      </c>
      <c r="D545" s="9" t="str">
        <f>"高云蕊"</f>
        <v>高云蕊</v>
      </c>
    </row>
    <row r="546" spans="1:4" ht="34.5" customHeight="1">
      <c r="A546" s="8">
        <v>544</v>
      </c>
      <c r="B546" s="9" t="str">
        <f>"54112023070223284595074"</f>
        <v>54112023070223284595074</v>
      </c>
      <c r="C546" s="9" t="s">
        <v>8</v>
      </c>
      <c r="D546" s="9" t="str">
        <f>"李定爱"</f>
        <v>李定爱</v>
      </c>
    </row>
    <row r="547" spans="1:4" ht="34.5" customHeight="1">
      <c r="A547" s="8">
        <v>545</v>
      </c>
      <c r="B547" s="9" t="str">
        <f>"54112023070222485394990"</f>
        <v>54112023070222485394990</v>
      </c>
      <c r="C547" s="9" t="s">
        <v>8</v>
      </c>
      <c r="D547" s="9" t="str">
        <f>"林颖"</f>
        <v>林颖</v>
      </c>
    </row>
    <row r="548" spans="1:4" ht="34.5" customHeight="1">
      <c r="A548" s="8">
        <v>546</v>
      </c>
      <c r="B548" s="9" t="str">
        <f>"54112023070300005595130"</f>
        <v>54112023070300005595130</v>
      </c>
      <c r="C548" s="9" t="s">
        <v>8</v>
      </c>
      <c r="D548" s="9" t="str">
        <f>"谢宾慧"</f>
        <v>谢宾慧</v>
      </c>
    </row>
    <row r="549" spans="1:4" ht="34.5" customHeight="1">
      <c r="A549" s="8">
        <v>547</v>
      </c>
      <c r="B549" s="9" t="str">
        <f>"54112023062509352160162"</f>
        <v>54112023062509352160162</v>
      </c>
      <c r="C549" s="9" t="s">
        <v>8</v>
      </c>
      <c r="D549" s="9" t="str">
        <f>"颜承鹏"</f>
        <v>颜承鹏</v>
      </c>
    </row>
    <row r="550" spans="1:4" ht="34.5" customHeight="1">
      <c r="A550" s="8">
        <v>548</v>
      </c>
      <c r="B550" s="9" t="str">
        <f>"54112023070308083895279"</f>
        <v>54112023070308083895279</v>
      </c>
      <c r="C550" s="9" t="s">
        <v>8</v>
      </c>
      <c r="D550" s="9" t="str">
        <f>"张成艳"</f>
        <v>张成艳</v>
      </c>
    </row>
    <row r="551" spans="1:4" ht="34.5" customHeight="1">
      <c r="A551" s="8">
        <v>549</v>
      </c>
      <c r="B551" s="9" t="str">
        <f>"54112023070307225395237"</f>
        <v>54112023070307225395237</v>
      </c>
      <c r="C551" s="9" t="s">
        <v>8</v>
      </c>
      <c r="D551" s="9" t="str">
        <f>"李文茹"</f>
        <v>李文茹</v>
      </c>
    </row>
    <row r="552" spans="1:4" ht="34.5" customHeight="1">
      <c r="A552" s="8">
        <v>550</v>
      </c>
      <c r="B552" s="9" t="str">
        <f>"54112023070308430895372"</f>
        <v>54112023070308430895372</v>
      </c>
      <c r="C552" s="9" t="s">
        <v>8</v>
      </c>
      <c r="D552" s="9" t="str">
        <f>"曾德珠"</f>
        <v>曾德珠</v>
      </c>
    </row>
    <row r="553" spans="1:4" ht="34.5" customHeight="1">
      <c r="A553" s="8">
        <v>551</v>
      </c>
      <c r="B553" s="9" t="str">
        <f>"54112023070223230395060"</f>
        <v>54112023070223230395060</v>
      </c>
      <c r="C553" s="9" t="s">
        <v>8</v>
      </c>
      <c r="D553" s="9" t="str">
        <f>"曾秀燕"</f>
        <v>曾秀燕</v>
      </c>
    </row>
    <row r="554" spans="1:4" ht="34.5" customHeight="1">
      <c r="A554" s="8">
        <v>552</v>
      </c>
      <c r="B554" s="9" t="str">
        <f>"54112023070209514193064"</f>
        <v>54112023070209514193064</v>
      </c>
      <c r="C554" s="9" t="s">
        <v>8</v>
      </c>
      <c r="D554" s="9" t="str">
        <f>"陈思思"</f>
        <v>陈思思</v>
      </c>
    </row>
    <row r="555" spans="1:4" ht="34.5" customHeight="1">
      <c r="A555" s="8">
        <v>553</v>
      </c>
      <c r="B555" s="9" t="str">
        <f>"54112023070219112194425"</f>
        <v>54112023070219112194425</v>
      </c>
      <c r="C555" s="9" t="s">
        <v>8</v>
      </c>
      <c r="D555" s="9" t="str">
        <f>"王雪真"</f>
        <v>王雪真</v>
      </c>
    </row>
    <row r="556" spans="1:4" ht="34.5" customHeight="1">
      <c r="A556" s="8">
        <v>554</v>
      </c>
      <c r="B556" s="9" t="str">
        <f>"54112023070221390494795"</f>
        <v>54112023070221390494795</v>
      </c>
      <c r="C556" s="9" t="s">
        <v>8</v>
      </c>
      <c r="D556" s="9" t="str">
        <f>"黄小琼"</f>
        <v>黄小琼</v>
      </c>
    </row>
    <row r="557" spans="1:4" ht="34.5" customHeight="1">
      <c r="A557" s="8">
        <v>555</v>
      </c>
      <c r="B557" s="9" t="str">
        <f>"54112023070309512295982"</f>
        <v>54112023070309512295982</v>
      </c>
      <c r="C557" s="9" t="s">
        <v>8</v>
      </c>
      <c r="D557" s="9" t="str">
        <f>"林海选"</f>
        <v>林海选</v>
      </c>
    </row>
    <row r="558" spans="1:4" ht="34.5" customHeight="1">
      <c r="A558" s="8">
        <v>556</v>
      </c>
      <c r="B558" s="9" t="str">
        <f>"54112023070223185895055"</f>
        <v>54112023070223185895055</v>
      </c>
      <c r="C558" s="9" t="s">
        <v>8</v>
      </c>
      <c r="D558" s="9" t="str">
        <f>"陈奕金"</f>
        <v>陈奕金</v>
      </c>
    </row>
    <row r="559" spans="1:4" ht="34.5" customHeight="1">
      <c r="A559" s="8">
        <v>557</v>
      </c>
      <c r="B559" s="9" t="str">
        <f>"54112023070309485995958"</f>
        <v>54112023070309485995958</v>
      </c>
      <c r="C559" s="9" t="s">
        <v>8</v>
      </c>
      <c r="D559" s="9" t="str">
        <f>"林泽伟"</f>
        <v>林泽伟</v>
      </c>
    </row>
    <row r="560" spans="1:4" ht="34.5" customHeight="1">
      <c r="A560" s="8">
        <v>558</v>
      </c>
      <c r="B560" s="9" t="str">
        <f>"54112023063017135089978"</f>
        <v>54112023063017135089978</v>
      </c>
      <c r="C560" s="9" t="s">
        <v>8</v>
      </c>
      <c r="D560" s="9" t="str">
        <f>"夏啸珍"</f>
        <v>夏啸珍</v>
      </c>
    </row>
    <row r="561" spans="1:4" ht="34.5" customHeight="1">
      <c r="A561" s="8">
        <v>559</v>
      </c>
      <c r="B561" s="9" t="str">
        <f>"54112023070312283497059"</f>
        <v>54112023070312283497059</v>
      </c>
      <c r="C561" s="9" t="s">
        <v>8</v>
      </c>
      <c r="D561" s="9" t="str">
        <f>"符怡伦"</f>
        <v>符怡伦</v>
      </c>
    </row>
    <row r="562" spans="1:4" ht="34.5" customHeight="1">
      <c r="A562" s="8">
        <v>560</v>
      </c>
      <c r="B562" s="9" t="str">
        <f>"54112023070312514497198"</f>
        <v>54112023070312514497198</v>
      </c>
      <c r="C562" s="9" t="s">
        <v>8</v>
      </c>
      <c r="D562" s="9" t="str">
        <f>" 符燕莹"</f>
        <v> 符燕莹</v>
      </c>
    </row>
    <row r="563" spans="1:4" ht="34.5" customHeight="1">
      <c r="A563" s="8">
        <v>561</v>
      </c>
      <c r="B563" s="9" t="str">
        <f>"54112023070314414297678"</f>
        <v>54112023070314414297678</v>
      </c>
      <c r="C563" s="9" t="s">
        <v>8</v>
      </c>
      <c r="D563" s="9" t="str">
        <f>"周丽妃"</f>
        <v>周丽妃</v>
      </c>
    </row>
    <row r="564" spans="1:4" ht="34.5" customHeight="1">
      <c r="A564" s="8">
        <v>562</v>
      </c>
      <c r="B564" s="9" t="str">
        <f>"54112023070315111397856"</f>
        <v>54112023070315111397856</v>
      </c>
      <c r="C564" s="9" t="s">
        <v>8</v>
      </c>
      <c r="D564" s="9" t="str">
        <f>"徐丽梅"</f>
        <v>徐丽梅</v>
      </c>
    </row>
    <row r="565" spans="1:4" ht="34.5" customHeight="1">
      <c r="A565" s="8">
        <v>563</v>
      </c>
      <c r="B565" s="9" t="str">
        <f>"54112023062613175368530"</f>
        <v>54112023062613175368530</v>
      </c>
      <c r="C565" s="9" t="s">
        <v>8</v>
      </c>
      <c r="D565" s="9" t="str">
        <f>"庞琦"</f>
        <v>庞琦</v>
      </c>
    </row>
    <row r="566" spans="1:4" ht="34.5" customHeight="1">
      <c r="A566" s="8">
        <v>564</v>
      </c>
      <c r="B566" s="9" t="str">
        <f>"54112023070315395398046"</f>
        <v>54112023070315395398046</v>
      </c>
      <c r="C566" s="9" t="s">
        <v>8</v>
      </c>
      <c r="D566" s="9" t="str">
        <f>"符娇波"</f>
        <v>符娇波</v>
      </c>
    </row>
    <row r="567" spans="1:4" ht="34.5" customHeight="1">
      <c r="A567" s="8">
        <v>565</v>
      </c>
      <c r="B567" s="9" t="str">
        <f>"54112023070316045398198"</f>
        <v>54112023070316045398198</v>
      </c>
      <c r="C567" s="9" t="s">
        <v>8</v>
      </c>
      <c r="D567" s="9" t="str">
        <f>"林虹雅"</f>
        <v>林虹雅</v>
      </c>
    </row>
    <row r="568" spans="1:4" ht="34.5" customHeight="1">
      <c r="A568" s="8">
        <v>566</v>
      </c>
      <c r="B568" s="9" t="str">
        <f>"54112023070213121593608"</f>
        <v>54112023070213121593608</v>
      </c>
      <c r="C568" s="9" t="s">
        <v>8</v>
      </c>
      <c r="D568" s="9" t="str">
        <f>"罗涛"</f>
        <v>罗涛</v>
      </c>
    </row>
    <row r="569" spans="1:4" ht="34.5" customHeight="1">
      <c r="A569" s="8">
        <v>567</v>
      </c>
      <c r="B569" s="9" t="str">
        <f>"54112023070316393898403"</f>
        <v>54112023070316393898403</v>
      </c>
      <c r="C569" s="9" t="s">
        <v>8</v>
      </c>
      <c r="D569" s="9" t="str">
        <f>"方金灵"</f>
        <v>方金灵</v>
      </c>
    </row>
    <row r="570" spans="1:4" ht="34.5" customHeight="1">
      <c r="A570" s="8">
        <v>568</v>
      </c>
      <c r="B570" s="9" t="str">
        <f>"54112023070316473298444"</f>
        <v>54112023070316473298444</v>
      </c>
      <c r="C570" s="9" t="s">
        <v>8</v>
      </c>
      <c r="D570" s="9" t="str">
        <f>"林以花"</f>
        <v>林以花</v>
      </c>
    </row>
    <row r="571" spans="1:4" ht="34.5" customHeight="1">
      <c r="A571" s="8">
        <v>569</v>
      </c>
      <c r="B571" s="9" t="str">
        <f>"54112023070316525998482"</f>
        <v>54112023070316525998482</v>
      </c>
      <c r="C571" s="9" t="s">
        <v>8</v>
      </c>
      <c r="D571" s="9" t="str">
        <f>"林道才"</f>
        <v>林道才</v>
      </c>
    </row>
    <row r="572" spans="1:4" ht="34.5" customHeight="1">
      <c r="A572" s="8">
        <v>570</v>
      </c>
      <c r="B572" s="9" t="str">
        <f>"54112023070216574694164"</f>
        <v>54112023070216574694164</v>
      </c>
      <c r="C572" s="9" t="s">
        <v>8</v>
      </c>
      <c r="D572" s="9" t="str">
        <f>"陈垂芬"</f>
        <v>陈垂芬</v>
      </c>
    </row>
    <row r="573" spans="1:4" ht="34.5" customHeight="1">
      <c r="A573" s="8">
        <v>571</v>
      </c>
      <c r="B573" s="9" t="str">
        <f>"54112023070317463398737"</f>
        <v>54112023070317463398737</v>
      </c>
      <c r="C573" s="9" t="s">
        <v>8</v>
      </c>
      <c r="D573" s="9" t="str">
        <f>"蒋春玉"</f>
        <v>蒋春玉</v>
      </c>
    </row>
    <row r="574" spans="1:4" ht="34.5" customHeight="1">
      <c r="A574" s="8">
        <v>572</v>
      </c>
      <c r="B574" s="9" t="str">
        <f>"54112023070317512598757"</f>
        <v>54112023070317512598757</v>
      </c>
      <c r="C574" s="9" t="s">
        <v>8</v>
      </c>
      <c r="D574" s="9" t="str">
        <f>"吴泰彬"</f>
        <v>吴泰彬</v>
      </c>
    </row>
    <row r="575" spans="1:4" ht="34.5" customHeight="1">
      <c r="A575" s="8">
        <v>573</v>
      </c>
      <c r="B575" s="9" t="str">
        <f>"54112023062521463064638"</f>
        <v>54112023062521463064638</v>
      </c>
      <c r="C575" s="9" t="s">
        <v>8</v>
      </c>
      <c r="D575" s="9" t="str">
        <f>"甄汉江"</f>
        <v>甄汉江</v>
      </c>
    </row>
    <row r="576" spans="1:4" ht="34.5" customHeight="1">
      <c r="A576" s="8">
        <v>574</v>
      </c>
      <c r="B576" s="9" t="str">
        <f>"54112023070318451598964"</f>
        <v>54112023070318451598964</v>
      </c>
      <c r="C576" s="9" t="s">
        <v>8</v>
      </c>
      <c r="D576" s="9" t="str">
        <f>"卢玉秋"</f>
        <v>卢玉秋</v>
      </c>
    </row>
    <row r="577" spans="1:4" ht="34.5" customHeight="1">
      <c r="A577" s="8">
        <v>575</v>
      </c>
      <c r="B577" s="9" t="str">
        <f>"54112023070319160499062"</f>
        <v>54112023070319160499062</v>
      </c>
      <c r="C577" s="9" t="s">
        <v>8</v>
      </c>
      <c r="D577" s="9" t="str">
        <f>"刘文"</f>
        <v>刘文</v>
      </c>
    </row>
    <row r="578" spans="1:4" ht="34.5" customHeight="1">
      <c r="A578" s="8">
        <v>576</v>
      </c>
      <c r="B578" s="9" t="str">
        <f>"54112023070319590899228"</f>
        <v>54112023070319590899228</v>
      </c>
      <c r="C578" s="9" t="s">
        <v>8</v>
      </c>
      <c r="D578" s="9" t="str">
        <f>"韩晴"</f>
        <v>韩晴</v>
      </c>
    </row>
    <row r="579" spans="1:4" ht="34.5" customHeight="1">
      <c r="A579" s="8">
        <v>577</v>
      </c>
      <c r="B579" s="9" t="str">
        <f>"54112023070320505599480"</f>
        <v>54112023070320505599480</v>
      </c>
      <c r="C579" s="9" t="s">
        <v>8</v>
      </c>
      <c r="D579" s="9" t="str">
        <f>"文凤甜"</f>
        <v>文凤甜</v>
      </c>
    </row>
    <row r="580" spans="1:4" ht="34.5" customHeight="1">
      <c r="A580" s="8">
        <v>578</v>
      </c>
      <c r="B580" s="9" t="str">
        <f>"54112023070321011799533"</f>
        <v>54112023070321011799533</v>
      </c>
      <c r="C580" s="9" t="s">
        <v>8</v>
      </c>
      <c r="D580" s="9" t="str">
        <f>"韩瑞"</f>
        <v>韩瑞</v>
      </c>
    </row>
    <row r="581" spans="1:4" ht="34.5" customHeight="1">
      <c r="A581" s="8">
        <v>579</v>
      </c>
      <c r="B581" s="9" t="str">
        <f>"54112023062811165477453"</f>
        <v>54112023062811165477453</v>
      </c>
      <c r="C581" s="9" t="s">
        <v>8</v>
      </c>
      <c r="D581" s="9" t="str">
        <f>"曾晓琳"</f>
        <v>曾晓琳</v>
      </c>
    </row>
    <row r="582" spans="1:4" ht="34.5" customHeight="1">
      <c r="A582" s="8">
        <v>580</v>
      </c>
      <c r="B582" s="9" t="str">
        <f>"54112023063013253288653"</f>
        <v>54112023063013253288653</v>
      </c>
      <c r="C582" s="9" t="s">
        <v>8</v>
      </c>
      <c r="D582" s="9" t="str">
        <f>"陈迪锋"</f>
        <v>陈迪锋</v>
      </c>
    </row>
    <row r="583" spans="1:4" ht="34.5" customHeight="1">
      <c r="A583" s="8">
        <v>581</v>
      </c>
      <c r="B583" s="9" t="str">
        <f>"54112023070119545892216"</f>
        <v>54112023070119545892216</v>
      </c>
      <c r="C583" s="9" t="s">
        <v>8</v>
      </c>
      <c r="D583" s="9" t="str">
        <f>"黄美柳"</f>
        <v>黄美柳</v>
      </c>
    </row>
    <row r="584" spans="1:4" ht="34.5" customHeight="1">
      <c r="A584" s="8">
        <v>582</v>
      </c>
      <c r="B584" s="9" t="str">
        <f>"541120230703231239100148"</f>
        <v>541120230703231239100148</v>
      </c>
      <c r="C584" s="9" t="s">
        <v>8</v>
      </c>
      <c r="D584" s="9" t="str">
        <f>"姜宗坤"</f>
        <v>姜宗坤</v>
      </c>
    </row>
    <row r="585" spans="1:4" ht="34.5" customHeight="1">
      <c r="A585" s="8">
        <v>583</v>
      </c>
      <c r="B585" s="9" t="str">
        <f>"541120230703232522100184"</f>
        <v>541120230703232522100184</v>
      </c>
      <c r="C585" s="9" t="s">
        <v>8</v>
      </c>
      <c r="D585" s="9" t="str">
        <f>"张燕"</f>
        <v>张燕</v>
      </c>
    </row>
    <row r="586" spans="1:4" ht="34.5" customHeight="1">
      <c r="A586" s="8">
        <v>584</v>
      </c>
      <c r="B586" s="9" t="str">
        <f>"541120230704004823100354"</f>
        <v>541120230704004823100354</v>
      </c>
      <c r="C586" s="9" t="s">
        <v>8</v>
      </c>
      <c r="D586" s="9" t="str">
        <f>"符子娟"</f>
        <v>符子娟</v>
      </c>
    </row>
    <row r="587" spans="1:4" ht="34.5" customHeight="1">
      <c r="A587" s="8">
        <v>585</v>
      </c>
      <c r="B587" s="9" t="str">
        <f>"541120230704011403100379"</f>
        <v>541120230704011403100379</v>
      </c>
      <c r="C587" s="9" t="s">
        <v>8</v>
      </c>
      <c r="D587" s="9" t="str">
        <f>"王光静"</f>
        <v>王光静</v>
      </c>
    </row>
    <row r="588" spans="1:4" ht="34.5" customHeight="1">
      <c r="A588" s="8">
        <v>586</v>
      </c>
      <c r="B588" s="9" t="str">
        <f>"54112023070316271898317"</f>
        <v>54112023070316271898317</v>
      </c>
      <c r="C588" s="9" t="s">
        <v>8</v>
      </c>
      <c r="D588" s="9" t="str">
        <f>"黄加妹"</f>
        <v>黄加妹</v>
      </c>
    </row>
    <row r="589" spans="1:4" ht="34.5" customHeight="1">
      <c r="A589" s="8">
        <v>587</v>
      </c>
      <c r="B589" s="9" t="str">
        <f>"54112023062810514777321"</f>
        <v>54112023062810514777321</v>
      </c>
      <c r="C589" s="9" t="s">
        <v>8</v>
      </c>
      <c r="D589" s="9" t="str">
        <f>"蔡佳琪"</f>
        <v>蔡佳琪</v>
      </c>
    </row>
    <row r="590" spans="1:4" ht="34.5" customHeight="1">
      <c r="A590" s="8">
        <v>588</v>
      </c>
      <c r="B590" s="9" t="str">
        <f>"541120230704083009100588"</f>
        <v>541120230704083009100588</v>
      </c>
      <c r="C590" s="9" t="s">
        <v>8</v>
      </c>
      <c r="D590" s="9" t="str">
        <f>"李正兰"</f>
        <v>李正兰</v>
      </c>
    </row>
    <row r="591" spans="1:4" ht="34.5" customHeight="1">
      <c r="A591" s="8">
        <v>589</v>
      </c>
      <c r="B591" s="9" t="str">
        <f>"54112023063011373988037"</f>
        <v>54112023063011373988037</v>
      </c>
      <c r="C591" s="9" t="s">
        <v>8</v>
      </c>
      <c r="D591" s="9" t="str">
        <f>"吴庆婷"</f>
        <v>吴庆婷</v>
      </c>
    </row>
    <row r="592" spans="1:4" ht="34.5" customHeight="1">
      <c r="A592" s="8">
        <v>590</v>
      </c>
      <c r="B592" s="9" t="str">
        <f>"54112023062810040677030"</f>
        <v>54112023062810040677030</v>
      </c>
      <c r="C592" s="9" t="s">
        <v>8</v>
      </c>
      <c r="D592" s="9" t="str">
        <f>"张昌越"</f>
        <v>张昌越</v>
      </c>
    </row>
    <row r="593" spans="1:4" ht="34.5" customHeight="1">
      <c r="A593" s="8">
        <v>591</v>
      </c>
      <c r="B593" s="9" t="str">
        <f>"541120230704094932100966"</f>
        <v>541120230704094932100966</v>
      </c>
      <c r="C593" s="9" t="s">
        <v>8</v>
      </c>
      <c r="D593" s="9" t="str">
        <f>"邢坤"</f>
        <v>邢坤</v>
      </c>
    </row>
    <row r="594" spans="1:4" ht="34.5" customHeight="1">
      <c r="A594" s="8">
        <v>592</v>
      </c>
      <c r="B594" s="9" t="str">
        <f>"54112023070319140599051"</f>
        <v>54112023070319140599051</v>
      </c>
      <c r="C594" s="9" t="s">
        <v>8</v>
      </c>
      <c r="D594" s="9" t="str">
        <f>"王虹欢"</f>
        <v>王虹欢</v>
      </c>
    </row>
    <row r="595" spans="1:4" ht="34.5" customHeight="1">
      <c r="A595" s="8">
        <v>593</v>
      </c>
      <c r="B595" s="9" t="str">
        <f>"54112023062508563159749"</f>
        <v>54112023062508563159749</v>
      </c>
      <c r="C595" s="9" t="s">
        <v>9</v>
      </c>
      <c r="D595" s="9" t="str">
        <f>"王芳婷"</f>
        <v>王芳婷</v>
      </c>
    </row>
    <row r="596" spans="1:4" ht="34.5" customHeight="1">
      <c r="A596" s="8">
        <v>594</v>
      </c>
      <c r="B596" s="9" t="str">
        <f>"54112023062509040159804"</f>
        <v>54112023062509040159804</v>
      </c>
      <c r="C596" s="9" t="s">
        <v>9</v>
      </c>
      <c r="D596" s="9" t="str">
        <f>"聂萍"</f>
        <v>聂萍</v>
      </c>
    </row>
    <row r="597" spans="1:4" ht="34.5" customHeight="1">
      <c r="A597" s="8">
        <v>595</v>
      </c>
      <c r="B597" s="9" t="str">
        <f>"54112023062508581059757"</f>
        <v>54112023062508581059757</v>
      </c>
      <c r="C597" s="9" t="s">
        <v>9</v>
      </c>
      <c r="D597" s="9" t="str">
        <f>"李依函"</f>
        <v>李依函</v>
      </c>
    </row>
    <row r="598" spans="1:4" ht="34.5" customHeight="1">
      <c r="A598" s="8">
        <v>596</v>
      </c>
      <c r="B598" s="9" t="str">
        <f>"54112023062509121059915"</f>
        <v>54112023062509121059915</v>
      </c>
      <c r="C598" s="9" t="s">
        <v>9</v>
      </c>
      <c r="D598" s="9" t="str">
        <f>"符绩达"</f>
        <v>符绩达</v>
      </c>
    </row>
    <row r="599" spans="1:4" ht="34.5" customHeight="1">
      <c r="A599" s="8">
        <v>597</v>
      </c>
      <c r="B599" s="9" t="str">
        <f>"54112023062509380860182"</f>
        <v>54112023062509380860182</v>
      </c>
      <c r="C599" s="9" t="s">
        <v>9</v>
      </c>
      <c r="D599" s="9" t="str">
        <f>"周先丽"</f>
        <v>周先丽</v>
      </c>
    </row>
    <row r="600" spans="1:4" ht="34.5" customHeight="1">
      <c r="A600" s="8">
        <v>598</v>
      </c>
      <c r="B600" s="9" t="str">
        <f>"54112023062509251960041"</f>
        <v>54112023062509251960041</v>
      </c>
      <c r="C600" s="9" t="s">
        <v>9</v>
      </c>
      <c r="D600" s="9" t="str">
        <f>"吴小平"</f>
        <v>吴小平</v>
      </c>
    </row>
    <row r="601" spans="1:4" ht="34.5" customHeight="1">
      <c r="A601" s="8">
        <v>599</v>
      </c>
      <c r="B601" s="9" t="str">
        <f>"54112023062510085660498"</f>
        <v>54112023062510085660498</v>
      </c>
      <c r="C601" s="9" t="s">
        <v>9</v>
      </c>
      <c r="D601" s="9" t="str">
        <f>"罗艺雯"</f>
        <v>罗艺雯</v>
      </c>
    </row>
    <row r="602" spans="1:4" ht="34.5" customHeight="1">
      <c r="A602" s="8">
        <v>600</v>
      </c>
      <c r="B602" s="9" t="str">
        <f>"54112023062510185660566"</f>
        <v>54112023062510185660566</v>
      </c>
      <c r="C602" s="9" t="s">
        <v>9</v>
      </c>
      <c r="D602" s="9" t="str">
        <f>"陈伟妍"</f>
        <v>陈伟妍</v>
      </c>
    </row>
    <row r="603" spans="1:4" ht="34.5" customHeight="1">
      <c r="A603" s="8">
        <v>601</v>
      </c>
      <c r="B603" s="9" t="str">
        <f>"54112023062509414060222"</f>
        <v>54112023062509414060222</v>
      </c>
      <c r="C603" s="9" t="s">
        <v>9</v>
      </c>
      <c r="D603" s="9" t="str">
        <f>"张国琴"</f>
        <v>张国琴</v>
      </c>
    </row>
    <row r="604" spans="1:4" ht="34.5" customHeight="1">
      <c r="A604" s="8">
        <v>602</v>
      </c>
      <c r="B604" s="9" t="str">
        <f>"54112023062510173560558"</f>
        <v>54112023062510173560558</v>
      </c>
      <c r="C604" s="9" t="s">
        <v>9</v>
      </c>
      <c r="D604" s="9" t="str">
        <f>"文小辣"</f>
        <v>文小辣</v>
      </c>
    </row>
    <row r="605" spans="1:4" ht="34.5" customHeight="1">
      <c r="A605" s="8">
        <v>603</v>
      </c>
      <c r="B605" s="9" t="str">
        <f>"54112023062510130160529"</f>
        <v>54112023062510130160529</v>
      </c>
      <c r="C605" s="9" t="s">
        <v>9</v>
      </c>
      <c r="D605" s="9" t="str">
        <f>"符敏燕"</f>
        <v>符敏燕</v>
      </c>
    </row>
    <row r="606" spans="1:4" ht="34.5" customHeight="1">
      <c r="A606" s="8">
        <v>604</v>
      </c>
      <c r="B606" s="9" t="str">
        <f>"54112023062510163760550"</f>
        <v>54112023062510163760550</v>
      </c>
      <c r="C606" s="9" t="s">
        <v>9</v>
      </c>
      <c r="D606" s="9" t="str">
        <f>"李婷"</f>
        <v>李婷</v>
      </c>
    </row>
    <row r="607" spans="1:4" ht="34.5" customHeight="1">
      <c r="A607" s="8">
        <v>605</v>
      </c>
      <c r="B607" s="9" t="str">
        <f>"54112023062510470960784"</f>
        <v>54112023062510470960784</v>
      </c>
      <c r="C607" s="9" t="s">
        <v>9</v>
      </c>
      <c r="D607" s="9" t="str">
        <f>"赖琳"</f>
        <v>赖琳</v>
      </c>
    </row>
    <row r="608" spans="1:4" ht="34.5" customHeight="1">
      <c r="A608" s="8">
        <v>606</v>
      </c>
      <c r="B608" s="9" t="str">
        <f>"54112023062511260461057"</f>
        <v>54112023062511260461057</v>
      </c>
      <c r="C608" s="9" t="s">
        <v>9</v>
      </c>
      <c r="D608" s="9" t="str">
        <f>"徐永玲"</f>
        <v>徐永玲</v>
      </c>
    </row>
    <row r="609" spans="1:4" ht="34.5" customHeight="1">
      <c r="A609" s="8">
        <v>607</v>
      </c>
      <c r="B609" s="9" t="str">
        <f>"54112023062509164959954"</f>
        <v>54112023062509164959954</v>
      </c>
      <c r="C609" s="9" t="s">
        <v>9</v>
      </c>
      <c r="D609" s="9" t="str">
        <f>"蔡潇蝶"</f>
        <v>蔡潇蝶</v>
      </c>
    </row>
    <row r="610" spans="1:4" ht="34.5" customHeight="1">
      <c r="A610" s="8">
        <v>608</v>
      </c>
      <c r="B610" s="9" t="str">
        <f>"54112023062511181860997"</f>
        <v>54112023062511181860997</v>
      </c>
      <c r="C610" s="9" t="s">
        <v>9</v>
      </c>
      <c r="D610" s="9" t="str">
        <f>"覃媛媛"</f>
        <v>覃媛媛</v>
      </c>
    </row>
    <row r="611" spans="1:4" ht="34.5" customHeight="1">
      <c r="A611" s="8">
        <v>609</v>
      </c>
      <c r="B611" s="9" t="str">
        <f>"54112023062510405960745"</f>
        <v>54112023062510405960745</v>
      </c>
      <c r="C611" s="9" t="s">
        <v>9</v>
      </c>
      <c r="D611" s="9" t="str">
        <f>"符娴慧"</f>
        <v>符娴慧</v>
      </c>
    </row>
    <row r="612" spans="1:4" ht="34.5" customHeight="1">
      <c r="A612" s="8">
        <v>610</v>
      </c>
      <c r="B612" s="9" t="str">
        <f>"54112023062512015861704"</f>
        <v>54112023062512015861704</v>
      </c>
      <c r="C612" s="9" t="s">
        <v>9</v>
      </c>
      <c r="D612" s="9" t="str">
        <f>"黄彩英"</f>
        <v>黄彩英</v>
      </c>
    </row>
    <row r="613" spans="1:4" ht="34.5" customHeight="1">
      <c r="A613" s="8">
        <v>611</v>
      </c>
      <c r="B613" s="9" t="str">
        <f>"54112023062509142259932"</f>
        <v>54112023062509142259932</v>
      </c>
      <c r="C613" s="9" t="s">
        <v>9</v>
      </c>
      <c r="D613" s="9" t="str">
        <f>"梁乃静"</f>
        <v>梁乃静</v>
      </c>
    </row>
    <row r="614" spans="1:4" ht="34.5" customHeight="1">
      <c r="A614" s="8">
        <v>612</v>
      </c>
      <c r="B614" s="9" t="str">
        <f>"54112023062512374061999"</f>
        <v>54112023062512374061999</v>
      </c>
      <c r="C614" s="9" t="s">
        <v>9</v>
      </c>
      <c r="D614" s="9" t="str">
        <f>"吴依洁"</f>
        <v>吴依洁</v>
      </c>
    </row>
    <row r="615" spans="1:4" ht="34.5" customHeight="1">
      <c r="A615" s="8">
        <v>613</v>
      </c>
      <c r="B615" s="9" t="str">
        <f>"54112023062513263062245"</f>
        <v>54112023062513263062245</v>
      </c>
      <c r="C615" s="9" t="s">
        <v>9</v>
      </c>
      <c r="D615" s="9" t="str">
        <f>"邢孔妻"</f>
        <v>邢孔妻</v>
      </c>
    </row>
    <row r="616" spans="1:4" ht="34.5" customHeight="1">
      <c r="A616" s="8">
        <v>614</v>
      </c>
      <c r="B616" s="9" t="str">
        <f>"54112023062515124062815"</f>
        <v>54112023062515124062815</v>
      </c>
      <c r="C616" s="9" t="s">
        <v>9</v>
      </c>
      <c r="D616" s="9" t="str">
        <f>"高芳琳"</f>
        <v>高芳琳</v>
      </c>
    </row>
    <row r="617" spans="1:4" ht="34.5" customHeight="1">
      <c r="A617" s="8">
        <v>615</v>
      </c>
      <c r="B617" s="9" t="str">
        <f>"54112023062515163962836"</f>
        <v>54112023062515163962836</v>
      </c>
      <c r="C617" s="9" t="s">
        <v>9</v>
      </c>
      <c r="D617" s="9" t="str">
        <f>"云飘飘"</f>
        <v>云飘飘</v>
      </c>
    </row>
    <row r="618" spans="1:4" ht="34.5" customHeight="1">
      <c r="A618" s="8">
        <v>616</v>
      </c>
      <c r="B618" s="9" t="str">
        <f>"54112023062515584663127"</f>
        <v>54112023062515584663127</v>
      </c>
      <c r="C618" s="9" t="s">
        <v>9</v>
      </c>
      <c r="D618" s="9" t="str">
        <f>"苏云珍"</f>
        <v>苏云珍</v>
      </c>
    </row>
    <row r="619" spans="1:4" ht="34.5" customHeight="1">
      <c r="A619" s="8">
        <v>617</v>
      </c>
      <c r="B619" s="9" t="str">
        <f>"54112023062516094063187"</f>
        <v>54112023062516094063187</v>
      </c>
      <c r="C619" s="9" t="s">
        <v>9</v>
      </c>
      <c r="D619" s="9" t="str">
        <f>"李静"</f>
        <v>李静</v>
      </c>
    </row>
    <row r="620" spans="1:4" ht="34.5" customHeight="1">
      <c r="A620" s="8">
        <v>618</v>
      </c>
      <c r="B620" s="9" t="str">
        <f>"54112023062517074063460"</f>
        <v>54112023062517074063460</v>
      </c>
      <c r="C620" s="9" t="s">
        <v>9</v>
      </c>
      <c r="D620" s="9" t="str">
        <f>"王青"</f>
        <v>王青</v>
      </c>
    </row>
    <row r="621" spans="1:4" ht="34.5" customHeight="1">
      <c r="A621" s="8">
        <v>619</v>
      </c>
      <c r="B621" s="9" t="str">
        <f>"54112023062517182563514"</f>
        <v>54112023062517182563514</v>
      </c>
      <c r="C621" s="9" t="s">
        <v>9</v>
      </c>
      <c r="D621" s="9" t="str">
        <f>"陈清菊"</f>
        <v>陈清菊</v>
      </c>
    </row>
    <row r="622" spans="1:4" ht="34.5" customHeight="1">
      <c r="A622" s="8">
        <v>620</v>
      </c>
      <c r="B622" s="9" t="str">
        <f>"54112023062517545263650"</f>
        <v>54112023062517545263650</v>
      </c>
      <c r="C622" s="9" t="s">
        <v>9</v>
      </c>
      <c r="D622" s="9" t="str">
        <f>"杨迪淇"</f>
        <v>杨迪淇</v>
      </c>
    </row>
    <row r="623" spans="1:4" ht="34.5" customHeight="1">
      <c r="A623" s="8">
        <v>621</v>
      </c>
      <c r="B623" s="9" t="str">
        <f>"54112023062518331363774"</f>
        <v>54112023062518331363774</v>
      </c>
      <c r="C623" s="9" t="s">
        <v>9</v>
      </c>
      <c r="D623" s="9" t="str">
        <f>"吴婆妹"</f>
        <v>吴婆妹</v>
      </c>
    </row>
    <row r="624" spans="1:4" ht="34.5" customHeight="1">
      <c r="A624" s="8">
        <v>622</v>
      </c>
      <c r="B624" s="9" t="str">
        <f>"54112023062508490859722"</f>
        <v>54112023062508490859722</v>
      </c>
      <c r="C624" s="9" t="s">
        <v>9</v>
      </c>
      <c r="D624" s="9" t="str">
        <f>"李国萍"</f>
        <v>李国萍</v>
      </c>
    </row>
    <row r="625" spans="1:4" ht="34.5" customHeight="1">
      <c r="A625" s="8">
        <v>623</v>
      </c>
      <c r="B625" s="9" t="str">
        <f>"54112023062519172863938"</f>
        <v>54112023062519172863938</v>
      </c>
      <c r="C625" s="9" t="s">
        <v>9</v>
      </c>
      <c r="D625" s="9" t="str">
        <f>"陈会"</f>
        <v>陈会</v>
      </c>
    </row>
    <row r="626" spans="1:4" ht="34.5" customHeight="1">
      <c r="A626" s="8">
        <v>624</v>
      </c>
      <c r="B626" s="9" t="str">
        <f>"54112023062519142263927"</f>
        <v>54112023062519142263927</v>
      </c>
      <c r="C626" s="9" t="s">
        <v>9</v>
      </c>
      <c r="D626" s="9" t="str">
        <f>"吴高敏"</f>
        <v>吴高敏</v>
      </c>
    </row>
    <row r="627" spans="1:4" ht="34.5" customHeight="1">
      <c r="A627" s="8">
        <v>625</v>
      </c>
      <c r="B627" s="9" t="str">
        <f>"54112023062509111959903"</f>
        <v>54112023062509111959903</v>
      </c>
      <c r="C627" s="9" t="s">
        <v>9</v>
      </c>
      <c r="D627" s="9" t="str">
        <f>"王丽霞"</f>
        <v>王丽霞</v>
      </c>
    </row>
    <row r="628" spans="1:4" ht="34.5" customHeight="1">
      <c r="A628" s="8">
        <v>626</v>
      </c>
      <c r="B628" s="9" t="str">
        <f>"54112023062520252764213"</f>
        <v>54112023062520252764213</v>
      </c>
      <c r="C628" s="9" t="s">
        <v>9</v>
      </c>
      <c r="D628" s="9" t="str">
        <f>"陈珊珊"</f>
        <v>陈珊珊</v>
      </c>
    </row>
    <row r="629" spans="1:4" ht="34.5" customHeight="1">
      <c r="A629" s="8">
        <v>627</v>
      </c>
      <c r="B629" s="9" t="str">
        <f>"54112023062521143264453"</f>
        <v>54112023062521143264453</v>
      </c>
      <c r="C629" s="9" t="s">
        <v>9</v>
      </c>
      <c r="D629" s="9" t="str">
        <f>"符艳婧"</f>
        <v>符艳婧</v>
      </c>
    </row>
    <row r="630" spans="1:4" ht="34.5" customHeight="1">
      <c r="A630" s="8">
        <v>628</v>
      </c>
      <c r="B630" s="9" t="str">
        <f>"54112023062518204763735"</f>
        <v>54112023062518204763735</v>
      </c>
      <c r="C630" s="9" t="s">
        <v>9</v>
      </c>
      <c r="D630" s="9" t="str">
        <f>"蔡孙妹"</f>
        <v>蔡孙妹</v>
      </c>
    </row>
    <row r="631" spans="1:4" ht="34.5" customHeight="1">
      <c r="A631" s="8">
        <v>629</v>
      </c>
      <c r="B631" s="9" t="str">
        <f>"54112023062521520164674"</f>
        <v>54112023062521520164674</v>
      </c>
      <c r="C631" s="9" t="s">
        <v>9</v>
      </c>
      <c r="D631" s="9" t="str">
        <f>"符文群"</f>
        <v>符文群</v>
      </c>
    </row>
    <row r="632" spans="1:4" ht="34.5" customHeight="1">
      <c r="A632" s="8">
        <v>630</v>
      </c>
      <c r="B632" s="9" t="str">
        <f>"54112023062522063864723"</f>
        <v>54112023062522063864723</v>
      </c>
      <c r="C632" s="9" t="s">
        <v>9</v>
      </c>
      <c r="D632" s="9" t="str">
        <f>"黄垂青"</f>
        <v>黄垂青</v>
      </c>
    </row>
    <row r="633" spans="1:4" ht="34.5" customHeight="1">
      <c r="A633" s="8">
        <v>631</v>
      </c>
      <c r="B633" s="9" t="str">
        <f>"54112023062523035864917"</f>
        <v>54112023062523035864917</v>
      </c>
      <c r="C633" s="9" t="s">
        <v>9</v>
      </c>
      <c r="D633" s="9" t="str">
        <f>"郑福丹"</f>
        <v>郑福丹</v>
      </c>
    </row>
    <row r="634" spans="1:4" ht="34.5" customHeight="1">
      <c r="A634" s="8">
        <v>632</v>
      </c>
      <c r="B634" s="9" t="str">
        <f>"54112023062517565963660"</f>
        <v>54112023062517565963660</v>
      </c>
      <c r="C634" s="9" t="s">
        <v>9</v>
      </c>
      <c r="D634" s="9" t="str">
        <f>"罗佶梅"</f>
        <v>罗佶梅</v>
      </c>
    </row>
    <row r="635" spans="1:4" ht="34.5" customHeight="1">
      <c r="A635" s="8">
        <v>633</v>
      </c>
      <c r="B635" s="9" t="str">
        <f>"54112023062523315464995"</f>
        <v>54112023062523315464995</v>
      </c>
      <c r="C635" s="9" t="s">
        <v>9</v>
      </c>
      <c r="D635" s="9" t="str">
        <f>"李妙"</f>
        <v>李妙</v>
      </c>
    </row>
    <row r="636" spans="1:4" ht="34.5" customHeight="1">
      <c r="A636" s="8">
        <v>634</v>
      </c>
      <c r="B636" s="9" t="str">
        <f>"54112023062608035165296"</f>
        <v>54112023062608035165296</v>
      </c>
      <c r="C636" s="9" t="s">
        <v>9</v>
      </c>
      <c r="D636" s="9" t="str">
        <f>"陈姣姣"</f>
        <v>陈姣姣</v>
      </c>
    </row>
    <row r="637" spans="1:4" ht="34.5" customHeight="1">
      <c r="A637" s="8">
        <v>635</v>
      </c>
      <c r="B637" s="9" t="str">
        <f>"54112023062607382865265"</f>
        <v>54112023062607382865265</v>
      </c>
      <c r="C637" s="9" t="s">
        <v>9</v>
      </c>
      <c r="D637" s="9" t="str">
        <f>"吴小怡"</f>
        <v>吴小怡</v>
      </c>
    </row>
    <row r="638" spans="1:4" ht="34.5" customHeight="1">
      <c r="A638" s="8">
        <v>636</v>
      </c>
      <c r="B638" s="9" t="str">
        <f>"54112023062608092865315"</f>
        <v>54112023062608092865315</v>
      </c>
      <c r="C638" s="9" t="s">
        <v>9</v>
      </c>
      <c r="D638" s="9" t="str">
        <f>"杨曼"</f>
        <v>杨曼</v>
      </c>
    </row>
    <row r="639" spans="1:4" ht="34.5" customHeight="1">
      <c r="A639" s="8">
        <v>637</v>
      </c>
      <c r="B639" s="9" t="str">
        <f>"54112023062521212364502"</f>
        <v>54112023062521212364502</v>
      </c>
      <c r="C639" s="9" t="s">
        <v>9</v>
      </c>
      <c r="D639" s="9" t="str">
        <f>"黄小殷"</f>
        <v>黄小殷</v>
      </c>
    </row>
    <row r="640" spans="1:4" ht="34.5" customHeight="1">
      <c r="A640" s="8">
        <v>638</v>
      </c>
      <c r="B640" s="9" t="str">
        <f>"54112023062609342766165"</f>
        <v>54112023062609342766165</v>
      </c>
      <c r="C640" s="9" t="s">
        <v>9</v>
      </c>
      <c r="D640" s="9" t="str">
        <f>"李慧"</f>
        <v>李慧</v>
      </c>
    </row>
    <row r="641" spans="1:4" ht="34.5" customHeight="1">
      <c r="A641" s="8">
        <v>639</v>
      </c>
      <c r="B641" s="9" t="str">
        <f>"54112023062608340065372"</f>
        <v>54112023062608340065372</v>
      </c>
      <c r="C641" s="9" t="s">
        <v>9</v>
      </c>
      <c r="D641" s="9" t="str">
        <f>"时圣娟"</f>
        <v>时圣娟</v>
      </c>
    </row>
    <row r="642" spans="1:4" ht="34.5" customHeight="1">
      <c r="A642" s="8">
        <v>640</v>
      </c>
      <c r="B642" s="9" t="str">
        <f>"54112023062609345966169"</f>
        <v>54112023062609345966169</v>
      </c>
      <c r="C642" s="9" t="s">
        <v>9</v>
      </c>
      <c r="D642" s="9" t="str">
        <f>"羊钰婷"</f>
        <v>羊钰婷</v>
      </c>
    </row>
    <row r="643" spans="1:4" ht="34.5" customHeight="1">
      <c r="A643" s="8">
        <v>641</v>
      </c>
      <c r="B643" s="9" t="str">
        <f>"54112023062609571666555"</f>
        <v>54112023062609571666555</v>
      </c>
      <c r="C643" s="9" t="s">
        <v>9</v>
      </c>
      <c r="D643" s="9" t="str">
        <f>"许春晓"</f>
        <v>许春晓</v>
      </c>
    </row>
    <row r="644" spans="1:4" ht="34.5" customHeight="1">
      <c r="A644" s="8">
        <v>642</v>
      </c>
      <c r="B644" s="9" t="str">
        <f>"54112023062609541866499"</f>
        <v>54112023062609541866499</v>
      </c>
      <c r="C644" s="9" t="s">
        <v>9</v>
      </c>
      <c r="D644" s="9" t="str">
        <f>"曹德彦"</f>
        <v>曹德彦</v>
      </c>
    </row>
    <row r="645" spans="1:4" ht="34.5" customHeight="1">
      <c r="A645" s="8">
        <v>643</v>
      </c>
      <c r="B645" s="9" t="str">
        <f>"54112023062610155966845"</f>
        <v>54112023062610155966845</v>
      </c>
      <c r="C645" s="9" t="s">
        <v>9</v>
      </c>
      <c r="D645" s="9" t="str">
        <f>"林苗苗"</f>
        <v>林苗苗</v>
      </c>
    </row>
    <row r="646" spans="1:4" ht="34.5" customHeight="1">
      <c r="A646" s="8">
        <v>644</v>
      </c>
      <c r="B646" s="9" t="str">
        <f>"54112023062610231666965"</f>
        <v>54112023062610231666965</v>
      </c>
      <c r="C646" s="9" t="s">
        <v>9</v>
      </c>
      <c r="D646" s="9" t="str">
        <f>"林慧焜"</f>
        <v>林慧焜</v>
      </c>
    </row>
    <row r="647" spans="1:4" ht="34.5" customHeight="1">
      <c r="A647" s="8">
        <v>645</v>
      </c>
      <c r="B647" s="9" t="str">
        <f>"54112023062517040563448"</f>
        <v>54112023062517040563448</v>
      </c>
      <c r="C647" s="9" t="s">
        <v>9</v>
      </c>
      <c r="D647" s="9" t="str">
        <f>"刘易菲"</f>
        <v>刘易菲</v>
      </c>
    </row>
    <row r="648" spans="1:4" ht="34.5" customHeight="1">
      <c r="A648" s="8">
        <v>646</v>
      </c>
      <c r="B648" s="9" t="str">
        <f>"54112023062610585367451"</f>
        <v>54112023062610585367451</v>
      </c>
      <c r="C648" s="9" t="s">
        <v>9</v>
      </c>
      <c r="D648" s="9" t="str">
        <f>"赵联馨"</f>
        <v>赵联馨</v>
      </c>
    </row>
    <row r="649" spans="1:4" ht="34.5" customHeight="1">
      <c r="A649" s="8">
        <v>647</v>
      </c>
      <c r="B649" s="9" t="str">
        <f>"54112023062510073960487"</f>
        <v>54112023062510073960487</v>
      </c>
      <c r="C649" s="9" t="s">
        <v>9</v>
      </c>
      <c r="D649" s="9" t="str">
        <f>"陈锦霜"</f>
        <v>陈锦霜</v>
      </c>
    </row>
    <row r="650" spans="1:4" ht="34.5" customHeight="1">
      <c r="A650" s="8">
        <v>648</v>
      </c>
      <c r="B650" s="9" t="str">
        <f>"54112023062611213067717"</f>
        <v>54112023062611213067717</v>
      </c>
      <c r="C650" s="9" t="s">
        <v>9</v>
      </c>
      <c r="D650" s="9" t="str">
        <f>"赵雅"</f>
        <v>赵雅</v>
      </c>
    </row>
    <row r="651" spans="1:4" ht="34.5" customHeight="1">
      <c r="A651" s="8">
        <v>649</v>
      </c>
      <c r="B651" s="9" t="str">
        <f>"54112023062518424563811"</f>
        <v>54112023062518424563811</v>
      </c>
      <c r="C651" s="9" t="s">
        <v>9</v>
      </c>
      <c r="D651" s="9" t="str">
        <f>"王培婷"</f>
        <v>王培婷</v>
      </c>
    </row>
    <row r="652" spans="1:4" ht="34.5" customHeight="1">
      <c r="A652" s="8">
        <v>650</v>
      </c>
      <c r="B652" s="9" t="str">
        <f>"54112023062611541968032"</f>
        <v>54112023062611541968032</v>
      </c>
      <c r="C652" s="9" t="s">
        <v>9</v>
      </c>
      <c r="D652" s="9" t="str">
        <f>"林晓宇"</f>
        <v>林晓宇</v>
      </c>
    </row>
    <row r="653" spans="1:4" ht="34.5" customHeight="1">
      <c r="A653" s="8">
        <v>651</v>
      </c>
      <c r="B653" s="9" t="str">
        <f>"54112023062612081668120"</f>
        <v>54112023062612081668120</v>
      </c>
      <c r="C653" s="9" t="s">
        <v>9</v>
      </c>
      <c r="D653" s="9" t="str">
        <f>"王雪连"</f>
        <v>王雪连</v>
      </c>
    </row>
    <row r="654" spans="1:4" ht="34.5" customHeight="1">
      <c r="A654" s="8">
        <v>652</v>
      </c>
      <c r="B654" s="9" t="str">
        <f>"54112023062615180569182"</f>
        <v>54112023062615180569182</v>
      </c>
      <c r="C654" s="9" t="s">
        <v>9</v>
      </c>
      <c r="D654" s="9" t="str">
        <f>"魏婷婷"</f>
        <v>魏婷婷</v>
      </c>
    </row>
    <row r="655" spans="1:4" ht="34.5" customHeight="1">
      <c r="A655" s="8">
        <v>653</v>
      </c>
      <c r="B655" s="9" t="str">
        <f>"54112023062615004569065"</f>
        <v>54112023062615004569065</v>
      </c>
      <c r="C655" s="9" t="s">
        <v>9</v>
      </c>
      <c r="D655" s="9" t="str">
        <f>"王莹"</f>
        <v>王莹</v>
      </c>
    </row>
    <row r="656" spans="1:4" ht="34.5" customHeight="1">
      <c r="A656" s="8">
        <v>654</v>
      </c>
      <c r="B656" s="9" t="str">
        <f>"54112023062610150366827"</f>
        <v>54112023062610150366827</v>
      </c>
      <c r="C656" s="9" t="s">
        <v>9</v>
      </c>
      <c r="D656" s="9" t="str">
        <f>"黄少茹"</f>
        <v>黄少茹</v>
      </c>
    </row>
    <row r="657" spans="1:4" ht="34.5" customHeight="1">
      <c r="A657" s="8">
        <v>655</v>
      </c>
      <c r="B657" s="9" t="str">
        <f>"54112023062615532569445"</f>
        <v>54112023062615532569445</v>
      </c>
      <c r="C657" s="9" t="s">
        <v>9</v>
      </c>
      <c r="D657" s="9" t="str">
        <f>"刘雪"</f>
        <v>刘雪</v>
      </c>
    </row>
    <row r="658" spans="1:4" ht="34.5" customHeight="1">
      <c r="A658" s="8">
        <v>656</v>
      </c>
      <c r="B658" s="9" t="str">
        <f>"54112023062617243570063"</f>
        <v>54112023062617243570063</v>
      </c>
      <c r="C658" s="9" t="s">
        <v>9</v>
      </c>
      <c r="D658" s="9" t="str">
        <f>"钟金贝"</f>
        <v>钟金贝</v>
      </c>
    </row>
    <row r="659" spans="1:4" ht="34.5" customHeight="1">
      <c r="A659" s="8">
        <v>657</v>
      </c>
      <c r="B659" s="9" t="str">
        <f>"54112023062617103469983"</f>
        <v>54112023062617103469983</v>
      </c>
      <c r="C659" s="9" t="s">
        <v>9</v>
      </c>
      <c r="D659" s="9" t="str">
        <f>"王姑女"</f>
        <v>王姑女</v>
      </c>
    </row>
    <row r="660" spans="1:4" ht="34.5" customHeight="1">
      <c r="A660" s="8">
        <v>658</v>
      </c>
      <c r="B660" s="9" t="str">
        <f>"54112023062617293570104"</f>
        <v>54112023062617293570104</v>
      </c>
      <c r="C660" s="9" t="s">
        <v>9</v>
      </c>
      <c r="D660" s="9" t="str">
        <f>"秦栏娟"</f>
        <v>秦栏娟</v>
      </c>
    </row>
    <row r="661" spans="1:4" ht="34.5" customHeight="1">
      <c r="A661" s="8">
        <v>659</v>
      </c>
      <c r="B661" s="9" t="str">
        <f>"54112023062600585965150"</f>
        <v>54112023062600585965150</v>
      </c>
      <c r="C661" s="9" t="s">
        <v>9</v>
      </c>
      <c r="D661" s="9" t="str">
        <f>"符诒纯"</f>
        <v>符诒纯</v>
      </c>
    </row>
    <row r="662" spans="1:4" ht="34.5" customHeight="1">
      <c r="A662" s="8">
        <v>660</v>
      </c>
      <c r="B662" s="9" t="str">
        <f>"54112023062617413370160"</f>
        <v>54112023062617413370160</v>
      </c>
      <c r="C662" s="9" t="s">
        <v>9</v>
      </c>
      <c r="D662" s="9" t="str">
        <f>"陈小芳"</f>
        <v>陈小芳</v>
      </c>
    </row>
    <row r="663" spans="1:4" ht="34.5" customHeight="1">
      <c r="A663" s="8">
        <v>661</v>
      </c>
      <c r="B663" s="9" t="str">
        <f>"54112023062618070070274"</f>
        <v>54112023062618070070274</v>
      </c>
      <c r="C663" s="9" t="s">
        <v>9</v>
      </c>
      <c r="D663" s="9" t="str">
        <f>"羊美霞"</f>
        <v>羊美霞</v>
      </c>
    </row>
    <row r="664" spans="1:4" ht="34.5" customHeight="1">
      <c r="A664" s="8">
        <v>662</v>
      </c>
      <c r="B664" s="9" t="str">
        <f>"54112023062511552861668"</f>
        <v>54112023062511552861668</v>
      </c>
      <c r="C664" s="9" t="s">
        <v>9</v>
      </c>
      <c r="D664" s="9" t="str">
        <f>"吕玉喜"</f>
        <v>吕玉喜</v>
      </c>
    </row>
    <row r="665" spans="1:4" ht="34.5" customHeight="1">
      <c r="A665" s="8">
        <v>663</v>
      </c>
      <c r="B665" s="9" t="str">
        <f>"54112023062618042570255"</f>
        <v>54112023062618042570255</v>
      </c>
      <c r="C665" s="9" t="s">
        <v>9</v>
      </c>
      <c r="D665" s="9" t="str">
        <f>"蔡金桂"</f>
        <v>蔡金桂</v>
      </c>
    </row>
    <row r="666" spans="1:4" ht="34.5" customHeight="1">
      <c r="A666" s="8">
        <v>664</v>
      </c>
      <c r="B666" s="9" t="str">
        <f>"54112023062617520870202"</f>
        <v>54112023062617520870202</v>
      </c>
      <c r="C666" s="9" t="s">
        <v>9</v>
      </c>
      <c r="D666" s="9" t="str">
        <f>"周洁"</f>
        <v>周洁</v>
      </c>
    </row>
    <row r="667" spans="1:4" ht="34.5" customHeight="1">
      <c r="A667" s="8">
        <v>665</v>
      </c>
      <c r="B667" s="9" t="str">
        <f>"54112023062619045570536"</f>
        <v>54112023062619045570536</v>
      </c>
      <c r="C667" s="9" t="s">
        <v>9</v>
      </c>
      <c r="D667" s="9" t="str">
        <f>"刘峪岑"</f>
        <v>刘峪岑</v>
      </c>
    </row>
    <row r="668" spans="1:4" ht="34.5" customHeight="1">
      <c r="A668" s="8">
        <v>666</v>
      </c>
      <c r="B668" s="9" t="str">
        <f>"54112023062620312570924"</f>
        <v>54112023062620312570924</v>
      </c>
      <c r="C668" s="9" t="s">
        <v>9</v>
      </c>
      <c r="D668" s="9" t="str">
        <f>"谢丽雯"</f>
        <v>谢丽雯</v>
      </c>
    </row>
    <row r="669" spans="1:4" ht="34.5" customHeight="1">
      <c r="A669" s="8">
        <v>667</v>
      </c>
      <c r="B669" s="9" t="str">
        <f>"54112023062510030460437"</f>
        <v>54112023062510030460437</v>
      </c>
      <c r="C669" s="9" t="s">
        <v>9</v>
      </c>
      <c r="D669" s="9" t="str">
        <f>"朱仪"</f>
        <v>朱仪</v>
      </c>
    </row>
    <row r="670" spans="1:4" ht="34.5" customHeight="1">
      <c r="A670" s="8">
        <v>668</v>
      </c>
      <c r="B670" s="9" t="str">
        <f>"54112023062620513671040"</f>
        <v>54112023062620513671040</v>
      </c>
      <c r="C670" s="9" t="s">
        <v>9</v>
      </c>
      <c r="D670" s="9" t="str">
        <f>"文雅"</f>
        <v>文雅</v>
      </c>
    </row>
    <row r="671" spans="1:4" ht="34.5" customHeight="1">
      <c r="A671" s="8">
        <v>669</v>
      </c>
      <c r="B671" s="9" t="str">
        <f>"54112023062618564870504"</f>
        <v>54112023062618564870504</v>
      </c>
      <c r="C671" s="9" t="s">
        <v>9</v>
      </c>
      <c r="D671" s="9" t="str">
        <f>"符彩莲"</f>
        <v>符彩莲</v>
      </c>
    </row>
    <row r="672" spans="1:4" ht="34.5" customHeight="1">
      <c r="A672" s="8">
        <v>670</v>
      </c>
      <c r="B672" s="9" t="str">
        <f>"54112023062621085371129"</f>
        <v>54112023062621085371129</v>
      </c>
      <c r="C672" s="9" t="s">
        <v>9</v>
      </c>
      <c r="D672" s="9" t="str">
        <f>"黄晶晶"</f>
        <v>黄晶晶</v>
      </c>
    </row>
    <row r="673" spans="1:4" ht="34.5" customHeight="1">
      <c r="A673" s="8">
        <v>671</v>
      </c>
      <c r="B673" s="9" t="str">
        <f>"54112023062621082071126"</f>
        <v>54112023062621082071126</v>
      </c>
      <c r="C673" s="9" t="s">
        <v>9</v>
      </c>
      <c r="D673" s="9" t="str">
        <f>"严景洲"</f>
        <v>严景洲</v>
      </c>
    </row>
    <row r="674" spans="1:4" ht="34.5" customHeight="1">
      <c r="A674" s="8">
        <v>672</v>
      </c>
      <c r="B674" s="9" t="str">
        <f>"54112023062619364770669"</f>
        <v>54112023062619364770669</v>
      </c>
      <c r="C674" s="9" t="s">
        <v>9</v>
      </c>
      <c r="D674" s="9" t="str">
        <f>"孙一荣"</f>
        <v>孙一荣</v>
      </c>
    </row>
    <row r="675" spans="1:4" ht="34.5" customHeight="1">
      <c r="A675" s="8">
        <v>673</v>
      </c>
      <c r="B675" s="9" t="str">
        <f>"54112023062621560371356"</f>
        <v>54112023062621560371356</v>
      </c>
      <c r="C675" s="9" t="s">
        <v>9</v>
      </c>
      <c r="D675" s="9" t="str">
        <f>"蔡佳秀"</f>
        <v>蔡佳秀</v>
      </c>
    </row>
    <row r="676" spans="1:4" ht="34.5" customHeight="1">
      <c r="A676" s="8">
        <v>674</v>
      </c>
      <c r="B676" s="9" t="str">
        <f>"54112023062622265471509"</f>
        <v>54112023062622265471509</v>
      </c>
      <c r="C676" s="9" t="s">
        <v>9</v>
      </c>
      <c r="D676" s="9" t="str">
        <f>"罗小奋"</f>
        <v>罗小奋</v>
      </c>
    </row>
    <row r="677" spans="1:4" ht="34.5" customHeight="1">
      <c r="A677" s="8">
        <v>675</v>
      </c>
      <c r="B677" s="9" t="str">
        <f>"54112023062622495571611"</f>
        <v>54112023062622495571611</v>
      </c>
      <c r="C677" s="9" t="s">
        <v>9</v>
      </c>
      <c r="D677" s="9" t="str">
        <f>"陈亚亲"</f>
        <v>陈亚亲</v>
      </c>
    </row>
    <row r="678" spans="1:4" ht="34.5" customHeight="1">
      <c r="A678" s="8">
        <v>676</v>
      </c>
      <c r="B678" s="9" t="str">
        <f>"54112023062622541471628"</f>
        <v>54112023062622541471628</v>
      </c>
      <c r="C678" s="9" t="s">
        <v>9</v>
      </c>
      <c r="D678" s="9" t="str">
        <f>"陈蕾"</f>
        <v>陈蕾</v>
      </c>
    </row>
    <row r="679" spans="1:4" ht="34.5" customHeight="1">
      <c r="A679" s="8">
        <v>677</v>
      </c>
      <c r="B679" s="9" t="str">
        <f>"54112023062623315971739"</f>
        <v>54112023062623315971739</v>
      </c>
      <c r="C679" s="9" t="s">
        <v>9</v>
      </c>
      <c r="D679" s="9" t="str">
        <f>"林师 "</f>
        <v>林师 </v>
      </c>
    </row>
    <row r="680" spans="1:4" ht="34.5" customHeight="1">
      <c r="A680" s="8">
        <v>678</v>
      </c>
      <c r="B680" s="9" t="str">
        <f>"54112023062623352771744"</f>
        <v>54112023062623352771744</v>
      </c>
      <c r="C680" s="9" t="s">
        <v>9</v>
      </c>
      <c r="D680" s="9" t="str">
        <f>"张建萍"</f>
        <v>张建萍</v>
      </c>
    </row>
    <row r="681" spans="1:4" ht="34.5" customHeight="1">
      <c r="A681" s="8">
        <v>679</v>
      </c>
      <c r="B681" s="9" t="str">
        <f>"54112023062700324971821"</f>
        <v>54112023062700324971821</v>
      </c>
      <c r="C681" s="9" t="s">
        <v>9</v>
      </c>
      <c r="D681" s="9" t="str">
        <f>"蒙超莹"</f>
        <v>蒙超莹</v>
      </c>
    </row>
    <row r="682" spans="1:4" ht="34.5" customHeight="1">
      <c r="A682" s="8">
        <v>680</v>
      </c>
      <c r="B682" s="9" t="str">
        <f>"54112023062700002771787"</f>
        <v>54112023062700002771787</v>
      </c>
      <c r="C682" s="9" t="s">
        <v>9</v>
      </c>
      <c r="D682" s="9" t="str">
        <f>"陈秀珍"</f>
        <v>陈秀珍</v>
      </c>
    </row>
    <row r="683" spans="1:4" ht="34.5" customHeight="1">
      <c r="A683" s="8">
        <v>681</v>
      </c>
      <c r="B683" s="9" t="str">
        <f>"54112023062707593071951"</f>
        <v>54112023062707593071951</v>
      </c>
      <c r="C683" s="9" t="s">
        <v>9</v>
      </c>
      <c r="D683" s="9" t="str">
        <f>"占薇薇"</f>
        <v>占薇薇</v>
      </c>
    </row>
    <row r="684" spans="1:4" ht="34.5" customHeight="1">
      <c r="A684" s="8">
        <v>682</v>
      </c>
      <c r="B684" s="9" t="str">
        <f>"54112023062709130372289"</f>
        <v>54112023062709130372289</v>
      </c>
      <c r="C684" s="9" t="s">
        <v>9</v>
      </c>
      <c r="D684" s="9" t="str">
        <f>"李桃香"</f>
        <v>李桃香</v>
      </c>
    </row>
    <row r="685" spans="1:4" ht="34.5" customHeight="1">
      <c r="A685" s="8">
        <v>683</v>
      </c>
      <c r="B685" s="9" t="str">
        <f>"54112023062611023767491"</f>
        <v>54112023062611023767491</v>
      </c>
      <c r="C685" s="9" t="s">
        <v>9</v>
      </c>
      <c r="D685" s="9" t="str">
        <f>"吴丽梦"</f>
        <v>吴丽梦</v>
      </c>
    </row>
    <row r="686" spans="1:4" ht="34.5" customHeight="1">
      <c r="A686" s="8">
        <v>684</v>
      </c>
      <c r="B686" s="9" t="str">
        <f>"54112023062617234870059"</f>
        <v>54112023062617234870059</v>
      </c>
      <c r="C686" s="9" t="s">
        <v>9</v>
      </c>
      <c r="D686" s="9" t="str">
        <f>"张汉月"</f>
        <v>张汉月</v>
      </c>
    </row>
    <row r="687" spans="1:4" ht="34.5" customHeight="1">
      <c r="A687" s="8">
        <v>685</v>
      </c>
      <c r="B687" s="9" t="str">
        <f>"54112023062709305272401"</f>
        <v>54112023062709305272401</v>
      </c>
      <c r="C687" s="9" t="s">
        <v>9</v>
      </c>
      <c r="D687" s="9" t="str">
        <f>"潘娜"</f>
        <v>潘娜</v>
      </c>
    </row>
    <row r="688" spans="1:4" ht="34.5" customHeight="1">
      <c r="A688" s="8">
        <v>686</v>
      </c>
      <c r="B688" s="9" t="str">
        <f>"54112023062710511273211"</f>
        <v>54112023062710511273211</v>
      </c>
      <c r="C688" s="9" t="s">
        <v>9</v>
      </c>
      <c r="D688" s="9" t="str">
        <f>"陈慧"</f>
        <v>陈慧</v>
      </c>
    </row>
    <row r="689" spans="1:4" ht="34.5" customHeight="1">
      <c r="A689" s="8">
        <v>687</v>
      </c>
      <c r="B689" s="9" t="str">
        <f>"54112023062710354973106"</f>
        <v>54112023062710354973106</v>
      </c>
      <c r="C689" s="9" t="s">
        <v>9</v>
      </c>
      <c r="D689" s="9" t="str">
        <f>"唐玎玎"</f>
        <v>唐玎玎</v>
      </c>
    </row>
    <row r="690" spans="1:4" ht="34.5" customHeight="1">
      <c r="A690" s="8">
        <v>688</v>
      </c>
      <c r="B690" s="9" t="str">
        <f>"54112023062709144872298"</f>
        <v>54112023062709144872298</v>
      </c>
      <c r="C690" s="9" t="s">
        <v>9</v>
      </c>
      <c r="D690" s="9" t="str">
        <f>"符金妍"</f>
        <v>符金妍</v>
      </c>
    </row>
    <row r="691" spans="1:4" ht="34.5" customHeight="1">
      <c r="A691" s="8">
        <v>689</v>
      </c>
      <c r="B691" s="9" t="str">
        <f>"54112023062521481764655"</f>
        <v>54112023062521481764655</v>
      </c>
      <c r="C691" s="9" t="s">
        <v>9</v>
      </c>
      <c r="D691" s="9" t="str">
        <f>"苏秋雨"</f>
        <v>苏秋雨</v>
      </c>
    </row>
    <row r="692" spans="1:4" ht="34.5" customHeight="1">
      <c r="A692" s="8">
        <v>690</v>
      </c>
      <c r="B692" s="9" t="str">
        <f>"54112023062711390473431"</f>
        <v>54112023062711390473431</v>
      </c>
      <c r="C692" s="9" t="s">
        <v>9</v>
      </c>
      <c r="D692" s="9" t="str">
        <f>"郭艳彬"</f>
        <v>郭艳彬</v>
      </c>
    </row>
    <row r="693" spans="1:4" ht="34.5" customHeight="1">
      <c r="A693" s="8">
        <v>691</v>
      </c>
      <c r="B693" s="9" t="str">
        <f>"54112023062712131973570"</f>
        <v>54112023062712131973570</v>
      </c>
      <c r="C693" s="9" t="s">
        <v>9</v>
      </c>
      <c r="D693" s="9" t="str">
        <f>"符吉妃"</f>
        <v>符吉妃</v>
      </c>
    </row>
    <row r="694" spans="1:4" ht="34.5" customHeight="1">
      <c r="A694" s="8">
        <v>692</v>
      </c>
      <c r="B694" s="9" t="str">
        <f>"54112023062521113264430"</f>
        <v>54112023062521113264430</v>
      </c>
      <c r="C694" s="9" t="s">
        <v>9</v>
      </c>
      <c r="D694" s="9" t="str">
        <f>"王文南"</f>
        <v>王文南</v>
      </c>
    </row>
    <row r="695" spans="1:4" ht="34.5" customHeight="1">
      <c r="A695" s="8">
        <v>693</v>
      </c>
      <c r="B695" s="9" t="str">
        <f>"54112023062716190574445"</f>
        <v>54112023062716190574445</v>
      </c>
      <c r="C695" s="9" t="s">
        <v>9</v>
      </c>
      <c r="D695" s="9" t="str">
        <f>"歹雪"</f>
        <v>歹雪</v>
      </c>
    </row>
    <row r="696" spans="1:4" ht="34.5" customHeight="1">
      <c r="A696" s="8">
        <v>694</v>
      </c>
      <c r="B696" s="9" t="str">
        <f>"54112023062719093975464"</f>
        <v>54112023062719093975464</v>
      </c>
      <c r="C696" s="9" t="s">
        <v>9</v>
      </c>
      <c r="D696" s="9" t="str">
        <f>"许治青"</f>
        <v>许治青</v>
      </c>
    </row>
    <row r="697" spans="1:4" ht="34.5" customHeight="1">
      <c r="A697" s="8">
        <v>695</v>
      </c>
      <c r="B697" s="9" t="str">
        <f>"54112023062719560775613"</f>
        <v>54112023062719560775613</v>
      </c>
      <c r="C697" s="9" t="s">
        <v>9</v>
      </c>
      <c r="D697" s="9" t="str">
        <f>"赵海燕"</f>
        <v>赵海燕</v>
      </c>
    </row>
    <row r="698" spans="1:4" ht="34.5" customHeight="1">
      <c r="A698" s="8">
        <v>696</v>
      </c>
      <c r="B698" s="9" t="str">
        <f>"54112023062620381670961"</f>
        <v>54112023062620381670961</v>
      </c>
      <c r="C698" s="9" t="s">
        <v>9</v>
      </c>
      <c r="D698" s="9" t="str">
        <f>"符雪丹"</f>
        <v>符雪丹</v>
      </c>
    </row>
    <row r="699" spans="1:4" ht="34.5" customHeight="1">
      <c r="A699" s="8">
        <v>697</v>
      </c>
      <c r="B699" s="9" t="str">
        <f>"54112023062618450570454"</f>
        <v>54112023062618450570454</v>
      </c>
      <c r="C699" s="9" t="s">
        <v>9</v>
      </c>
      <c r="D699" s="9" t="str">
        <f>"王婷"</f>
        <v>王婷</v>
      </c>
    </row>
    <row r="700" spans="1:4" ht="34.5" customHeight="1">
      <c r="A700" s="8">
        <v>698</v>
      </c>
      <c r="B700" s="9" t="str">
        <f>"54112023062720405575752"</f>
        <v>54112023062720405575752</v>
      </c>
      <c r="C700" s="9" t="s">
        <v>9</v>
      </c>
      <c r="D700" s="9" t="str">
        <f>"韦温馨"</f>
        <v>韦温馨</v>
      </c>
    </row>
    <row r="701" spans="1:4" ht="34.5" customHeight="1">
      <c r="A701" s="8">
        <v>699</v>
      </c>
      <c r="B701" s="9" t="str">
        <f>"54112023062720454275768"</f>
        <v>54112023062720454275768</v>
      </c>
      <c r="C701" s="9" t="s">
        <v>9</v>
      </c>
      <c r="D701" s="9" t="str">
        <f>"羊引花"</f>
        <v>羊引花</v>
      </c>
    </row>
    <row r="702" spans="1:4" ht="34.5" customHeight="1">
      <c r="A702" s="8">
        <v>700</v>
      </c>
      <c r="B702" s="9" t="str">
        <f>"54112023062515530763087"</f>
        <v>54112023062515530763087</v>
      </c>
      <c r="C702" s="9" t="s">
        <v>9</v>
      </c>
      <c r="D702" s="9" t="str">
        <f>"符妹"</f>
        <v>符妹</v>
      </c>
    </row>
    <row r="703" spans="1:4" ht="34.5" customHeight="1">
      <c r="A703" s="8">
        <v>701</v>
      </c>
      <c r="B703" s="9" t="str">
        <f>"54112023062722060576100"</f>
        <v>54112023062722060576100</v>
      </c>
      <c r="C703" s="9" t="s">
        <v>9</v>
      </c>
      <c r="D703" s="9" t="str">
        <f>"陈雪"</f>
        <v>陈雪</v>
      </c>
    </row>
    <row r="704" spans="1:4" ht="34.5" customHeight="1">
      <c r="A704" s="8">
        <v>702</v>
      </c>
      <c r="B704" s="9" t="str">
        <f>"54112023062722350776178"</f>
        <v>54112023062722350776178</v>
      </c>
      <c r="C704" s="9" t="s">
        <v>9</v>
      </c>
      <c r="D704" s="9" t="str">
        <f>"蒲佳雪 "</f>
        <v>蒲佳雪 </v>
      </c>
    </row>
    <row r="705" spans="1:4" ht="34.5" customHeight="1">
      <c r="A705" s="8">
        <v>703</v>
      </c>
      <c r="B705" s="9" t="str">
        <f>"54112023062722354876180"</f>
        <v>54112023062722354876180</v>
      </c>
      <c r="C705" s="9" t="s">
        <v>9</v>
      </c>
      <c r="D705" s="9" t="str">
        <f>"周慧敏"</f>
        <v>周慧敏</v>
      </c>
    </row>
    <row r="706" spans="1:4" ht="34.5" customHeight="1">
      <c r="A706" s="8">
        <v>704</v>
      </c>
      <c r="B706" s="9" t="str">
        <f>"54112023062722450976212"</f>
        <v>54112023062722450976212</v>
      </c>
      <c r="C706" s="9" t="s">
        <v>9</v>
      </c>
      <c r="D706" s="9" t="str">
        <f>"杨珍"</f>
        <v>杨珍</v>
      </c>
    </row>
    <row r="707" spans="1:4" ht="34.5" customHeight="1">
      <c r="A707" s="8">
        <v>705</v>
      </c>
      <c r="B707" s="9" t="str">
        <f>"54112023062723291776301"</f>
        <v>54112023062723291776301</v>
      </c>
      <c r="C707" s="9" t="s">
        <v>9</v>
      </c>
      <c r="D707" s="9" t="str">
        <f>"吴小文"</f>
        <v>吴小文</v>
      </c>
    </row>
    <row r="708" spans="1:4" ht="34.5" customHeight="1">
      <c r="A708" s="8">
        <v>706</v>
      </c>
      <c r="B708" s="9" t="str">
        <f>"54112023062623212571705"</f>
        <v>54112023062623212571705</v>
      </c>
      <c r="C708" s="9" t="s">
        <v>9</v>
      </c>
      <c r="D708" s="9" t="str">
        <f>"潘一慧"</f>
        <v>潘一慧</v>
      </c>
    </row>
    <row r="709" spans="1:4" ht="34.5" customHeight="1">
      <c r="A709" s="8">
        <v>707</v>
      </c>
      <c r="B709" s="9" t="str">
        <f>"54112023062519245863969"</f>
        <v>54112023062519245863969</v>
      </c>
      <c r="C709" s="9" t="s">
        <v>9</v>
      </c>
      <c r="D709" s="9" t="str">
        <f>"苏艳妮"</f>
        <v>苏艳妮</v>
      </c>
    </row>
    <row r="710" spans="1:4" ht="34.5" customHeight="1">
      <c r="A710" s="8">
        <v>708</v>
      </c>
      <c r="B710" s="9" t="str">
        <f>"54112023062808313276571"</f>
        <v>54112023062808313276571</v>
      </c>
      <c r="C710" s="9" t="s">
        <v>9</v>
      </c>
      <c r="D710" s="9" t="str">
        <f>"殷小丽"</f>
        <v>殷小丽</v>
      </c>
    </row>
    <row r="711" spans="1:4" ht="34.5" customHeight="1">
      <c r="A711" s="8">
        <v>709</v>
      </c>
      <c r="B711" s="9" t="str">
        <f>"54112023062809075176734"</f>
        <v>54112023062809075176734</v>
      </c>
      <c r="C711" s="9" t="s">
        <v>9</v>
      </c>
      <c r="D711" s="9" t="str">
        <f>"王海云"</f>
        <v>王海云</v>
      </c>
    </row>
    <row r="712" spans="1:4" ht="34.5" customHeight="1">
      <c r="A712" s="8">
        <v>710</v>
      </c>
      <c r="B712" s="9" t="str">
        <f>"54112023062722565276247"</f>
        <v>54112023062722565276247</v>
      </c>
      <c r="C712" s="9" t="s">
        <v>9</v>
      </c>
      <c r="D712" s="9" t="str">
        <f>"梁凯凯"</f>
        <v>梁凯凯</v>
      </c>
    </row>
    <row r="713" spans="1:4" ht="34.5" customHeight="1">
      <c r="A713" s="8">
        <v>711</v>
      </c>
      <c r="B713" s="9" t="str">
        <f>"54112023062809502976947"</f>
        <v>54112023062809502976947</v>
      </c>
      <c r="C713" s="9" t="s">
        <v>9</v>
      </c>
      <c r="D713" s="9" t="str">
        <f>"黄琼哗"</f>
        <v>黄琼哗</v>
      </c>
    </row>
    <row r="714" spans="1:4" ht="34.5" customHeight="1">
      <c r="A714" s="8">
        <v>712</v>
      </c>
      <c r="B714" s="9" t="str">
        <f>"54112023062710441373165"</f>
        <v>54112023062710441373165</v>
      </c>
      <c r="C714" s="9" t="s">
        <v>9</v>
      </c>
      <c r="D714" s="9" t="str">
        <f>"龙曼"</f>
        <v>龙曼</v>
      </c>
    </row>
    <row r="715" spans="1:4" ht="34.5" customHeight="1">
      <c r="A715" s="8">
        <v>713</v>
      </c>
      <c r="B715" s="9" t="str">
        <f>"54112023062810564477350"</f>
        <v>54112023062810564477350</v>
      </c>
      <c r="C715" s="9" t="s">
        <v>9</v>
      </c>
      <c r="D715" s="9" t="str">
        <f>"黄美琪"</f>
        <v>黄美琪</v>
      </c>
    </row>
    <row r="716" spans="1:4" ht="34.5" customHeight="1">
      <c r="A716" s="8">
        <v>714</v>
      </c>
      <c r="B716" s="9" t="str">
        <f>"54112023062518113763709"</f>
        <v>54112023062518113763709</v>
      </c>
      <c r="C716" s="9" t="s">
        <v>9</v>
      </c>
      <c r="D716" s="9" t="str">
        <f>"陈珊晶"</f>
        <v>陈珊晶</v>
      </c>
    </row>
    <row r="717" spans="1:4" ht="34.5" customHeight="1">
      <c r="A717" s="8">
        <v>715</v>
      </c>
      <c r="B717" s="9" t="str">
        <f>"54112023062811034477386"</f>
        <v>54112023062811034477386</v>
      </c>
      <c r="C717" s="9" t="s">
        <v>9</v>
      </c>
      <c r="D717" s="9" t="str">
        <f>"关远琴"</f>
        <v>关远琴</v>
      </c>
    </row>
    <row r="718" spans="1:4" ht="34.5" customHeight="1">
      <c r="A718" s="8">
        <v>716</v>
      </c>
      <c r="B718" s="9" t="str">
        <f>"54112023062715103974132"</f>
        <v>54112023062715103974132</v>
      </c>
      <c r="C718" s="9" t="s">
        <v>9</v>
      </c>
      <c r="D718" s="9" t="str">
        <f>"冯慧"</f>
        <v>冯慧</v>
      </c>
    </row>
    <row r="719" spans="1:4" ht="34.5" customHeight="1">
      <c r="A719" s="8">
        <v>717</v>
      </c>
      <c r="B719" s="9" t="str">
        <f>"54112023062812423977843"</f>
        <v>54112023062812423977843</v>
      </c>
      <c r="C719" s="9" t="s">
        <v>9</v>
      </c>
      <c r="D719" s="9" t="str">
        <f>"符艳姣"</f>
        <v>符艳姣</v>
      </c>
    </row>
    <row r="720" spans="1:4" ht="34.5" customHeight="1">
      <c r="A720" s="8">
        <v>718</v>
      </c>
      <c r="B720" s="9" t="str">
        <f>"54112023062813121877962"</f>
        <v>54112023062813121877962</v>
      </c>
      <c r="C720" s="9" t="s">
        <v>9</v>
      </c>
      <c r="D720" s="9" t="str">
        <f>"王碧丽"</f>
        <v>王碧丽</v>
      </c>
    </row>
    <row r="721" spans="1:4" ht="34.5" customHeight="1">
      <c r="A721" s="8">
        <v>719</v>
      </c>
      <c r="B721" s="9" t="str">
        <f>"54112023062813563478081"</f>
        <v>54112023062813563478081</v>
      </c>
      <c r="C721" s="9" t="s">
        <v>9</v>
      </c>
      <c r="D721" s="9" t="str">
        <f>"王英"</f>
        <v>王英</v>
      </c>
    </row>
    <row r="722" spans="1:4" ht="34.5" customHeight="1">
      <c r="A722" s="8">
        <v>720</v>
      </c>
      <c r="B722" s="9" t="str">
        <f>"54112023062709091372260"</f>
        <v>54112023062709091372260</v>
      </c>
      <c r="C722" s="9" t="s">
        <v>9</v>
      </c>
      <c r="D722" s="9" t="str">
        <f>"谢黄娇"</f>
        <v>谢黄娇</v>
      </c>
    </row>
    <row r="723" spans="1:4" ht="34.5" customHeight="1">
      <c r="A723" s="8">
        <v>721</v>
      </c>
      <c r="B723" s="9" t="str">
        <f>"54112023062815433178548"</f>
        <v>54112023062815433178548</v>
      </c>
      <c r="C723" s="9" t="s">
        <v>9</v>
      </c>
      <c r="D723" s="9" t="str">
        <f>"江颖"</f>
        <v>江颖</v>
      </c>
    </row>
    <row r="724" spans="1:4" ht="34.5" customHeight="1">
      <c r="A724" s="8">
        <v>722</v>
      </c>
      <c r="B724" s="9" t="str">
        <f>"54112023062815464778560"</f>
        <v>54112023062815464778560</v>
      </c>
      <c r="C724" s="9" t="s">
        <v>9</v>
      </c>
      <c r="D724" s="9" t="str">
        <f>"梁晶玉"</f>
        <v>梁晶玉</v>
      </c>
    </row>
    <row r="725" spans="1:4" ht="34.5" customHeight="1">
      <c r="A725" s="8">
        <v>723</v>
      </c>
      <c r="B725" s="9" t="str">
        <f>"54112023062817173678974"</f>
        <v>54112023062817173678974</v>
      </c>
      <c r="C725" s="9" t="s">
        <v>9</v>
      </c>
      <c r="D725" s="9" t="str">
        <f>"王清丽"</f>
        <v>王清丽</v>
      </c>
    </row>
    <row r="726" spans="1:4" ht="34.5" customHeight="1">
      <c r="A726" s="8">
        <v>724</v>
      </c>
      <c r="B726" s="9" t="str">
        <f>"54112023062818072279140"</f>
        <v>54112023062818072279140</v>
      </c>
      <c r="C726" s="9" t="s">
        <v>9</v>
      </c>
      <c r="D726" s="9" t="str">
        <f>"詹达丽"</f>
        <v>詹达丽</v>
      </c>
    </row>
    <row r="727" spans="1:4" ht="34.5" customHeight="1">
      <c r="A727" s="8">
        <v>725</v>
      </c>
      <c r="B727" s="9" t="str">
        <f>"54112023062818035079119"</f>
        <v>54112023062818035079119</v>
      </c>
      <c r="C727" s="9" t="s">
        <v>9</v>
      </c>
      <c r="D727" s="9" t="str">
        <f>"朱琳"</f>
        <v>朱琳</v>
      </c>
    </row>
    <row r="728" spans="1:4" ht="34.5" customHeight="1">
      <c r="A728" s="8">
        <v>726</v>
      </c>
      <c r="B728" s="9" t="str">
        <f>"54112023062709164772314"</f>
        <v>54112023062709164772314</v>
      </c>
      <c r="C728" s="9" t="s">
        <v>9</v>
      </c>
      <c r="D728" s="9" t="str">
        <f>"吴伊洁"</f>
        <v>吴伊洁</v>
      </c>
    </row>
    <row r="729" spans="1:4" ht="34.5" customHeight="1">
      <c r="A729" s="8">
        <v>727</v>
      </c>
      <c r="B729" s="9" t="str">
        <f>"54112023062819551979460"</f>
        <v>54112023062819551979460</v>
      </c>
      <c r="C729" s="9" t="s">
        <v>9</v>
      </c>
      <c r="D729" s="9" t="str">
        <f>"韦小恋"</f>
        <v>韦小恋</v>
      </c>
    </row>
    <row r="730" spans="1:4" ht="34.5" customHeight="1">
      <c r="A730" s="8">
        <v>728</v>
      </c>
      <c r="B730" s="9" t="str">
        <f>"54112023062820104079525"</f>
        <v>54112023062820104079525</v>
      </c>
      <c r="C730" s="9" t="s">
        <v>9</v>
      </c>
      <c r="D730" s="9" t="str">
        <f>"郭小丹"</f>
        <v>郭小丹</v>
      </c>
    </row>
    <row r="731" spans="1:4" ht="34.5" customHeight="1">
      <c r="A731" s="8">
        <v>729</v>
      </c>
      <c r="B731" s="9" t="str">
        <f>"54112023062821155479761"</f>
        <v>54112023062821155479761</v>
      </c>
      <c r="C731" s="9" t="s">
        <v>9</v>
      </c>
      <c r="D731" s="9" t="str">
        <f>"陈仕云"</f>
        <v>陈仕云</v>
      </c>
    </row>
    <row r="732" spans="1:4" ht="34.5" customHeight="1">
      <c r="A732" s="8">
        <v>730</v>
      </c>
      <c r="B732" s="9" t="str">
        <f>"54112023062822052679995"</f>
        <v>54112023062822052679995</v>
      </c>
      <c r="C732" s="9" t="s">
        <v>9</v>
      </c>
      <c r="D732" s="9" t="str">
        <f>"何美霞"</f>
        <v>何美霞</v>
      </c>
    </row>
    <row r="733" spans="1:4" ht="34.5" customHeight="1">
      <c r="A733" s="8">
        <v>731</v>
      </c>
      <c r="B733" s="9" t="str">
        <f>"54112023062822390480124"</f>
        <v>54112023062822390480124</v>
      </c>
      <c r="C733" s="9" t="s">
        <v>9</v>
      </c>
      <c r="D733" s="9" t="str">
        <f>"王小妹"</f>
        <v>王小妹</v>
      </c>
    </row>
    <row r="734" spans="1:4" ht="34.5" customHeight="1">
      <c r="A734" s="8">
        <v>732</v>
      </c>
      <c r="B734" s="9" t="str">
        <f>"54112023062822505980172"</f>
        <v>54112023062822505980172</v>
      </c>
      <c r="C734" s="9" t="s">
        <v>9</v>
      </c>
      <c r="D734" s="9" t="str">
        <f>"刘芳燕"</f>
        <v>刘芳燕</v>
      </c>
    </row>
    <row r="735" spans="1:4" ht="34.5" customHeight="1">
      <c r="A735" s="8">
        <v>733</v>
      </c>
      <c r="B735" s="9" t="str">
        <f>"54112023062719482275591"</f>
        <v>54112023062719482275591</v>
      </c>
      <c r="C735" s="9" t="s">
        <v>9</v>
      </c>
      <c r="D735" s="9" t="str">
        <f>"卢传芬"</f>
        <v>卢传芬</v>
      </c>
    </row>
    <row r="736" spans="1:4" ht="34.5" customHeight="1">
      <c r="A736" s="8">
        <v>734</v>
      </c>
      <c r="B736" s="9" t="str">
        <f>"54112023062614461468971"</f>
        <v>54112023062614461468971</v>
      </c>
      <c r="C736" s="9" t="s">
        <v>9</v>
      </c>
      <c r="D736" s="9" t="str">
        <f>"冼金宝"</f>
        <v>冼金宝</v>
      </c>
    </row>
    <row r="737" spans="1:4" ht="34.5" customHeight="1">
      <c r="A737" s="8">
        <v>735</v>
      </c>
      <c r="B737" s="9" t="str">
        <f>"54112023062909213980955"</f>
        <v>54112023062909213980955</v>
      </c>
      <c r="C737" s="9" t="s">
        <v>9</v>
      </c>
      <c r="D737" s="9" t="str">
        <f>"陈开顺"</f>
        <v>陈开顺</v>
      </c>
    </row>
    <row r="738" spans="1:4" ht="34.5" customHeight="1">
      <c r="A738" s="8">
        <v>736</v>
      </c>
      <c r="B738" s="9" t="str">
        <f>"54112023062908515980671"</f>
        <v>54112023062908515980671</v>
      </c>
      <c r="C738" s="9" t="s">
        <v>9</v>
      </c>
      <c r="D738" s="9" t="str">
        <f>"苏秀玲"</f>
        <v>苏秀玲</v>
      </c>
    </row>
    <row r="739" spans="1:4" ht="34.5" customHeight="1">
      <c r="A739" s="8">
        <v>737</v>
      </c>
      <c r="B739" s="9" t="str">
        <f>"54112023062910053981378"</f>
        <v>54112023062910053981378</v>
      </c>
      <c r="C739" s="9" t="s">
        <v>9</v>
      </c>
      <c r="D739" s="9" t="str">
        <f>"符巧羽"</f>
        <v>符巧羽</v>
      </c>
    </row>
    <row r="740" spans="1:4" ht="34.5" customHeight="1">
      <c r="A740" s="8">
        <v>738</v>
      </c>
      <c r="B740" s="9" t="str">
        <f>"54112023062910293181630"</f>
        <v>54112023062910293181630</v>
      </c>
      <c r="C740" s="9" t="s">
        <v>9</v>
      </c>
      <c r="D740" s="9" t="str">
        <f>"许晶晶"</f>
        <v>许晶晶</v>
      </c>
    </row>
    <row r="741" spans="1:4" ht="34.5" customHeight="1">
      <c r="A741" s="8">
        <v>739</v>
      </c>
      <c r="B741" s="9" t="str">
        <f>"54112023062910185681525"</f>
        <v>54112023062910185681525</v>
      </c>
      <c r="C741" s="9" t="s">
        <v>9</v>
      </c>
      <c r="D741" s="9" t="str">
        <f>"李暖"</f>
        <v>李暖</v>
      </c>
    </row>
    <row r="742" spans="1:4" ht="34.5" customHeight="1">
      <c r="A742" s="8">
        <v>740</v>
      </c>
      <c r="B742" s="9" t="str">
        <f>"54112023062912111682413"</f>
        <v>54112023062912111682413</v>
      </c>
      <c r="C742" s="9" t="s">
        <v>9</v>
      </c>
      <c r="D742" s="9" t="str">
        <f>"吴小婷"</f>
        <v>吴小婷</v>
      </c>
    </row>
    <row r="743" spans="1:4" ht="34.5" customHeight="1">
      <c r="A743" s="8">
        <v>741</v>
      </c>
      <c r="B743" s="9" t="str">
        <f>"54112023062915195583403"</f>
        <v>54112023062915195583403</v>
      </c>
      <c r="C743" s="9" t="s">
        <v>9</v>
      </c>
      <c r="D743" s="9" t="str">
        <f>"符霜豪"</f>
        <v>符霜豪</v>
      </c>
    </row>
    <row r="744" spans="1:4" ht="34.5" customHeight="1">
      <c r="A744" s="8">
        <v>742</v>
      </c>
      <c r="B744" s="9" t="str">
        <f>"54112023062915160283369"</f>
        <v>54112023062915160283369</v>
      </c>
      <c r="C744" s="9" t="s">
        <v>9</v>
      </c>
      <c r="D744" s="9" t="str">
        <f>"梁嘉懿"</f>
        <v>梁嘉懿</v>
      </c>
    </row>
    <row r="745" spans="1:4" ht="34.5" customHeight="1">
      <c r="A745" s="8">
        <v>743</v>
      </c>
      <c r="B745" s="9" t="str">
        <f>"54112023062910024381353"</f>
        <v>54112023062910024381353</v>
      </c>
      <c r="C745" s="9" t="s">
        <v>9</v>
      </c>
      <c r="D745" s="9" t="str">
        <f>"李婷梅"</f>
        <v>李婷梅</v>
      </c>
    </row>
    <row r="746" spans="1:4" ht="34.5" customHeight="1">
      <c r="A746" s="8">
        <v>744</v>
      </c>
      <c r="B746" s="9" t="str">
        <f>"54112023062915444983592"</f>
        <v>54112023062915444983592</v>
      </c>
      <c r="C746" s="9" t="s">
        <v>9</v>
      </c>
      <c r="D746" s="9" t="str">
        <f>"李小静"</f>
        <v>李小静</v>
      </c>
    </row>
    <row r="747" spans="1:4" ht="34.5" customHeight="1">
      <c r="A747" s="8">
        <v>745</v>
      </c>
      <c r="B747" s="9" t="str">
        <f>"54112023062915280083459"</f>
        <v>54112023062915280083459</v>
      </c>
      <c r="C747" s="9" t="s">
        <v>9</v>
      </c>
      <c r="D747" s="9" t="str">
        <f>"谭金佩"</f>
        <v>谭金佩</v>
      </c>
    </row>
    <row r="748" spans="1:4" ht="34.5" customHeight="1">
      <c r="A748" s="8">
        <v>746</v>
      </c>
      <c r="B748" s="9" t="str">
        <f>"54112023062916143183816"</f>
        <v>54112023062916143183816</v>
      </c>
      <c r="C748" s="9" t="s">
        <v>9</v>
      </c>
      <c r="D748" s="9" t="str">
        <f>"钟文苑"</f>
        <v>钟文苑</v>
      </c>
    </row>
    <row r="749" spans="1:4" ht="34.5" customHeight="1">
      <c r="A749" s="8">
        <v>747</v>
      </c>
      <c r="B749" s="9" t="str">
        <f>"54112023062914441083164"</f>
        <v>54112023062914441083164</v>
      </c>
      <c r="C749" s="9" t="s">
        <v>9</v>
      </c>
      <c r="D749" s="9" t="str">
        <f>"张丽虹"</f>
        <v>张丽虹</v>
      </c>
    </row>
    <row r="750" spans="1:4" ht="34.5" customHeight="1">
      <c r="A750" s="8">
        <v>748</v>
      </c>
      <c r="B750" s="9" t="str">
        <f>"54112023062916451784017"</f>
        <v>54112023062916451784017</v>
      </c>
      <c r="C750" s="9" t="s">
        <v>9</v>
      </c>
      <c r="D750" s="9" t="str">
        <f>"莫春梅"</f>
        <v>莫春梅</v>
      </c>
    </row>
    <row r="751" spans="1:4" ht="34.5" customHeight="1">
      <c r="A751" s="8">
        <v>749</v>
      </c>
      <c r="B751" s="9" t="str">
        <f>"54112023062915582583690"</f>
        <v>54112023062915582583690</v>
      </c>
      <c r="C751" s="9" t="s">
        <v>9</v>
      </c>
      <c r="D751" s="9" t="str">
        <f>"张淑清"</f>
        <v>张淑清</v>
      </c>
    </row>
    <row r="752" spans="1:4" ht="34.5" customHeight="1">
      <c r="A752" s="8">
        <v>750</v>
      </c>
      <c r="B752" s="9" t="str">
        <f>"54112023062612454768338"</f>
        <v>54112023062612454768338</v>
      </c>
      <c r="C752" s="9" t="s">
        <v>9</v>
      </c>
      <c r="D752" s="9" t="str">
        <f>"邱文诗"</f>
        <v>邱文诗</v>
      </c>
    </row>
    <row r="753" spans="1:4" ht="34.5" customHeight="1">
      <c r="A753" s="8">
        <v>751</v>
      </c>
      <c r="B753" s="9" t="str">
        <f>"54112023062719561075614"</f>
        <v>54112023062719561075614</v>
      </c>
      <c r="C753" s="9" t="s">
        <v>9</v>
      </c>
      <c r="D753" s="9" t="str">
        <f>"张英桃"</f>
        <v>张英桃</v>
      </c>
    </row>
    <row r="754" spans="1:4" ht="34.5" customHeight="1">
      <c r="A754" s="8">
        <v>752</v>
      </c>
      <c r="B754" s="9" t="str">
        <f>"54112023062919155584809"</f>
        <v>54112023062919155584809</v>
      </c>
      <c r="C754" s="9" t="s">
        <v>9</v>
      </c>
      <c r="D754" s="9" t="str">
        <f>"廖庆蓉"</f>
        <v>廖庆蓉</v>
      </c>
    </row>
    <row r="755" spans="1:4" ht="34.5" customHeight="1">
      <c r="A755" s="8">
        <v>753</v>
      </c>
      <c r="B755" s="9" t="str">
        <f>"54112023062523041364918"</f>
        <v>54112023062523041364918</v>
      </c>
      <c r="C755" s="9" t="s">
        <v>9</v>
      </c>
      <c r="D755" s="9" t="str">
        <f>"吴井爱"</f>
        <v>吴井爱</v>
      </c>
    </row>
    <row r="756" spans="1:4" ht="34.5" customHeight="1">
      <c r="A756" s="8">
        <v>754</v>
      </c>
      <c r="B756" s="9" t="str">
        <f>"54112023062920553985344"</f>
        <v>54112023062920553985344</v>
      </c>
      <c r="C756" s="9" t="s">
        <v>9</v>
      </c>
      <c r="D756" s="9" t="str">
        <f>"王汝芬"</f>
        <v>王汝芬</v>
      </c>
    </row>
    <row r="757" spans="1:4" ht="34.5" customHeight="1">
      <c r="A757" s="8">
        <v>755</v>
      </c>
      <c r="B757" s="9" t="str">
        <f>"54112023062722535776240"</f>
        <v>54112023062722535776240</v>
      </c>
      <c r="C757" s="9" t="s">
        <v>9</v>
      </c>
      <c r="D757" s="9" t="str">
        <f>"陈惠贞"</f>
        <v>陈惠贞</v>
      </c>
    </row>
    <row r="758" spans="1:4" ht="34.5" customHeight="1">
      <c r="A758" s="8">
        <v>756</v>
      </c>
      <c r="B758" s="9" t="str">
        <f>"54112023062923320686279"</f>
        <v>54112023062923320686279</v>
      </c>
      <c r="C758" s="9" t="s">
        <v>9</v>
      </c>
      <c r="D758" s="9" t="str">
        <f>"李梅金"</f>
        <v>李梅金</v>
      </c>
    </row>
    <row r="759" spans="1:4" ht="34.5" customHeight="1">
      <c r="A759" s="8">
        <v>757</v>
      </c>
      <c r="B759" s="9" t="str">
        <f>"54112023062517320563573"</f>
        <v>54112023062517320563573</v>
      </c>
      <c r="C759" s="9" t="s">
        <v>9</v>
      </c>
      <c r="D759" s="9" t="str">
        <f>"李引妃"</f>
        <v>李引妃</v>
      </c>
    </row>
    <row r="760" spans="1:4" ht="34.5" customHeight="1">
      <c r="A760" s="8">
        <v>758</v>
      </c>
      <c r="B760" s="9" t="str">
        <f>"54112023063010390987660"</f>
        <v>54112023063010390987660</v>
      </c>
      <c r="C760" s="9" t="s">
        <v>9</v>
      </c>
      <c r="D760" s="9" t="str">
        <f>"王槐红"</f>
        <v>王槐红</v>
      </c>
    </row>
    <row r="761" spans="1:4" ht="34.5" customHeight="1">
      <c r="A761" s="8">
        <v>759</v>
      </c>
      <c r="B761" s="9" t="str">
        <f>"54112023063011070987867"</f>
        <v>54112023063011070987867</v>
      </c>
      <c r="C761" s="9" t="s">
        <v>9</v>
      </c>
      <c r="D761" s="9" t="str">
        <f>"钟小珍"</f>
        <v>钟小珍</v>
      </c>
    </row>
    <row r="762" spans="1:4" ht="34.5" customHeight="1">
      <c r="A762" s="8">
        <v>760</v>
      </c>
      <c r="B762" s="9" t="str">
        <f>"54112023062616550469896"</f>
        <v>54112023062616550469896</v>
      </c>
      <c r="C762" s="9" t="s">
        <v>9</v>
      </c>
      <c r="D762" s="9" t="str">
        <f>"符莉英"</f>
        <v>符莉英</v>
      </c>
    </row>
    <row r="763" spans="1:4" ht="34.5" customHeight="1">
      <c r="A763" s="8">
        <v>761</v>
      </c>
      <c r="B763" s="9" t="str">
        <f>"54112023063011370888035"</f>
        <v>54112023063011370888035</v>
      </c>
      <c r="C763" s="9" t="s">
        <v>9</v>
      </c>
      <c r="D763" s="9" t="str">
        <f>"符珠廷"</f>
        <v>符珠廷</v>
      </c>
    </row>
    <row r="764" spans="1:4" ht="34.5" customHeight="1">
      <c r="A764" s="8">
        <v>762</v>
      </c>
      <c r="B764" s="9" t="str">
        <f>"54112023062920025385048"</f>
        <v>54112023062920025385048</v>
      </c>
      <c r="C764" s="9" t="s">
        <v>9</v>
      </c>
      <c r="D764" s="9" t="str">
        <f>"李梓毓"</f>
        <v>李梓毓</v>
      </c>
    </row>
    <row r="765" spans="1:4" ht="34.5" customHeight="1">
      <c r="A765" s="8">
        <v>763</v>
      </c>
      <c r="B765" s="9" t="str">
        <f>"54112023063012453788428"</f>
        <v>54112023063012453788428</v>
      </c>
      <c r="C765" s="9" t="s">
        <v>9</v>
      </c>
      <c r="D765" s="9" t="str">
        <f>"刘婉欣"</f>
        <v>刘婉欣</v>
      </c>
    </row>
    <row r="766" spans="1:4" ht="34.5" customHeight="1">
      <c r="A766" s="8">
        <v>764</v>
      </c>
      <c r="B766" s="9" t="str">
        <f>"54112023062917435084362"</f>
        <v>54112023062917435084362</v>
      </c>
      <c r="C766" s="9" t="s">
        <v>9</v>
      </c>
      <c r="D766" s="9" t="str">
        <f>"卢邓烹"</f>
        <v>卢邓烹</v>
      </c>
    </row>
    <row r="767" spans="1:4" ht="34.5" customHeight="1">
      <c r="A767" s="8">
        <v>765</v>
      </c>
      <c r="B767" s="9" t="str">
        <f>"54112023063016201489847"</f>
        <v>54112023063016201489847</v>
      </c>
      <c r="C767" s="9" t="s">
        <v>9</v>
      </c>
      <c r="D767" s="9" t="str">
        <f>"陈婷婷"</f>
        <v>陈婷婷</v>
      </c>
    </row>
    <row r="768" spans="1:4" ht="34.5" customHeight="1">
      <c r="A768" s="8">
        <v>766</v>
      </c>
      <c r="B768" s="9" t="str">
        <f>"54112023062609072365689"</f>
        <v>54112023062609072365689</v>
      </c>
      <c r="C768" s="9" t="s">
        <v>9</v>
      </c>
      <c r="D768" s="9" t="str">
        <f>"吴梦楠"</f>
        <v>吴梦楠</v>
      </c>
    </row>
    <row r="769" spans="1:4" ht="34.5" customHeight="1">
      <c r="A769" s="8">
        <v>767</v>
      </c>
      <c r="B769" s="9" t="str">
        <f>"54112023062915354283517"</f>
        <v>54112023062915354283517</v>
      </c>
      <c r="C769" s="9" t="s">
        <v>9</v>
      </c>
      <c r="D769" s="9" t="str">
        <f>"王莲花"</f>
        <v>王莲花</v>
      </c>
    </row>
    <row r="770" spans="1:4" ht="34.5" customHeight="1">
      <c r="A770" s="8">
        <v>768</v>
      </c>
      <c r="B770" s="9" t="str">
        <f>"54112023063020344790380"</f>
        <v>54112023063020344790380</v>
      </c>
      <c r="C770" s="9" t="s">
        <v>9</v>
      </c>
      <c r="D770" s="9" t="str">
        <f>"张毕"</f>
        <v>张毕</v>
      </c>
    </row>
    <row r="771" spans="1:4" ht="34.5" customHeight="1">
      <c r="A771" s="8">
        <v>769</v>
      </c>
      <c r="B771" s="9" t="str">
        <f>"54112023062721181175909"</f>
        <v>54112023062721181175909</v>
      </c>
      <c r="C771" s="9" t="s">
        <v>9</v>
      </c>
      <c r="D771" s="9" t="str">
        <f>"汤晓爽"</f>
        <v>汤晓爽</v>
      </c>
    </row>
    <row r="772" spans="1:4" ht="34.5" customHeight="1">
      <c r="A772" s="8">
        <v>770</v>
      </c>
      <c r="B772" s="9" t="str">
        <f>"54112023070108044090842"</f>
        <v>54112023070108044090842</v>
      </c>
      <c r="C772" s="9" t="s">
        <v>9</v>
      </c>
      <c r="D772" s="9" t="str">
        <f>"符小丹"</f>
        <v>符小丹</v>
      </c>
    </row>
    <row r="773" spans="1:4" ht="34.5" customHeight="1">
      <c r="A773" s="8">
        <v>771</v>
      </c>
      <c r="B773" s="9" t="str">
        <f>"54112023070109220890949"</f>
        <v>54112023070109220890949</v>
      </c>
      <c r="C773" s="9" t="s">
        <v>9</v>
      </c>
      <c r="D773" s="9" t="str">
        <f>"段雨薇"</f>
        <v>段雨薇</v>
      </c>
    </row>
    <row r="774" spans="1:4" ht="34.5" customHeight="1">
      <c r="A774" s="8">
        <v>772</v>
      </c>
      <c r="B774" s="9" t="str">
        <f>"54112023062521413464614"</f>
        <v>54112023062521413464614</v>
      </c>
      <c r="C774" s="9" t="s">
        <v>9</v>
      </c>
      <c r="D774" s="9" t="str">
        <f>"蒙建桦"</f>
        <v>蒙建桦</v>
      </c>
    </row>
    <row r="775" spans="1:4" ht="34.5" customHeight="1">
      <c r="A775" s="8">
        <v>773</v>
      </c>
      <c r="B775" s="9" t="str">
        <f>"54112023070111453291292"</f>
        <v>54112023070111453291292</v>
      </c>
      <c r="C775" s="9" t="s">
        <v>9</v>
      </c>
      <c r="D775" s="9" t="str">
        <f>"韩心怡"</f>
        <v>韩心怡</v>
      </c>
    </row>
    <row r="776" spans="1:4" ht="34.5" customHeight="1">
      <c r="A776" s="8">
        <v>774</v>
      </c>
      <c r="B776" s="9" t="str">
        <f>"54112023063000131986421"</f>
        <v>54112023063000131986421</v>
      </c>
      <c r="C776" s="9" t="s">
        <v>9</v>
      </c>
      <c r="D776" s="9" t="str">
        <f>"王位双"</f>
        <v>王位双</v>
      </c>
    </row>
    <row r="777" spans="1:4" ht="34.5" customHeight="1">
      <c r="A777" s="8">
        <v>775</v>
      </c>
      <c r="B777" s="9" t="str">
        <f>"54112023062610085566731"</f>
        <v>54112023062610085566731</v>
      </c>
      <c r="C777" s="9" t="s">
        <v>9</v>
      </c>
      <c r="D777" s="9" t="str">
        <f>"贺莉莹"</f>
        <v>贺莉莹</v>
      </c>
    </row>
    <row r="778" spans="1:4" ht="34.5" customHeight="1">
      <c r="A778" s="8">
        <v>776</v>
      </c>
      <c r="B778" s="9" t="str">
        <f>"54112023070118084792022"</f>
        <v>54112023070118084792022</v>
      </c>
      <c r="C778" s="9" t="s">
        <v>9</v>
      </c>
      <c r="D778" s="9" t="str">
        <f>"叶江岚"</f>
        <v>叶江岚</v>
      </c>
    </row>
    <row r="779" spans="1:4" ht="34.5" customHeight="1">
      <c r="A779" s="8">
        <v>777</v>
      </c>
      <c r="B779" s="9" t="str">
        <f>"54112023070118435592076"</f>
        <v>54112023070118435592076</v>
      </c>
      <c r="C779" s="9" t="s">
        <v>9</v>
      </c>
      <c r="D779" s="9" t="str">
        <f>"蔡蓉桢"</f>
        <v>蔡蓉桢</v>
      </c>
    </row>
    <row r="780" spans="1:4" ht="34.5" customHeight="1">
      <c r="A780" s="8">
        <v>778</v>
      </c>
      <c r="B780" s="9" t="str">
        <f>"54112023070121081492390"</f>
        <v>54112023070121081492390</v>
      </c>
      <c r="C780" s="9" t="s">
        <v>9</v>
      </c>
      <c r="D780" s="9" t="str">
        <f>"林赐丹"</f>
        <v>林赐丹</v>
      </c>
    </row>
    <row r="781" spans="1:4" ht="34.5" customHeight="1">
      <c r="A781" s="8">
        <v>779</v>
      </c>
      <c r="B781" s="9" t="str">
        <f>"54112023070121393392451"</f>
        <v>54112023070121393392451</v>
      </c>
      <c r="C781" s="9" t="s">
        <v>9</v>
      </c>
      <c r="D781" s="9" t="str">
        <f>"郑花"</f>
        <v>郑花</v>
      </c>
    </row>
    <row r="782" spans="1:4" ht="34.5" customHeight="1">
      <c r="A782" s="8">
        <v>780</v>
      </c>
      <c r="B782" s="9" t="str">
        <f>"54112023070121554592497"</f>
        <v>54112023070121554592497</v>
      </c>
      <c r="C782" s="9" t="s">
        <v>9</v>
      </c>
      <c r="D782" s="9" t="str">
        <f>"钟红灵"</f>
        <v>钟红灵</v>
      </c>
    </row>
    <row r="783" spans="1:4" ht="34.5" customHeight="1">
      <c r="A783" s="8">
        <v>781</v>
      </c>
      <c r="B783" s="9" t="str">
        <f>"54112023070123145492646"</f>
        <v>54112023070123145492646</v>
      </c>
      <c r="C783" s="9" t="s">
        <v>9</v>
      </c>
      <c r="D783" s="9" t="str">
        <f>"卜开英"</f>
        <v>卜开英</v>
      </c>
    </row>
    <row r="784" spans="1:4" ht="34.5" customHeight="1">
      <c r="A784" s="8">
        <v>782</v>
      </c>
      <c r="B784" s="9" t="str">
        <f>"54112023070200115992724"</f>
        <v>54112023070200115992724</v>
      </c>
      <c r="C784" s="9" t="s">
        <v>9</v>
      </c>
      <c r="D784" s="9" t="str">
        <f>"陈莹"</f>
        <v>陈莹</v>
      </c>
    </row>
    <row r="785" spans="1:4" ht="34.5" customHeight="1">
      <c r="A785" s="8">
        <v>783</v>
      </c>
      <c r="B785" s="9" t="str">
        <f>"54112023070210154793131"</f>
        <v>54112023070210154793131</v>
      </c>
      <c r="C785" s="9" t="s">
        <v>9</v>
      </c>
      <c r="D785" s="9" t="str">
        <f>"王紫"</f>
        <v>王紫</v>
      </c>
    </row>
    <row r="786" spans="1:4" ht="34.5" customHeight="1">
      <c r="A786" s="8">
        <v>784</v>
      </c>
      <c r="B786" s="9" t="str">
        <f>"54112023062709175172321"</f>
        <v>54112023062709175172321</v>
      </c>
      <c r="C786" s="9" t="s">
        <v>9</v>
      </c>
      <c r="D786" s="9" t="str">
        <f>"王南玉"</f>
        <v>王南玉</v>
      </c>
    </row>
    <row r="787" spans="1:4" ht="34.5" customHeight="1">
      <c r="A787" s="8">
        <v>785</v>
      </c>
      <c r="B787" s="9" t="str">
        <f>"54112023070211005593272"</f>
        <v>54112023070211005593272</v>
      </c>
      <c r="C787" s="9" t="s">
        <v>9</v>
      </c>
      <c r="D787" s="9" t="str">
        <f>"甘小碧"</f>
        <v>甘小碧</v>
      </c>
    </row>
    <row r="788" spans="1:4" ht="34.5" customHeight="1">
      <c r="A788" s="8">
        <v>786</v>
      </c>
      <c r="B788" s="9" t="str">
        <f>"54112023070211101793297"</f>
        <v>54112023070211101793297</v>
      </c>
      <c r="C788" s="9" t="s">
        <v>9</v>
      </c>
      <c r="D788" s="9" t="str">
        <f>"张国连"</f>
        <v>张国连</v>
      </c>
    </row>
    <row r="789" spans="1:4" ht="34.5" customHeight="1">
      <c r="A789" s="8">
        <v>787</v>
      </c>
      <c r="B789" s="9" t="str">
        <f>"54112023070211505193405"</f>
        <v>54112023070211505193405</v>
      </c>
      <c r="C789" s="9" t="s">
        <v>9</v>
      </c>
      <c r="D789" s="9" t="str">
        <f>"曾倩倩"</f>
        <v>曾倩倩</v>
      </c>
    </row>
    <row r="790" spans="1:4" ht="34.5" customHeight="1">
      <c r="A790" s="8">
        <v>788</v>
      </c>
      <c r="B790" s="9" t="str">
        <f>"54112023070118443292080"</f>
        <v>54112023070118443292080</v>
      </c>
      <c r="C790" s="9" t="s">
        <v>9</v>
      </c>
      <c r="D790" s="9" t="str">
        <f>"邱春汝"</f>
        <v>邱春汝</v>
      </c>
    </row>
    <row r="791" spans="1:4" ht="34.5" customHeight="1">
      <c r="A791" s="8">
        <v>789</v>
      </c>
      <c r="B791" s="9" t="str">
        <f>"54112023070214372193820"</f>
        <v>54112023070214372193820</v>
      </c>
      <c r="C791" s="9" t="s">
        <v>9</v>
      </c>
      <c r="D791" s="9" t="str">
        <f>"黄雅"</f>
        <v>黄雅</v>
      </c>
    </row>
    <row r="792" spans="1:4" ht="34.5" customHeight="1">
      <c r="A792" s="8">
        <v>790</v>
      </c>
      <c r="B792" s="9" t="str">
        <f>"54112023070220172494543"</f>
        <v>54112023070220172494543</v>
      </c>
      <c r="C792" s="9" t="s">
        <v>9</v>
      </c>
      <c r="D792" s="9" t="str">
        <f>"陈菲"</f>
        <v>陈菲</v>
      </c>
    </row>
    <row r="793" spans="1:4" ht="34.5" customHeight="1">
      <c r="A793" s="8">
        <v>791</v>
      </c>
      <c r="B793" s="9" t="str">
        <f>"54112023062622344971546"</f>
        <v>54112023062622344971546</v>
      </c>
      <c r="C793" s="9" t="s">
        <v>9</v>
      </c>
      <c r="D793" s="9" t="str">
        <f>"王燕柔"</f>
        <v>王燕柔</v>
      </c>
    </row>
    <row r="794" spans="1:4" ht="34.5" customHeight="1">
      <c r="A794" s="8">
        <v>792</v>
      </c>
      <c r="B794" s="9" t="str">
        <f>"54112023070221405594801"</f>
        <v>54112023070221405594801</v>
      </c>
      <c r="C794" s="9" t="s">
        <v>9</v>
      </c>
      <c r="D794" s="9" t="str">
        <f>"方清"</f>
        <v>方清</v>
      </c>
    </row>
    <row r="795" spans="1:4" ht="34.5" customHeight="1">
      <c r="A795" s="8">
        <v>793</v>
      </c>
      <c r="B795" s="9" t="str">
        <f>"54112023070222125894893"</f>
        <v>54112023070222125894893</v>
      </c>
      <c r="C795" s="9" t="s">
        <v>9</v>
      </c>
      <c r="D795" s="9" t="str">
        <f>"韦绕选"</f>
        <v>韦绕选</v>
      </c>
    </row>
    <row r="796" spans="1:4" ht="34.5" customHeight="1">
      <c r="A796" s="8">
        <v>794</v>
      </c>
      <c r="B796" s="9" t="str">
        <f>"54112023070222330994941"</f>
        <v>54112023070222330994941</v>
      </c>
      <c r="C796" s="9" t="s">
        <v>9</v>
      </c>
      <c r="D796" s="9" t="str">
        <f>"纪新珍"</f>
        <v>纪新珍</v>
      </c>
    </row>
    <row r="797" spans="1:4" ht="34.5" customHeight="1">
      <c r="A797" s="8">
        <v>795</v>
      </c>
      <c r="B797" s="9" t="str">
        <f>"54112023070222304594937"</f>
        <v>54112023070222304594937</v>
      </c>
      <c r="C797" s="9" t="s">
        <v>9</v>
      </c>
      <c r="D797" s="9" t="str">
        <f>"许慧婷"</f>
        <v>许慧婷</v>
      </c>
    </row>
    <row r="798" spans="1:4" ht="34.5" customHeight="1">
      <c r="A798" s="8">
        <v>796</v>
      </c>
      <c r="B798" s="9" t="str">
        <f>"54112023070221125394707"</f>
        <v>54112023070221125394707</v>
      </c>
      <c r="C798" s="9" t="s">
        <v>9</v>
      </c>
      <c r="D798" s="9" t="str">
        <f>"罗文君"</f>
        <v>罗文君</v>
      </c>
    </row>
    <row r="799" spans="1:4" ht="34.5" customHeight="1">
      <c r="A799" s="8">
        <v>797</v>
      </c>
      <c r="B799" s="9" t="str">
        <f>"54112023063023142290679"</f>
        <v>54112023063023142290679</v>
      </c>
      <c r="C799" s="9" t="s">
        <v>9</v>
      </c>
      <c r="D799" s="9" t="str">
        <f>"李兰泓"</f>
        <v>李兰泓</v>
      </c>
    </row>
    <row r="800" spans="1:4" ht="34.5" customHeight="1">
      <c r="A800" s="8">
        <v>798</v>
      </c>
      <c r="B800" s="9" t="str">
        <f>"54112023070222280094931"</f>
        <v>54112023070222280094931</v>
      </c>
      <c r="C800" s="9" t="s">
        <v>9</v>
      </c>
      <c r="D800" s="9" t="str">
        <f>"符晓暄"</f>
        <v>符晓暄</v>
      </c>
    </row>
    <row r="801" spans="1:4" ht="34.5" customHeight="1">
      <c r="A801" s="8">
        <v>799</v>
      </c>
      <c r="B801" s="9" t="str">
        <f>"54112023070222412694969"</f>
        <v>54112023070222412694969</v>
      </c>
      <c r="C801" s="9" t="s">
        <v>9</v>
      </c>
      <c r="D801" s="9" t="str">
        <f>"莫范蔷"</f>
        <v>莫范蔷</v>
      </c>
    </row>
    <row r="802" spans="1:4" ht="34.5" customHeight="1">
      <c r="A802" s="8">
        <v>800</v>
      </c>
      <c r="B802" s="9" t="str">
        <f>"54112023070222553095004"</f>
        <v>54112023070222553095004</v>
      </c>
      <c r="C802" s="9" t="s">
        <v>9</v>
      </c>
      <c r="D802" s="9" t="str">
        <f>"戴依慧"</f>
        <v>戴依慧</v>
      </c>
    </row>
    <row r="803" spans="1:4" ht="34.5" customHeight="1">
      <c r="A803" s="8">
        <v>801</v>
      </c>
      <c r="B803" s="9" t="str">
        <f>"54112023070223275695069"</f>
        <v>54112023070223275695069</v>
      </c>
      <c r="C803" s="9" t="s">
        <v>9</v>
      </c>
      <c r="D803" s="9" t="str">
        <f>"李慧芳"</f>
        <v>李慧芳</v>
      </c>
    </row>
    <row r="804" spans="1:4" ht="34.5" customHeight="1">
      <c r="A804" s="8">
        <v>802</v>
      </c>
      <c r="B804" s="9" t="str">
        <f>"54112023070306313095221"</f>
        <v>54112023070306313095221</v>
      </c>
      <c r="C804" s="9" t="s">
        <v>9</v>
      </c>
      <c r="D804" s="9" t="str">
        <f>"王诗诗"</f>
        <v>王诗诗</v>
      </c>
    </row>
    <row r="805" spans="1:4" ht="34.5" customHeight="1">
      <c r="A805" s="8">
        <v>803</v>
      </c>
      <c r="B805" s="9" t="str">
        <f>"54112023070307573195270"</f>
        <v>54112023070307573195270</v>
      </c>
      <c r="C805" s="9" t="s">
        <v>9</v>
      </c>
      <c r="D805" s="9" t="str">
        <f>"陈小妹"</f>
        <v>陈小妹</v>
      </c>
    </row>
    <row r="806" spans="1:4" ht="34.5" customHeight="1">
      <c r="A806" s="8">
        <v>804</v>
      </c>
      <c r="B806" s="9" t="str">
        <f>"54112023062716053174386"</f>
        <v>54112023062716053174386</v>
      </c>
      <c r="C806" s="9" t="s">
        <v>9</v>
      </c>
      <c r="D806" s="9" t="str">
        <f>"邢美娟"</f>
        <v>邢美娟</v>
      </c>
    </row>
    <row r="807" spans="1:4" ht="34.5" customHeight="1">
      <c r="A807" s="8">
        <v>805</v>
      </c>
      <c r="B807" s="9" t="str">
        <f>"54112023070210300993176"</f>
        <v>54112023070210300993176</v>
      </c>
      <c r="C807" s="9" t="s">
        <v>9</v>
      </c>
      <c r="D807" s="9" t="str">
        <f>"董钰洁"</f>
        <v>董钰洁</v>
      </c>
    </row>
    <row r="808" spans="1:4" ht="34.5" customHeight="1">
      <c r="A808" s="8">
        <v>806</v>
      </c>
      <c r="B808" s="9" t="str">
        <f>"54112023070309483995953"</f>
        <v>54112023070309483995953</v>
      </c>
      <c r="C808" s="9" t="s">
        <v>9</v>
      </c>
      <c r="D808" s="9" t="str">
        <f>"王丽"</f>
        <v>王丽</v>
      </c>
    </row>
    <row r="809" spans="1:4" ht="34.5" customHeight="1">
      <c r="A809" s="8">
        <v>807</v>
      </c>
      <c r="B809" s="9" t="str">
        <f>"54112023070309535496010"</f>
        <v>54112023070309535496010</v>
      </c>
      <c r="C809" s="9" t="s">
        <v>9</v>
      </c>
      <c r="D809" s="9" t="str">
        <f>"唐善鹏"</f>
        <v>唐善鹏</v>
      </c>
    </row>
    <row r="810" spans="1:4" ht="34.5" customHeight="1">
      <c r="A810" s="8">
        <v>808</v>
      </c>
      <c r="B810" s="9" t="str">
        <f>"54112023070309511695981"</f>
        <v>54112023070309511695981</v>
      </c>
      <c r="C810" s="9" t="s">
        <v>9</v>
      </c>
      <c r="D810" s="9" t="str">
        <f>"张海妍"</f>
        <v>张海妍</v>
      </c>
    </row>
    <row r="811" spans="1:4" ht="34.5" customHeight="1">
      <c r="A811" s="8">
        <v>809</v>
      </c>
      <c r="B811" s="9" t="str">
        <f>"54112023062619414770690"</f>
        <v>54112023062619414770690</v>
      </c>
      <c r="C811" s="9" t="s">
        <v>9</v>
      </c>
      <c r="D811" s="9" t="str">
        <f>"李嘉怡"</f>
        <v>李嘉怡</v>
      </c>
    </row>
    <row r="812" spans="1:4" ht="34.5" customHeight="1">
      <c r="A812" s="8">
        <v>810</v>
      </c>
      <c r="B812" s="9" t="str">
        <f>"54112023070310303696289"</f>
        <v>54112023070310303696289</v>
      </c>
      <c r="C812" s="9" t="s">
        <v>9</v>
      </c>
      <c r="D812" s="9" t="str">
        <f>"陈青联"</f>
        <v>陈青联</v>
      </c>
    </row>
    <row r="813" spans="1:4" ht="34.5" customHeight="1">
      <c r="A813" s="8">
        <v>811</v>
      </c>
      <c r="B813" s="9" t="str">
        <f>"54112023070308374495357"</f>
        <v>54112023070308374495357</v>
      </c>
      <c r="C813" s="9" t="s">
        <v>9</v>
      </c>
      <c r="D813" s="9" t="str">
        <f>"孙鸿婉"</f>
        <v>孙鸿婉</v>
      </c>
    </row>
    <row r="814" spans="1:4" ht="34.5" customHeight="1">
      <c r="A814" s="8">
        <v>812</v>
      </c>
      <c r="B814" s="9" t="str">
        <f>"54112023070221155494717"</f>
        <v>54112023070221155494717</v>
      </c>
      <c r="C814" s="9" t="s">
        <v>9</v>
      </c>
      <c r="D814" s="9" t="str">
        <f>"韦玲玲"</f>
        <v>韦玲玲</v>
      </c>
    </row>
    <row r="815" spans="1:4" ht="34.5" customHeight="1">
      <c r="A815" s="8">
        <v>813</v>
      </c>
      <c r="B815" s="9" t="str">
        <f>"54112023070311472696826"</f>
        <v>54112023070311472696826</v>
      </c>
      <c r="C815" s="9" t="s">
        <v>9</v>
      </c>
      <c r="D815" s="9" t="str">
        <f>"杨鸿婷"</f>
        <v>杨鸿婷</v>
      </c>
    </row>
    <row r="816" spans="1:4" ht="34.5" customHeight="1">
      <c r="A816" s="8">
        <v>814</v>
      </c>
      <c r="B816" s="9" t="str">
        <f>"54112023070312251197038"</f>
        <v>54112023070312251197038</v>
      </c>
      <c r="C816" s="9" t="s">
        <v>9</v>
      </c>
      <c r="D816" s="9" t="str">
        <f>"桂小孟"</f>
        <v>桂小孟</v>
      </c>
    </row>
    <row r="817" spans="1:4" ht="34.5" customHeight="1">
      <c r="A817" s="8">
        <v>815</v>
      </c>
      <c r="B817" s="9" t="str">
        <f>"54112023070312480297182"</f>
        <v>54112023070312480297182</v>
      </c>
      <c r="C817" s="9" t="s">
        <v>9</v>
      </c>
      <c r="D817" s="9" t="str">
        <f>"陈小玉"</f>
        <v>陈小玉</v>
      </c>
    </row>
    <row r="818" spans="1:4" ht="34.5" customHeight="1">
      <c r="A818" s="8">
        <v>816</v>
      </c>
      <c r="B818" s="9" t="str">
        <f>"54112023070313134297337"</f>
        <v>54112023070313134297337</v>
      </c>
      <c r="C818" s="9" t="s">
        <v>9</v>
      </c>
      <c r="D818" s="9" t="str">
        <f>"傅媛"</f>
        <v>傅媛</v>
      </c>
    </row>
    <row r="819" spans="1:4" ht="34.5" customHeight="1">
      <c r="A819" s="8">
        <v>817</v>
      </c>
      <c r="B819" s="9" t="str">
        <f>"54112023070314425997689"</f>
        <v>54112023070314425997689</v>
      </c>
      <c r="C819" s="9" t="s">
        <v>9</v>
      </c>
      <c r="D819" s="9" t="str">
        <f>"吴佳琪"</f>
        <v>吴佳琪</v>
      </c>
    </row>
    <row r="820" spans="1:4" ht="34.5" customHeight="1">
      <c r="A820" s="8">
        <v>818</v>
      </c>
      <c r="B820" s="9" t="str">
        <f>"54112023070315204197921"</f>
        <v>54112023070315204197921</v>
      </c>
      <c r="C820" s="9" t="s">
        <v>9</v>
      </c>
      <c r="D820" s="9" t="str">
        <f>"卓碧佳"</f>
        <v>卓碧佳</v>
      </c>
    </row>
    <row r="821" spans="1:4" ht="34.5" customHeight="1">
      <c r="A821" s="8">
        <v>819</v>
      </c>
      <c r="B821" s="9" t="str">
        <f>"54112023070315304897996"</f>
        <v>54112023070315304897996</v>
      </c>
      <c r="C821" s="9" t="s">
        <v>9</v>
      </c>
      <c r="D821" s="9" t="str">
        <f>"唐娇"</f>
        <v>唐娇</v>
      </c>
    </row>
    <row r="822" spans="1:4" ht="34.5" customHeight="1">
      <c r="A822" s="8">
        <v>820</v>
      </c>
      <c r="B822" s="9" t="str">
        <f>"54112023070315284097974"</f>
        <v>54112023070315284097974</v>
      </c>
      <c r="C822" s="9" t="s">
        <v>9</v>
      </c>
      <c r="D822" s="9" t="str">
        <f>"莫少雨"</f>
        <v>莫少雨</v>
      </c>
    </row>
    <row r="823" spans="1:4" ht="34.5" customHeight="1">
      <c r="A823" s="8">
        <v>821</v>
      </c>
      <c r="B823" s="9" t="str">
        <f>"54112023070315485798104"</f>
        <v>54112023070315485798104</v>
      </c>
      <c r="C823" s="9" t="s">
        <v>9</v>
      </c>
      <c r="D823" s="9" t="str">
        <f>"苏桂英"</f>
        <v>苏桂英</v>
      </c>
    </row>
    <row r="824" spans="1:4" ht="34.5" customHeight="1">
      <c r="A824" s="8">
        <v>822</v>
      </c>
      <c r="B824" s="9" t="str">
        <f>"54112023070315270897965"</f>
        <v>54112023070315270897965</v>
      </c>
      <c r="C824" s="9" t="s">
        <v>9</v>
      </c>
      <c r="D824" s="9" t="str">
        <f>"李翁杰"</f>
        <v>李翁杰</v>
      </c>
    </row>
    <row r="825" spans="1:4" ht="34.5" customHeight="1">
      <c r="A825" s="8">
        <v>823</v>
      </c>
      <c r="B825" s="9" t="str">
        <f>"54112023070316454498438"</f>
        <v>54112023070316454498438</v>
      </c>
      <c r="C825" s="9" t="s">
        <v>9</v>
      </c>
      <c r="D825" s="9" t="str">
        <f>"符开秀"</f>
        <v>符开秀</v>
      </c>
    </row>
    <row r="826" spans="1:4" ht="34.5" customHeight="1">
      <c r="A826" s="8">
        <v>824</v>
      </c>
      <c r="B826" s="9" t="str">
        <f>"54112023062808422076614"</f>
        <v>54112023062808422076614</v>
      </c>
      <c r="C826" s="9" t="s">
        <v>9</v>
      </c>
      <c r="D826" s="9" t="str">
        <f>"唐台玲"</f>
        <v>唐台玲</v>
      </c>
    </row>
    <row r="827" spans="1:4" ht="34.5" customHeight="1">
      <c r="A827" s="8">
        <v>825</v>
      </c>
      <c r="B827" s="9" t="str">
        <f>"54112023062616033069520"</f>
        <v>54112023062616033069520</v>
      </c>
      <c r="C827" s="9" t="s">
        <v>9</v>
      </c>
      <c r="D827" s="9" t="str">
        <f>"林媛"</f>
        <v>林媛</v>
      </c>
    </row>
    <row r="828" spans="1:4" ht="34.5" customHeight="1">
      <c r="A828" s="8">
        <v>826</v>
      </c>
      <c r="B828" s="9" t="str">
        <f>"54112023070102204090797"</f>
        <v>54112023070102204090797</v>
      </c>
      <c r="C828" s="9" t="s">
        <v>9</v>
      </c>
      <c r="D828" s="9" t="str">
        <f>"曾万英"</f>
        <v>曾万英</v>
      </c>
    </row>
    <row r="829" spans="1:4" ht="34.5" customHeight="1">
      <c r="A829" s="8">
        <v>827</v>
      </c>
      <c r="B829" s="9" t="str">
        <f>"54112023062618560170498"</f>
        <v>54112023062618560170498</v>
      </c>
      <c r="C829" s="9" t="s">
        <v>9</v>
      </c>
      <c r="D829" s="9" t="str">
        <f>"陈彩云"</f>
        <v>陈彩云</v>
      </c>
    </row>
    <row r="830" spans="1:4" ht="34.5" customHeight="1">
      <c r="A830" s="8">
        <v>828</v>
      </c>
      <c r="B830" s="9" t="str">
        <f>"54112023070316020898187"</f>
        <v>54112023070316020898187</v>
      </c>
      <c r="C830" s="9" t="s">
        <v>9</v>
      </c>
      <c r="D830" s="9" t="str">
        <f>"陆国欣"</f>
        <v>陆国欣</v>
      </c>
    </row>
    <row r="831" spans="1:4" ht="34.5" customHeight="1">
      <c r="A831" s="8">
        <v>829</v>
      </c>
      <c r="B831" s="9" t="str">
        <f>"54112023070317165198611"</f>
        <v>54112023070317165198611</v>
      </c>
      <c r="C831" s="9" t="s">
        <v>9</v>
      </c>
      <c r="D831" s="9" t="str">
        <f>"陈曼玉"</f>
        <v>陈曼玉</v>
      </c>
    </row>
    <row r="832" spans="1:4" ht="34.5" customHeight="1">
      <c r="A832" s="8">
        <v>830</v>
      </c>
      <c r="B832" s="9" t="str">
        <f>"54112023070318261398881"</f>
        <v>54112023070318261398881</v>
      </c>
      <c r="C832" s="9" t="s">
        <v>9</v>
      </c>
      <c r="D832" s="9" t="str">
        <f>"翁咪咪"</f>
        <v>翁咪咪</v>
      </c>
    </row>
    <row r="833" spans="1:4" ht="34.5" customHeight="1">
      <c r="A833" s="8">
        <v>831</v>
      </c>
      <c r="B833" s="9" t="str">
        <f>"54112023070318555899001"</f>
        <v>54112023070318555899001</v>
      </c>
      <c r="C833" s="9" t="s">
        <v>9</v>
      </c>
      <c r="D833" s="9" t="str">
        <f>"孙昌婷"</f>
        <v>孙昌婷</v>
      </c>
    </row>
    <row r="834" spans="1:4" ht="34.5" customHeight="1">
      <c r="A834" s="8">
        <v>832</v>
      </c>
      <c r="B834" s="9" t="str">
        <f>"54112023070319003399015"</f>
        <v>54112023070319003399015</v>
      </c>
      <c r="C834" s="9" t="s">
        <v>9</v>
      </c>
      <c r="D834" s="9" t="str">
        <f>"陈漾"</f>
        <v>陈漾</v>
      </c>
    </row>
    <row r="835" spans="1:4" ht="34.5" customHeight="1">
      <c r="A835" s="8">
        <v>833</v>
      </c>
      <c r="B835" s="9" t="str">
        <f>"54112023070315514298122"</f>
        <v>54112023070315514298122</v>
      </c>
      <c r="C835" s="9" t="s">
        <v>9</v>
      </c>
      <c r="D835" s="9" t="str">
        <f>"蒋小介"</f>
        <v>蒋小介</v>
      </c>
    </row>
    <row r="836" spans="1:4" ht="34.5" customHeight="1">
      <c r="A836" s="8">
        <v>834</v>
      </c>
      <c r="B836" s="9" t="str">
        <f>"54112023070221333194777"</f>
        <v>54112023070221333194777</v>
      </c>
      <c r="C836" s="9" t="s">
        <v>9</v>
      </c>
      <c r="D836" s="9" t="str">
        <f>"邓亚楠"</f>
        <v>邓亚楠</v>
      </c>
    </row>
    <row r="837" spans="1:4" ht="34.5" customHeight="1">
      <c r="A837" s="8">
        <v>835</v>
      </c>
      <c r="B837" s="9" t="str">
        <f>"54112023062822063779999"</f>
        <v>54112023062822063779999</v>
      </c>
      <c r="C837" s="9" t="s">
        <v>9</v>
      </c>
      <c r="D837" s="9" t="str">
        <f>"向鑫蕾"</f>
        <v>向鑫蕾</v>
      </c>
    </row>
    <row r="838" spans="1:4" ht="34.5" customHeight="1">
      <c r="A838" s="8">
        <v>836</v>
      </c>
      <c r="B838" s="9" t="str">
        <f>"54112023070321050399549"</f>
        <v>54112023070321050399549</v>
      </c>
      <c r="C838" s="9" t="s">
        <v>9</v>
      </c>
      <c r="D838" s="9" t="str">
        <f>"何晓蝶"</f>
        <v>何晓蝶</v>
      </c>
    </row>
    <row r="839" spans="1:4" ht="34.5" customHeight="1">
      <c r="A839" s="8">
        <v>837</v>
      </c>
      <c r="B839" s="9" t="str">
        <f>"54112023070320570799513"</f>
        <v>54112023070320570799513</v>
      </c>
      <c r="C839" s="9" t="s">
        <v>9</v>
      </c>
      <c r="D839" s="9" t="str">
        <f>"张可欣"</f>
        <v>张可欣</v>
      </c>
    </row>
    <row r="840" spans="1:4" ht="34.5" customHeight="1">
      <c r="A840" s="8">
        <v>838</v>
      </c>
      <c r="B840" s="9" t="str">
        <f>"54112023070321174499622"</f>
        <v>54112023070321174499622</v>
      </c>
      <c r="C840" s="9" t="s">
        <v>9</v>
      </c>
      <c r="D840" s="9" t="str">
        <f>"黎亚霞"</f>
        <v>黎亚霞</v>
      </c>
    </row>
    <row r="841" spans="1:4" ht="34.5" customHeight="1">
      <c r="A841" s="8">
        <v>839</v>
      </c>
      <c r="B841" s="9" t="str">
        <f>"54112023070318305798909"</f>
        <v>54112023070318305798909</v>
      </c>
      <c r="C841" s="9" t="s">
        <v>9</v>
      </c>
      <c r="D841" s="9" t="str">
        <f>"朱晓莹"</f>
        <v>朱晓莹</v>
      </c>
    </row>
    <row r="842" spans="1:4" ht="34.5" customHeight="1">
      <c r="A842" s="8">
        <v>840</v>
      </c>
      <c r="B842" s="9" t="str">
        <f>"541120230703224341100046"</f>
        <v>541120230703224341100046</v>
      </c>
      <c r="C842" s="9" t="s">
        <v>9</v>
      </c>
      <c r="D842" s="9" t="str">
        <f>"王燕"</f>
        <v>王燕</v>
      </c>
    </row>
    <row r="843" spans="1:4" ht="34.5" customHeight="1">
      <c r="A843" s="8">
        <v>841</v>
      </c>
      <c r="B843" s="9" t="str">
        <f>"541120230703230953100140"</f>
        <v>541120230703230953100140</v>
      </c>
      <c r="C843" s="9" t="s">
        <v>9</v>
      </c>
      <c r="D843" s="9" t="str">
        <f>"陈元芳"</f>
        <v>陈元芳</v>
      </c>
    </row>
    <row r="844" spans="1:4" ht="34.5" customHeight="1">
      <c r="A844" s="8">
        <v>842</v>
      </c>
      <c r="B844" s="9" t="str">
        <f>"54112023070319542499207"</f>
        <v>54112023070319542499207</v>
      </c>
      <c r="C844" s="9" t="s">
        <v>9</v>
      </c>
      <c r="D844" s="9" t="str">
        <f>"黎吉逢"</f>
        <v>黎吉逢</v>
      </c>
    </row>
    <row r="845" spans="1:4" ht="34.5" customHeight="1">
      <c r="A845" s="8">
        <v>843</v>
      </c>
      <c r="B845" s="9" t="str">
        <f>"541120230703233012100203"</f>
        <v>541120230703233012100203</v>
      </c>
      <c r="C845" s="9" t="s">
        <v>9</v>
      </c>
      <c r="D845" s="9" t="str">
        <f>"蔡美彩"</f>
        <v>蔡美彩</v>
      </c>
    </row>
    <row r="846" spans="1:4" ht="34.5" customHeight="1">
      <c r="A846" s="8">
        <v>844</v>
      </c>
      <c r="B846" s="9" t="str">
        <f>"54112023070221541294833"</f>
        <v>54112023070221541294833</v>
      </c>
      <c r="C846" s="9" t="s">
        <v>9</v>
      </c>
      <c r="D846" s="9" t="str">
        <f>"张敏"</f>
        <v>张敏</v>
      </c>
    </row>
    <row r="847" spans="1:4" ht="34.5" customHeight="1">
      <c r="A847" s="8">
        <v>845</v>
      </c>
      <c r="B847" s="9" t="str">
        <f>"54112023062912491682620"</f>
        <v>54112023062912491682620</v>
      </c>
      <c r="C847" s="9" t="s">
        <v>9</v>
      </c>
      <c r="D847" s="9" t="str">
        <f>"陈丽云"</f>
        <v>陈丽云</v>
      </c>
    </row>
    <row r="848" spans="1:4" ht="34.5" customHeight="1">
      <c r="A848" s="8">
        <v>846</v>
      </c>
      <c r="B848" s="9" t="str">
        <f>"54112023070316253998308"</f>
        <v>54112023070316253998308</v>
      </c>
      <c r="C848" s="9" t="s">
        <v>9</v>
      </c>
      <c r="D848" s="9" t="str">
        <f>"文苹妃"</f>
        <v>文苹妃</v>
      </c>
    </row>
    <row r="849" spans="1:4" ht="34.5" customHeight="1">
      <c r="A849" s="8">
        <v>847</v>
      </c>
      <c r="B849" s="9" t="str">
        <f>"54112023062622164571460"</f>
        <v>54112023062622164571460</v>
      </c>
      <c r="C849" s="9" t="s">
        <v>9</v>
      </c>
      <c r="D849" s="9" t="str">
        <f>"文婧"</f>
        <v>文婧</v>
      </c>
    </row>
    <row r="850" spans="1:4" ht="34.5" customHeight="1">
      <c r="A850" s="8">
        <v>848</v>
      </c>
      <c r="B850" s="9" t="str">
        <f>"541120230704000141100282"</f>
        <v>541120230704000141100282</v>
      </c>
      <c r="C850" s="9" t="s">
        <v>9</v>
      </c>
      <c r="D850" s="9" t="str">
        <f>"宋轲莉"</f>
        <v>宋轲莉</v>
      </c>
    </row>
    <row r="851" spans="1:4" ht="34.5" customHeight="1">
      <c r="A851" s="8">
        <v>849</v>
      </c>
      <c r="B851" s="9" t="str">
        <f>"541120230704005117100357"</f>
        <v>541120230704005117100357</v>
      </c>
      <c r="C851" s="9" t="s">
        <v>9</v>
      </c>
      <c r="D851" s="9" t="str">
        <f>"陈俊怡"</f>
        <v>陈俊怡</v>
      </c>
    </row>
    <row r="852" spans="1:4" ht="34.5" customHeight="1">
      <c r="A852" s="8">
        <v>850</v>
      </c>
      <c r="B852" s="9" t="str">
        <f>"541120230704065600100454"</f>
        <v>541120230704065600100454</v>
      </c>
      <c r="C852" s="9" t="s">
        <v>9</v>
      </c>
      <c r="D852" s="9" t="str">
        <f>"陈文萃"</f>
        <v>陈文萃</v>
      </c>
    </row>
    <row r="853" spans="1:4" ht="34.5" customHeight="1">
      <c r="A853" s="8">
        <v>851</v>
      </c>
      <c r="B853" s="9" t="str">
        <f>"54112023070320194499321"</f>
        <v>54112023070320194499321</v>
      </c>
      <c r="C853" s="9" t="s">
        <v>9</v>
      </c>
      <c r="D853" s="9" t="str">
        <f>"王敏"</f>
        <v>王敏</v>
      </c>
    </row>
    <row r="854" spans="1:4" ht="34.5" customHeight="1">
      <c r="A854" s="8">
        <v>852</v>
      </c>
      <c r="B854" s="9" t="str">
        <f>"541120230704083827100619"</f>
        <v>541120230704083827100619</v>
      </c>
      <c r="C854" s="9" t="s">
        <v>9</v>
      </c>
      <c r="D854" s="9" t="str">
        <f>"颜海娜"</f>
        <v>颜海娜</v>
      </c>
    </row>
    <row r="855" spans="1:4" ht="34.5" customHeight="1">
      <c r="A855" s="8">
        <v>853</v>
      </c>
      <c r="B855" s="9" t="str">
        <f>"541120230704075618100497"</f>
        <v>541120230704075618100497</v>
      </c>
      <c r="C855" s="9" t="s">
        <v>9</v>
      </c>
      <c r="D855" s="9" t="str">
        <f>"李文靖"</f>
        <v>李文靖</v>
      </c>
    </row>
    <row r="856" spans="1:4" ht="34.5" customHeight="1">
      <c r="A856" s="8">
        <v>854</v>
      </c>
      <c r="B856" s="9" t="str">
        <f>"541120230704081543100545"</f>
        <v>541120230704081543100545</v>
      </c>
      <c r="C856" s="9" t="s">
        <v>9</v>
      </c>
      <c r="D856" s="9" t="str">
        <f>"黄莉莎"</f>
        <v>黄莉莎</v>
      </c>
    </row>
    <row r="857" spans="1:4" ht="34.5" customHeight="1">
      <c r="A857" s="8">
        <v>855</v>
      </c>
      <c r="B857" s="9" t="str">
        <f>"541120230704084832100654"</f>
        <v>541120230704084832100654</v>
      </c>
      <c r="C857" s="9" t="s">
        <v>9</v>
      </c>
      <c r="D857" s="9" t="str">
        <f>"王必"</f>
        <v>王必</v>
      </c>
    </row>
    <row r="858" spans="1:4" ht="34.5" customHeight="1">
      <c r="A858" s="8">
        <v>856</v>
      </c>
      <c r="B858" s="9" t="str">
        <f>"541120230703224923100064"</f>
        <v>541120230703224923100064</v>
      </c>
      <c r="C858" s="9" t="s">
        <v>9</v>
      </c>
      <c r="D858" s="9" t="str">
        <f>"林少玲"</f>
        <v>林少玲</v>
      </c>
    </row>
    <row r="859" spans="1:4" ht="34.5" customHeight="1">
      <c r="A859" s="8">
        <v>857</v>
      </c>
      <c r="B859" s="9" t="str">
        <f>"541120230703233424100215"</f>
        <v>541120230703233424100215</v>
      </c>
      <c r="C859" s="9" t="s">
        <v>9</v>
      </c>
      <c r="D859" s="9" t="str">
        <f>"邵秋语"</f>
        <v>邵秋语</v>
      </c>
    </row>
    <row r="860" spans="1:4" ht="34.5" customHeight="1">
      <c r="A860" s="8">
        <v>858</v>
      </c>
      <c r="B860" s="9" t="str">
        <f>"54112023070309322695798"</f>
        <v>54112023070309322695798</v>
      </c>
      <c r="C860" s="9" t="s">
        <v>9</v>
      </c>
      <c r="D860" s="9" t="str">
        <f>"吴青铃"</f>
        <v>吴青铃</v>
      </c>
    </row>
    <row r="861" spans="1:4" ht="34.5" customHeight="1">
      <c r="A861" s="8">
        <v>859</v>
      </c>
      <c r="B861" s="9" t="str">
        <f>"541120230704092823100849"</f>
        <v>541120230704092823100849</v>
      </c>
      <c r="C861" s="9" t="s">
        <v>9</v>
      </c>
      <c r="D861" s="9" t="str">
        <f>"郑东玲"</f>
        <v>郑东玲</v>
      </c>
    </row>
    <row r="862" spans="1:4" ht="34.5" customHeight="1">
      <c r="A862" s="8">
        <v>860</v>
      </c>
      <c r="B862" s="9" t="str">
        <f>"541120230704092650100844"</f>
        <v>541120230704092650100844</v>
      </c>
      <c r="C862" s="9" t="s">
        <v>9</v>
      </c>
      <c r="D862" s="9" t="str">
        <f>"陈景玉"</f>
        <v>陈景玉</v>
      </c>
    </row>
    <row r="863" spans="1:4" ht="34.5" customHeight="1">
      <c r="A863" s="8">
        <v>861</v>
      </c>
      <c r="B863" s="9" t="str">
        <f>"541120230704081248100534"</f>
        <v>541120230704081248100534</v>
      </c>
      <c r="C863" s="9" t="s">
        <v>9</v>
      </c>
      <c r="D863" s="9" t="str">
        <f>"韦晓丹"</f>
        <v>韦晓丹</v>
      </c>
    </row>
    <row r="864" spans="1:4" ht="34.5" customHeight="1">
      <c r="A864" s="8">
        <v>862</v>
      </c>
      <c r="B864" s="9" t="str">
        <f>"541120230704091729100796"</f>
        <v>541120230704091729100796</v>
      </c>
      <c r="C864" s="9" t="s">
        <v>9</v>
      </c>
      <c r="D864" s="9" t="str">
        <f>"何文君"</f>
        <v>何文君</v>
      </c>
    </row>
    <row r="865" spans="1:4" ht="34.5" customHeight="1">
      <c r="A865" s="8">
        <v>863</v>
      </c>
      <c r="B865" s="9" t="str">
        <f>"541120230704103115101164"</f>
        <v>541120230704103115101164</v>
      </c>
      <c r="C865" s="9" t="s">
        <v>9</v>
      </c>
      <c r="D865" s="9" t="str">
        <f>"梁艺蕾"</f>
        <v>梁艺蕾</v>
      </c>
    </row>
    <row r="866" spans="1:4" ht="34.5" customHeight="1">
      <c r="A866" s="8">
        <v>864</v>
      </c>
      <c r="B866" s="9" t="str">
        <f>"541120230704094001100912"</f>
        <v>541120230704094001100912</v>
      </c>
      <c r="C866" s="9" t="s">
        <v>9</v>
      </c>
      <c r="D866" s="9" t="str">
        <f>"邝琼容"</f>
        <v>邝琼容</v>
      </c>
    </row>
    <row r="867" spans="1:4" ht="34.5" customHeight="1">
      <c r="A867" s="8">
        <v>865</v>
      </c>
      <c r="B867" s="9" t="str">
        <f>"54112023062520221164197"</f>
        <v>54112023062520221164197</v>
      </c>
      <c r="C867" s="9" t="s">
        <v>9</v>
      </c>
      <c r="D867" s="9" t="str">
        <f>"黄宏华"</f>
        <v>黄宏华</v>
      </c>
    </row>
    <row r="868" spans="1:4" ht="34.5" customHeight="1">
      <c r="A868" s="8">
        <v>866</v>
      </c>
      <c r="B868" s="9" t="str">
        <f>"541120230704110532101352"</f>
        <v>541120230704110532101352</v>
      </c>
      <c r="C868" s="9" t="s">
        <v>9</v>
      </c>
      <c r="D868" s="9" t="str">
        <f>"覃荣艳"</f>
        <v>覃荣艳</v>
      </c>
    </row>
    <row r="869" spans="1:4" ht="34.5" customHeight="1">
      <c r="A869" s="8">
        <v>867</v>
      </c>
      <c r="B869" s="9" t="str">
        <f>"541120230704004922100356"</f>
        <v>541120230704004922100356</v>
      </c>
      <c r="C869" s="9" t="s">
        <v>9</v>
      </c>
      <c r="D869" s="9" t="str">
        <f>"王光妹"</f>
        <v>王光妹</v>
      </c>
    </row>
    <row r="870" spans="1:4" ht="34.5" customHeight="1">
      <c r="A870" s="8">
        <v>868</v>
      </c>
      <c r="B870" s="9" t="str">
        <f>"54112023062619470070716"</f>
        <v>54112023062619470070716</v>
      </c>
      <c r="C870" s="9" t="s">
        <v>9</v>
      </c>
      <c r="D870" s="9" t="str">
        <f>"王佳"</f>
        <v>王佳</v>
      </c>
    </row>
    <row r="871" spans="1:4" ht="34.5" customHeight="1">
      <c r="A871" s="8">
        <v>869</v>
      </c>
      <c r="B871" s="9" t="str">
        <f>"541120230704112239101433"</f>
        <v>541120230704112239101433</v>
      </c>
      <c r="C871" s="9" t="s">
        <v>9</v>
      </c>
      <c r="D871" s="9" t="str">
        <f>"杨秀婷"</f>
        <v>杨秀婷</v>
      </c>
    </row>
    <row r="872" spans="1:4" ht="34.5" customHeight="1">
      <c r="A872" s="8">
        <v>870</v>
      </c>
      <c r="B872" s="9" t="str">
        <f>"54112023063015105089361"</f>
        <v>54112023063015105089361</v>
      </c>
      <c r="C872" s="9" t="s">
        <v>9</v>
      </c>
      <c r="D872" s="9" t="str">
        <f>"吴红爱"</f>
        <v>吴红爱</v>
      </c>
    </row>
    <row r="873" spans="1:4" ht="34.5" customHeight="1">
      <c r="A873" s="8">
        <v>871</v>
      </c>
      <c r="B873" s="9" t="str">
        <f>"54112023062508312259655"</f>
        <v>54112023062508312259655</v>
      </c>
      <c r="C873" s="9" t="s">
        <v>10</v>
      </c>
      <c r="D873" s="9" t="str">
        <f>"陈媚洁"</f>
        <v>陈媚洁</v>
      </c>
    </row>
    <row r="874" spans="1:4" ht="34.5" customHeight="1">
      <c r="A874" s="8">
        <v>872</v>
      </c>
      <c r="B874" s="9" t="str">
        <f>"54112023062510393960735"</f>
        <v>54112023062510393960735</v>
      </c>
      <c r="C874" s="9" t="s">
        <v>10</v>
      </c>
      <c r="D874" s="9" t="str">
        <f>"陈翠红"</f>
        <v>陈翠红</v>
      </c>
    </row>
    <row r="875" spans="1:4" ht="34.5" customHeight="1">
      <c r="A875" s="8">
        <v>873</v>
      </c>
      <c r="B875" s="9" t="str">
        <f>"54112023062509113559906"</f>
        <v>54112023062509113559906</v>
      </c>
      <c r="C875" s="9" t="s">
        <v>10</v>
      </c>
      <c r="D875" s="9" t="str">
        <f>"吴春翠"</f>
        <v>吴春翠</v>
      </c>
    </row>
    <row r="876" spans="1:4" ht="34.5" customHeight="1">
      <c r="A876" s="8">
        <v>874</v>
      </c>
      <c r="B876" s="9" t="str">
        <f>"54112023062515230962877"</f>
        <v>54112023062515230962877</v>
      </c>
      <c r="C876" s="9" t="s">
        <v>10</v>
      </c>
      <c r="D876" s="9" t="str">
        <f>"林方敏"</f>
        <v>林方敏</v>
      </c>
    </row>
    <row r="877" spans="1:4" ht="34.5" customHeight="1">
      <c r="A877" s="8">
        <v>875</v>
      </c>
      <c r="B877" s="9" t="str">
        <f>"54112023062515522563082"</f>
        <v>54112023062515522563082</v>
      </c>
      <c r="C877" s="9" t="s">
        <v>10</v>
      </c>
      <c r="D877" s="9" t="str">
        <f>"王绪月"</f>
        <v>王绪月</v>
      </c>
    </row>
    <row r="878" spans="1:4" ht="34.5" customHeight="1">
      <c r="A878" s="8">
        <v>876</v>
      </c>
      <c r="B878" s="9" t="str">
        <f>"54112023062508404259688"</f>
        <v>54112023062508404259688</v>
      </c>
      <c r="C878" s="9" t="s">
        <v>10</v>
      </c>
      <c r="D878" s="9" t="str">
        <f>"陈堂兵"</f>
        <v>陈堂兵</v>
      </c>
    </row>
    <row r="879" spans="1:4" ht="34.5" customHeight="1">
      <c r="A879" s="8">
        <v>877</v>
      </c>
      <c r="B879" s="9" t="str">
        <f>"54112023062516232663261"</f>
        <v>54112023062516232663261</v>
      </c>
      <c r="C879" s="9" t="s">
        <v>10</v>
      </c>
      <c r="D879" s="9" t="str">
        <f>"欧春南"</f>
        <v>欧春南</v>
      </c>
    </row>
    <row r="880" spans="1:4" ht="34.5" customHeight="1">
      <c r="A880" s="8">
        <v>878</v>
      </c>
      <c r="B880" s="9" t="str">
        <f>"54112023062510182960562"</f>
        <v>54112023062510182960562</v>
      </c>
      <c r="C880" s="9" t="s">
        <v>10</v>
      </c>
      <c r="D880" s="9" t="str">
        <f>"郭兴升"</f>
        <v>郭兴升</v>
      </c>
    </row>
    <row r="881" spans="1:4" ht="34.5" customHeight="1">
      <c r="A881" s="8">
        <v>879</v>
      </c>
      <c r="B881" s="9" t="str">
        <f>"54112023062516452963351"</f>
        <v>54112023062516452963351</v>
      </c>
      <c r="C881" s="9" t="s">
        <v>10</v>
      </c>
      <c r="D881" s="9" t="str">
        <f>"吴珍"</f>
        <v>吴珍</v>
      </c>
    </row>
    <row r="882" spans="1:4" ht="34.5" customHeight="1">
      <c r="A882" s="8">
        <v>880</v>
      </c>
      <c r="B882" s="9" t="str">
        <f>"54112023062518180263728"</f>
        <v>54112023062518180263728</v>
      </c>
      <c r="C882" s="9" t="s">
        <v>10</v>
      </c>
      <c r="D882" s="9" t="str">
        <f>"陈茜睿"</f>
        <v>陈茜睿</v>
      </c>
    </row>
    <row r="883" spans="1:4" ht="34.5" customHeight="1">
      <c r="A883" s="8">
        <v>881</v>
      </c>
      <c r="B883" s="9" t="str">
        <f>"54112023062518180063727"</f>
        <v>54112023062518180063727</v>
      </c>
      <c r="C883" s="9" t="s">
        <v>10</v>
      </c>
      <c r="D883" s="9" t="str">
        <f>"刘超业"</f>
        <v>刘超业</v>
      </c>
    </row>
    <row r="884" spans="1:4" ht="34.5" customHeight="1">
      <c r="A884" s="8">
        <v>882</v>
      </c>
      <c r="B884" s="9" t="str">
        <f>"54112023062519101463918"</f>
        <v>54112023062519101463918</v>
      </c>
      <c r="C884" s="9" t="s">
        <v>10</v>
      </c>
      <c r="D884" s="9" t="str">
        <f>"陈桂美"</f>
        <v>陈桂美</v>
      </c>
    </row>
    <row r="885" spans="1:4" ht="34.5" customHeight="1">
      <c r="A885" s="8">
        <v>883</v>
      </c>
      <c r="B885" s="9" t="str">
        <f>"54112023062519362164007"</f>
        <v>54112023062519362164007</v>
      </c>
      <c r="C885" s="9" t="s">
        <v>10</v>
      </c>
      <c r="D885" s="9" t="str">
        <f>"周儒"</f>
        <v>周儒</v>
      </c>
    </row>
    <row r="886" spans="1:4" ht="34.5" customHeight="1">
      <c r="A886" s="8">
        <v>884</v>
      </c>
      <c r="B886" s="9" t="str">
        <f>"54112023062518404563800"</f>
        <v>54112023062518404563800</v>
      </c>
      <c r="C886" s="9" t="s">
        <v>10</v>
      </c>
      <c r="D886" s="9" t="str">
        <f>"李三梅"</f>
        <v>李三梅</v>
      </c>
    </row>
    <row r="887" spans="1:4" ht="34.5" customHeight="1">
      <c r="A887" s="8">
        <v>885</v>
      </c>
      <c r="B887" s="9" t="str">
        <f>"54112023062520243264209"</f>
        <v>54112023062520243264209</v>
      </c>
      <c r="C887" s="9" t="s">
        <v>10</v>
      </c>
      <c r="D887" s="9" t="str">
        <f>"吴佳倩"</f>
        <v>吴佳倩</v>
      </c>
    </row>
    <row r="888" spans="1:4" ht="34.5" customHeight="1">
      <c r="A888" s="8">
        <v>886</v>
      </c>
      <c r="B888" s="9" t="str">
        <f>"54112023062521484764658"</f>
        <v>54112023062521484764658</v>
      </c>
      <c r="C888" s="9" t="s">
        <v>10</v>
      </c>
      <c r="D888" s="9" t="str">
        <f>"刘传育"</f>
        <v>刘传育</v>
      </c>
    </row>
    <row r="889" spans="1:4" ht="34.5" customHeight="1">
      <c r="A889" s="8">
        <v>887</v>
      </c>
      <c r="B889" s="9" t="str">
        <f>"54112023062523360865007"</f>
        <v>54112023062523360865007</v>
      </c>
      <c r="C889" s="9" t="s">
        <v>10</v>
      </c>
      <c r="D889" s="9" t="str">
        <f>"符鲁慧"</f>
        <v>符鲁慧</v>
      </c>
    </row>
    <row r="890" spans="1:4" ht="34.5" customHeight="1">
      <c r="A890" s="8">
        <v>888</v>
      </c>
      <c r="B890" s="9" t="str">
        <f>"54112023062608321565365"</f>
        <v>54112023062608321565365</v>
      </c>
      <c r="C890" s="9" t="s">
        <v>10</v>
      </c>
      <c r="D890" s="9" t="str">
        <f>"吴雪珍"</f>
        <v>吴雪珍</v>
      </c>
    </row>
    <row r="891" spans="1:4" ht="34.5" customHeight="1">
      <c r="A891" s="8">
        <v>889</v>
      </c>
      <c r="B891" s="9" t="str">
        <f>"54112023062514455662635"</f>
        <v>54112023062514455662635</v>
      </c>
      <c r="C891" s="9" t="s">
        <v>10</v>
      </c>
      <c r="D891" s="9" t="str">
        <f>"刘晓惠"</f>
        <v>刘晓惠</v>
      </c>
    </row>
    <row r="892" spans="1:4" ht="34.5" customHeight="1">
      <c r="A892" s="8">
        <v>890</v>
      </c>
      <c r="B892" s="9" t="str">
        <f>"54112023062610591867453"</f>
        <v>54112023062610591867453</v>
      </c>
      <c r="C892" s="9" t="s">
        <v>10</v>
      </c>
      <c r="D892" s="9" t="str">
        <f>"羊玉姣"</f>
        <v>羊玉姣</v>
      </c>
    </row>
    <row r="893" spans="1:4" ht="34.5" customHeight="1">
      <c r="A893" s="8">
        <v>891</v>
      </c>
      <c r="B893" s="9" t="str">
        <f>"54112023062610510967339"</f>
        <v>54112023062610510967339</v>
      </c>
      <c r="C893" s="9" t="s">
        <v>10</v>
      </c>
      <c r="D893" s="9" t="str">
        <f>"梁春燕"</f>
        <v>梁春燕</v>
      </c>
    </row>
    <row r="894" spans="1:4" ht="34.5" customHeight="1">
      <c r="A894" s="8">
        <v>892</v>
      </c>
      <c r="B894" s="9" t="str">
        <f>"54112023062612310768262"</f>
        <v>54112023062612310768262</v>
      </c>
      <c r="C894" s="9" t="s">
        <v>10</v>
      </c>
      <c r="D894" s="9" t="str">
        <f>"冯晓琴"</f>
        <v>冯晓琴</v>
      </c>
    </row>
    <row r="895" spans="1:4" ht="34.5" customHeight="1">
      <c r="A895" s="8">
        <v>893</v>
      </c>
      <c r="B895" s="9" t="str">
        <f>"54112023062515563463112"</f>
        <v>54112023062515563463112</v>
      </c>
      <c r="C895" s="9" t="s">
        <v>10</v>
      </c>
      <c r="D895" s="9" t="str">
        <f>"李青丽"</f>
        <v>李青丽</v>
      </c>
    </row>
    <row r="896" spans="1:4" ht="34.5" customHeight="1">
      <c r="A896" s="8">
        <v>894</v>
      </c>
      <c r="B896" s="9" t="str">
        <f>"54112023062618590770513"</f>
        <v>54112023062618590770513</v>
      </c>
      <c r="C896" s="9" t="s">
        <v>10</v>
      </c>
      <c r="D896" s="9" t="str">
        <f>"周薇"</f>
        <v>周薇</v>
      </c>
    </row>
    <row r="897" spans="1:4" ht="34.5" customHeight="1">
      <c r="A897" s="8">
        <v>895</v>
      </c>
      <c r="B897" s="9" t="str">
        <f>"54112023062618233370357"</f>
        <v>54112023062618233370357</v>
      </c>
      <c r="C897" s="9" t="s">
        <v>10</v>
      </c>
      <c r="D897" s="9" t="str">
        <f>"杨俊芳"</f>
        <v>杨俊芳</v>
      </c>
    </row>
    <row r="898" spans="1:4" ht="34.5" customHeight="1">
      <c r="A898" s="8">
        <v>896</v>
      </c>
      <c r="B898" s="9" t="str">
        <f>"54112023062618185970336"</f>
        <v>54112023062618185970336</v>
      </c>
      <c r="C898" s="9" t="s">
        <v>10</v>
      </c>
      <c r="D898" s="9" t="str">
        <f>"王艳可"</f>
        <v>王艳可</v>
      </c>
    </row>
    <row r="899" spans="1:4" ht="34.5" customHeight="1">
      <c r="A899" s="8">
        <v>897</v>
      </c>
      <c r="B899" s="9" t="str">
        <f>"54112023062618454970459"</f>
        <v>54112023062618454970459</v>
      </c>
      <c r="C899" s="9" t="s">
        <v>10</v>
      </c>
      <c r="D899" s="9" t="str">
        <f>"曾群"</f>
        <v>曾群</v>
      </c>
    </row>
    <row r="900" spans="1:4" ht="34.5" customHeight="1">
      <c r="A900" s="8">
        <v>898</v>
      </c>
      <c r="B900" s="9" t="str">
        <f>"54112023062621544571349"</f>
        <v>54112023062621544571349</v>
      </c>
      <c r="C900" s="9" t="s">
        <v>10</v>
      </c>
      <c r="D900" s="9" t="str">
        <f>"钟斯爱"</f>
        <v>钟斯爱</v>
      </c>
    </row>
    <row r="901" spans="1:4" ht="34.5" customHeight="1">
      <c r="A901" s="8">
        <v>899</v>
      </c>
      <c r="B901" s="9" t="str">
        <f>"54112023062622421171583"</f>
        <v>54112023062622421171583</v>
      </c>
      <c r="C901" s="9" t="s">
        <v>10</v>
      </c>
      <c r="D901" s="9" t="str">
        <f>"陈舒逸"</f>
        <v>陈舒逸</v>
      </c>
    </row>
    <row r="902" spans="1:4" ht="34.5" customHeight="1">
      <c r="A902" s="8">
        <v>900</v>
      </c>
      <c r="B902" s="9" t="str">
        <f>"54112023062618442570448"</f>
        <v>54112023062618442570448</v>
      </c>
      <c r="C902" s="9" t="s">
        <v>10</v>
      </c>
      <c r="D902" s="9" t="str">
        <f>"李凤永"</f>
        <v>李凤永</v>
      </c>
    </row>
    <row r="903" spans="1:4" ht="34.5" customHeight="1">
      <c r="A903" s="8">
        <v>901</v>
      </c>
      <c r="B903" s="9" t="str">
        <f>"54112023062623441171759"</f>
        <v>54112023062623441171759</v>
      </c>
      <c r="C903" s="9" t="s">
        <v>10</v>
      </c>
      <c r="D903" s="9" t="str">
        <f>"高伟"</f>
        <v>高伟</v>
      </c>
    </row>
    <row r="904" spans="1:4" ht="34.5" customHeight="1">
      <c r="A904" s="8">
        <v>902</v>
      </c>
      <c r="B904" s="9" t="str">
        <f>"54112023062700010471790"</f>
        <v>54112023062700010471790</v>
      </c>
      <c r="C904" s="9" t="s">
        <v>10</v>
      </c>
      <c r="D904" s="9" t="str">
        <f>"吴晓蕾"</f>
        <v>吴晓蕾</v>
      </c>
    </row>
    <row r="905" spans="1:4" ht="34.5" customHeight="1">
      <c r="A905" s="8">
        <v>903</v>
      </c>
      <c r="B905" s="9" t="str">
        <f>"54112023062708505572158"</f>
        <v>54112023062708505572158</v>
      </c>
      <c r="C905" s="9" t="s">
        <v>10</v>
      </c>
      <c r="D905" s="9" t="str">
        <f>"李磊"</f>
        <v>李磊</v>
      </c>
    </row>
    <row r="906" spans="1:4" ht="34.5" customHeight="1">
      <c r="A906" s="8">
        <v>904</v>
      </c>
      <c r="B906" s="9" t="str">
        <f>"54112023062710021272591"</f>
        <v>54112023062710021272591</v>
      </c>
      <c r="C906" s="9" t="s">
        <v>10</v>
      </c>
      <c r="D906" s="9" t="str">
        <f>"潘天雪"</f>
        <v>潘天雪</v>
      </c>
    </row>
    <row r="907" spans="1:4" ht="34.5" customHeight="1">
      <c r="A907" s="8">
        <v>905</v>
      </c>
      <c r="B907" s="9" t="str">
        <f>"54112023062709315972409"</f>
        <v>54112023062709315972409</v>
      </c>
      <c r="C907" s="9" t="s">
        <v>10</v>
      </c>
      <c r="D907" s="9" t="str">
        <f>"杨英乔"</f>
        <v>杨英乔</v>
      </c>
    </row>
    <row r="908" spans="1:4" ht="34.5" customHeight="1">
      <c r="A908" s="8">
        <v>906</v>
      </c>
      <c r="B908" s="9" t="str">
        <f>"54112023062712033173524"</f>
        <v>54112023062712033173524</v>
      </c>
      <c r="C908" s="9" t="s">
        <v>10</v>
      </c>
      <c r="D908" s="9" t="str">
        <f>"林煜振"</f>
        <v>林煜振</v>
      </c>
    </row>
    <row r="909" spans="1:4" ht="34.5" customHeight="1">
      <c r="A909" s="8">
        <v>907</v>
      </c>
      <c r="B909" s="9" t="str">
        <f>"54112023062712101073554"</f>
        <v>54112023062712101073554</v>
      </c>
      <c r="C909" s="9" t="s">
        <v>10</v>
      </c>
      <c r="D909" s="9" t="str">
        <f>"吴育林"</f>
        <v>吴育林</v>
      </c>
    </row>
    <row r="910" spans="1:4" ht="34.5" customHeight="1">
      <c r="A910" s="8">
        <v>908</v>
      </c>
      <c r="B910" s="9" t="str">
        <f>"54112023062520044864128"</f>
        <v>54112023062520044864128</v>
      </c>
      <c r="C910" s="9" t="s">
        <v>10</v>
      </c>
      <c r="D910" s="9" t="str">
        <f>"韦盛"</f>
        <v>韦盛</v>
      </c>
    </row>
    <row r="911" spans="1:4" ht="34.5" customHeight="1">
      <c r="A911" s="8">
        <v>909</v>
      </c>
      <c r="B911" s="9" t="str">
        <f>"54112023062713362673828"</f>
        <v>54112023062713362673828</v>
      </c>
      <c r="C911" s="9" t="s">
        <v>10</v>
      </c>
      <c r="D911" s="9" t="str">
        <f>"符文慧"</f>
        <v>符文慧</v>
      </c>
    </row>
    <row r="912" spans="1:4" ht="34.5" customHeight="1">
      <c r="A912" s="8">
        <v>910</v>
      </c>
      <c r="B912" s="9" t="str">
        <f>"54112023062715505974326"</f>
        <v>54112023062715505974326</v>
      </c>
      <c r="C912" s="9" t="s">
        <v>10</v>
      </c>
      <c r="D912" s="9" t="str">
        <f>"林娟"</f>
        <v>林娟</v>
      </c>
    </row>
    <row r="913" spans="1:4" ht="34.5" customHeight="1">
      <c r="A913" s="8">
        <v>911</v>
      </c>
      <c r="B913" s="9" t="str">
        <f>"54112023062717502575196"</f>
        <v>54112023062717502575196</v>
      </c>
      <c r="C913" s="9" t="s">
        <v>10</v>
      </c>
      <c r="D913" s="9" t="str">
        <f>"林妮妮"</f>
        <v>林妮妮</v>
      </c>
    </row>
    <row r="914" spans="1:4" ht="34.5" customHeight="1">
      <c r="A914" s="8">
        <v>912</v>
      </c>
      <c r="B914" s="9" t="str">
        <f>"54112023062719263475508"</f>
        <v>54112023062719263475508</v>
      </c>
      <c r="C914" s="9" t="s">
        <v>10</v>
      </c>
      <c r="D914" s="9" t="str">
        <f>"王潇潇"</f>
        <v>王潇潇</v>
      </c>
    </row>
    <row r="915" spans="1:4" ht="34.5" customHeight="1">
      <c r="A915" s="8">
        <v>913</v>
      </c>
      <c r="B915" s="9" t="str">
        <f>"54112023062720222075697"</f>
        <v>54112023062720222075697</v>
      </c>
      <c r="C915" s="9" t="s">
        <v>10</v>
      </c>
      <c r="D915" s="9" t="str">
        <f>"符秀弯"</f>
        <v>符秀弯</v>
      </c>
    </row>
    <row r="916" spans="1:4" ht="34.5" customHeight="1">
      <c r="A916" s="8">
        <v>914</v>
      </c>
      <c r="B916" s="9" t="str">
        <f>"54112023062720563675812"</f>
        <v>54112023062720563675812</v>
      </c>
      <c r="C916" s="9" t="s">
        <v>10</v>
      </c>
      <c r="D916" s="9" t="str">
        <f>"张瑞传"</f>
        <v>张瑞传</v>
      </c>
    </row>
    <row r="917" spans="1:4" ht="34.5" customHeight="1">
      <c r="A917" s="8">
        <v>915</v>
      </c>
      <c r="B917" s="9" t="str">
        <f>"54112023062721240375946"</f>
        <v>54112023062721240375946</v>
      </c>
      <c r="C917" s="9" t="s">
        <v>10</v>
      </c>
      <c r="D917" s="9" t="str">
        <f>"唐玉丹"</f>
        <v>唐玉丹</v>
      </c>
    </row>
    <row r="918" spans="1:4" ht="34.5" customHeight="1">
      <c r="A918" s="8">
        <v>916</v>
      </c>
      <c r="B918" s="9" t="str">
        <f>"54112023062712532673702"</f>
        <v>54112023062712532673702</v>
      </c>
      <c r="C918" s="9" t="s">
        <v>10</v>
      </c>
      <c r="D918" s="9" t="str">
        <f>"蔡仁智"</f>
        <v>蔡仁智</v>
      </c>
    </row>
    <row r="919" spans="1:4" ht="34.5" customHeight="1">
      <c r="A919" s="8">
        <v>917</v>
      </c>
      <c r="B919" s="9" t="str">
        <f>"54112023062710115172665"</f>
        <v>54112023062710115172665</v>
      </c>
      <c r="C919" s="9" t="s">
        <v>10</v>
      </c>
      <c r="D919" s="9" t="str">
        <f>"李小儒"</f>
        <v>李小儒</v>
      </c>
    </row>
    <row r="920" spans="1:4" ht="34.5" customHeight="1">
      <c r="A920" s="8">
        <v>918</v>
      </c>
      <c r="B920" s="9" t="str">
        <f>"54112023062800281376382"</f>
        <v>54112023062800281376382</v>
      </c>
      <c r="C920" s="9" t="s">
        <v>10</v>
      </c>
      <c r="D920" s="9" t="str">
        <f>"吴德爱"</f>
        <v>吴德爱</v>
      </c>
    </row>
    <row r="921" spans="1:4" ht="34.5" customHeight="1">
      <c r="A921" s="8">
        <v>919</v>
      </c>
      <c r="B921" s="9" t="str">
        <f>"54112023062808584676685"</f>
        <v>54112023062808584676685</v>
      </c>
      <c r="C921" s="9" t="s">
        <v>10</v>
      </c>
      <c r="D921" s="9" t="str">
        <f>"罗威威"</f>
        <v>罗威威</v>
      </c>
    </row>
    <row r="922" spans="1:4" ht="34.5" customHeight="1">
      <c r="A922" s="8">
        <v>920</v>
      </c>
      <c r="B922" s="9" t="str">
        <f>"54112023062809344076883"</f>
        <v>54112023062809344076883</v>
      </c>
      <c r="C922" s="9" t="s">
        <v>10</v>
      </c>
      <c r="D922" s="9" t="str">
        <f>"黄传翔"</f>
        <v>黄传翔</v>
      </c>
    </row>
    <row r="923" spans="1:4" ht="34.5" customHeight="1">
      <c r="A923" s="8">
        <v>921</v>
      </c>
      <c r="B923" s="9" t="str">
        <f>"54112023062810313177192"</f>
        <v>54112023062810313177192</v>
      </c>
      <c r="C923" s="9" t="s">
        <v>10</v>
      </c>
      <c r="D923" s="9" t="str">
        <f>"邓小转"</f>
        <v>邓小转</v>
      </c>
    </row>
    <row r="924" spans="1:4" ht="34.5" customHeight="1">
      <c r="A924" s="8">
        <v>922</v>
      </c>
      <c r="B924" s="9" t="str">
        <f>"54112023062810540077335"</f>
        <v>54112023062810540077335</v>
      </c>
      <c r="C924" s="9" t="s">
        <v>10</v>
      </c>
      <c r="D924" s="9" t="str">
        <f>"郑德荣"</f>
        <v>郑德荣</v>
      </c>
    </row>
    <row r="925" spans="1:4" ht="34.5" customHeight="1">
      <c r="A925" s="8">
        <v>923</v>
      </c>
      <c r="B925" s="9" t="str">
        <f>"54112023062618143270309"</f>
        <v>54112023062618143270309</v>
      </c>
      <c r="C925" s="9" t="s">
        <v>10</v>
      </c>
      <c r="D925" s="9" t="str">
        <f>"黄灵敏"</f>
        <v>黄灵敏</v>
      </c>
    </row>
    <row r="926" spans="1:4" ht="34.5" customHeight="1">
      <c r="A926" s="8">
        <v>924</v>
      </c>
      <c r="B926" s="9" t="str">
        <f>"54112023062815483278570"</f>
        <v>54112023062815483278570</v>
      </c>
      <c r="C926" s="9" t="s">
        <v>10</v>
      </c>
      <c r="D926" s="9" t="str">
        <f>"陈言玲"</f>
        <v>陈言玲</v>
      </c>
    </row>
    <row r="927" spans="1:4" ht="34.5" customHeight="1">
      <c r="A927" s="8">
        <v>925</v>
      </c>
      <c r="B927" s="9" t="str">
        <f>"54112023062520245564210"</f>
        <v>54112023062520245564210</v>
      </c>
      <c r="C927" s="9" t="s">
        <v>10</v>
      </c>
      <c r="D927" s="9" t="str">
        <f>"陈华鸿"</f>
        <v>陈华鸿</v>
      </c>
    </row>
    <row r="928" spans="1:4" ht="34.5" customHeight="1">
      <c r="A928" s="8">
        <v>926</v>
      </c>
      <c r="B928" s="9" t="str">
        <f>"54112023062815334478487"</f>
        <v>54112023062815334478487</v>
      </c>
      <c r="C928" s="9" t="s">
        <v>10</v>
      </c>
      <c r="D928" s="9" t="str">
        <f>"李君位"</f>
        <v>李君位</v>
      </c>
    </row>
    <row r="929" spans="1:4" ht="34.5" customHeight="1">
      <c r="A929" s="8">
        <v>927</v>
      </c>
      <c r="B929" s="9" t="str">
        <f>"54112023062815422378540"</f>
        <v>54112023062815422378540</v>
      </c>
      <c r="C929" s="9" t="s">
        <v>10</v>
      </c>
      <c r="D929" s="9" t="str">
        <f>"吴和月"</f>
        <v>吴和月</v>
      </c>
    </row>
    <row r="930" spans="1:4" ht="34.5" customHeight="1">
      <c r="A930" s="8">
        <v>928</v>
      </c>
      <c r="B930" s="9" t="str">
        <f>"54112023062817313879016"</f>
        <v>54112023062817313879016</v>
      </c>
      <c r="C930" s="9" t="s">
        <v>10</v>
      </c>
      <c r="D930" s="9" t="str">
        <f>"李香福"</f>
        <v>李香福</v>
      </c>
    </row>
    <row r="931" spans="1:4" ht="34.5" customHeight="1">
      <c r="A931" s="8">
        <v>929</v>
      </c>
      <c r="B931" s="9" t="str">
        <f>"54112023062817145578952"</f>
        <v>54112023062817145578952</v>
      </c>
      <c r="C931" s="9" t="s">
        <v>10</v>
      </c>
      <c r="D931" s="9" t="str">
        <f>"张玉婷"</f>
        <v>张玉婷</v>
      </c>
    </row>
    <row r="932" spans="1:4" ht="34.5" customHeight="1">
      <c r="A932" s="8">
        <v>930</v>
      </c>
      <c r="B932" s="9" t="str">
        <f>"54112023062810525377326"</f>
        <v>54112023062810525377326</v>
      </c>
      <c r="C932" s="9" t="s">
        <v>10</v>
      </c>
      <c r="D932" s="9" t="str">
        <f>"黄月丽"</f>
        <v>黄月丽</v>
      </c>
    </row>
    <row r="933" spans="1:4" ht="34.5" customHeight="1">
      <c r="A933" s="8">
        <v>931</v>
      </c>
      <c r="B933" s="9" t="str">
        <f>"54112023062521370964582"</f>
        <v>54112023062521370964582</v>
      </c>
      <c r="C933" s="9" t="s">
        <v>10</v>
      </c>
      <c r="D933" s="9" t="str">
        <f>"王秀敏"</f>
        <v>王秀敏</v>
      </c>
    </row>
    <row r="934" spans="1:4" ht="34.5" customHeight="1">
      <c r="A934" s="8">
        <v>932</v>
      </c>
      <c r="B934" s="9" t="str">
        <f>"54112023062821253679806"</f>
        <v>54112023062821253679806</v>
      </c>
      <c r="C934" s="9" t="s">
        <v>10</v>
      </c>
      <c r="D934" s="9" t="str">
        <f>"郑诗颜子"</f>
        <v>郑诗颜子</v>
      </c>
    </row>
    <row r="935" spans="1:4" ht="34.5" customHeight="1">
      <c r="A935" s="8">
        <v>933</v>
      </c>
      <c r="B935" s="9" t="str">
        <f>"54112023062822214980072"</f>
        <v>54112023062822214980072</v>
      </c>
      <c r="C935" s="9" t="s">
        <v>10</v>
      </c>
      <c r="D935" s="9" t="str">
        <f>"羊桂香"</f>
        <v>羊桂香</v>
      </c>
    </row>
    <row r="936" spans="1:4" ht="34.5" customHeight="1">
      <c r="A936" s="8">
        <v>934</v>
      </c>
      <c r="B936" s="9" t="str">
        <f>"54112023062822093280011"</f>
        <v>54112023062822093280011</v>
      </c>
      <c r="C936" s="9" t="s">
        <v>10</v>
      </c>
      <c r="D936" s="9" t="str">
        <f>"王小清"</f>
        <v>王小清</v>
      </c>
    </row>
    <row r="937" spans="1:4" ht="34.5" customHeight="1">
      <c r="A937" s="8">
        <v>935</v>
      </c>
      <c r="B937" s="9" t="str">
        <f>"54112023062823353280297"</f>
        <v>54112023062823353280297</v>
      </c>
      <c r="C937" s="9" t="s">
        <v>10</v>
      </c>
      <c r="D937" s="9" t="str">
        <f>"李冬香"</f>
        <v>李冬香</v>
      </c>
    </row>
    <row r="938" spans="1:4" ht="34.5" customHeight="1">
      <c r="A938" s="8">
        <v>936</v>
      </c>
      <c r="B938" s="9" t="str">
        <f>"54112023062620102270816"</f>
        <v>54112023062620102270816</v>
      </c>
      <c r="C938" s="9" t="s">
        <v>10</v>
      </c>
      <c r="D938" s="9" t="str">
        <f>"关美琳"</f>
        <v>关美琳</v>
      </c>
    </row>
    <row r="939" spans="1:4" ht="34.5" customHeight="1">
      <c r="A939" s="8">
        <v>937</v>
      </c>
      <c r="B939" s="9" t="str">
        <f>"54112023062908241280557"</f>
        <v>54112023062908241280557</v>
      </c>
      <c r="C939" s="9" t="s">
        <v>10</v>
      </c>
      <c r="D939" s="9" t="str">
        <f>"王丽秧"</f>
        <v>王丽秧</v>
      </c>
    </row>
    <row r="940" spans="1:4" ht="34.5" customHeight="1">
      <c r="A940" s="8">
        <v>938</v>
      </c>
      <c r="B940" s="9" t="str">
        <f>"54112023062910280281612"</f>
        <v>54112023062910280281612</v>
      </c>
      <c r="C940" s="9" t="s">
        <v>10</v>
      </c>
      <c r="D940" s="9" t="str">
        <f>"黎婷"</f>
        <v>黎婷</v>
      </c>
    </row>
    <row r="941" spans="1:4" ht="34.5" customHeight="1">
      <c r="A941" s="8">
        <v>939</v>
      </c>
      <c r="B941" s="9" t="str">
        <f>"54112023062910291581628"</f>
        <v>54112023062910291581628</v>
      </c>
      <c r="C941" s="9" t="s">
        <v>10</v>
      </c>
      <c r="D941" s="9" t="str">
        <f>"李燕芳"</f>
        <v>李燕芳</v>
      </c>
    </row>
    <row r="942" spans="1:4" ht="34.5" customHeight="1">
      <c r="A942" s="8">
        <v>940</v>
      </c>
      <c r="B942" s="9" t="str">
        <f>"54112023062512291061937"</f>
        <v>54112023062512291061937</v>
      </c>
      <c r="C942" s="9" t="s">
        <v>10</v>
      </c>
      <c r="D942" s="9" t="str">
        <f>"王彩丹"</f>
        <v>王彩丹</v>
      </c>
    </row>
    <row r="943" spans="1:4" ht="34.5" customHeight="1">
      <c r="A943" s="8">
        <v>941</v>
      </c>
      <c r="B943" s="9" t="str">
        <f>"54112023062910061081389"</f>
        <v>54112023062910061081389</v>
      </c>
      <c r="C943" s="9" t="s">
        <v>10</v>
      </c>
      <c r="D943" s="9" t="str">
        <f>"符家圆"</f>
        <v>符家圆</v>
      </c>
    </row>
    <row r="944" spans="1:4" ht="34.5" customHeight="1">
      <c r="A944" s="8">
        <v>942</v>
      </c>
      <c r="B944" s="9" t="str">
        <f>"54112023062511575461675"</f>
        <v>54112023062511575461675</v>
      </c>
      <c r="C944" s="9" t="s">
        <v>10</v>
      </c>
      <c r="D944" s="9" t="str">
        <f>"曾祥凤"</f>
        <v>曾祥凤</v>
      </c>
    </row>
    <row r="945" spans="1:4" ht="34.5" customHeight="1">
      <c r="A945" s="8">
        <v>943</v>
      </c>
      <c r="B945" s="9" t="str">
        <f>"54112023062912093382404"</f>
        <v>54112023062912093382404</v>
      </c>
      <c r="C945" s="9" t="s">
        <v>10</v>
      </c>
      <c r="D945" s="9" t="str">
        <f>"简金桃"</f>
        <v>简金桃</v>
      </c>
    </row>
    <row r="946" spans="1:4" ht="34.5" customHeight="1">
      <c r="A946" s="8">
        <v>944</v>
      </c>
      <c r="B946" s="9" t="str">
        <f>"54112023062721190175913"</f>
        <v>54112023062721190175913</v>
      </c>
      <c r="C946" s="9" t="s">
        <v>10</v>
      </c>
      <c r="D946" s="9" t="str">
        <f>"陈秋月"</f>
        <v>陈秋月</v>
      </c>
    </row>
    <row r="947" spans="1:4" ht="34.5" customHeight="1">
      <c r="A947" s="8">
        <v>945</v>
      </c>
      <c r="B947" s="9" t="str">
        <f>"54112023062623241371712"</f>
        <v>54112023062623241371712</v>
      </c>
      <c r="C947" s="9" t="s">
        <v>10</v>
      </c>
      <c r="D947" s="9" t="str">
        <f>"吴玲美"</f>
        <v>吴玲美</v>
      </c>
    </row>
    <row r="948" spans="1:4" ht="34.5" customHeight="1">
      <c r="A948" s="8">
        <v>946</v>
      </c>
      <c r="B948" s="9" t="str">
        <f>"54112023062916095783772"</f>
        <v>54112023062916095783772</v>
      </c>
      <c r="C948" s="9" t="s">
        <v>10</v>
      </c>
      <c r="D948" s="9" t="str">
        <f>"陈速"</f>
        <v>陈速</v>
      </c>
    </row>
    <row r="949" spans="1:4" ht="34.5" customHeight="1">
      <c r="A949" s="8">
        <v>947</v>
      </c>
      <c r="B949" s="9" t="str">
        <f>"54112023062512315961958"</f>
        <v>54112023062512315961958</v>
      </c>
      <c r="C949" s="9" t="s">
        <v>10</v>
      </c>
      <c r="D949" s="9" t="str">
        <f>"冯泓儒"</f>
        <v>冯泓儒</v>
      </c>
    </row>
    <row r="950" spans="1:4" ht="34.5" customHeight="1">
      <c r="A950" s="8">
        <v>948</v>
      </c>
      <c r="B950" s="9" t="str">
        <f>"54112023062916471084030"</f>
        <v>54112023062916471084030</v>
      </c>
      <c r="C950" s="9" t="s">
        <v>10</v>
      </c>
      <c r="D950" s="9" t="str">
        <f>"柏继舜"</f>
        <v>柏继舜</v>
      </c>
    </row>
    <row r="951" spans="1:4" ht="34.5" customHeight="1">
      <c r="A951" s="8">
        <v>949</v>
      </c>
      <c r="B951" s="9" t="str">
        <f>"54112023062813490378058"</f>
        <v>54112023062813490378058</v>
      </c>
      <c r="C951" s="9" t="s">
        <v>10</v>
      </c>
      <c r="D951" s="9" t="str">
        <f>"李乾道"</f>
        <v>李乾道</v>
      </c>
    </row>
    <row r="952" spans="1:4" ht="34.5" customHeight="1">
      <c r="A952" s="8">
        <v>950</v>
      </c>
      <c r="B952" s="9" t="str">
        <f>"54112023062821312379837"</f>
        <v>54112023062821312379837</v>
      </c>
      <c r="C952" s="9" t="s">
        <v>10</v>
      </c>
      <c r="D952" s="9" t="str">
        <f>"蔡奕林"</f>
        <v>蔡奕林</v>
      </c>
    </row>
    <row r="953" spans="1:4" ht="34.5" customHeight="1">
      <c r="A953" s="8">
        <v>951</v>
      </c>
      <c r="B953" s="9" t="str">
        <f>"54112023062918302384573"</f>
        <v>54112023062918302384573</v>
      </c>
      <c r="C953" s="9" t="s">
        <v>10</v>
      </c>
      <c r="D953" s="9" t="str">
        <f>"王芸"</f>
        <v>王芸</v>
      </c>
    </row>
    <row r="954" spans="1:4" ht="34.5" customHeight="1">
      <c r="A954" s="8">
        <v>952</v>
      </c>
      <c r="B954" s="9" t="str">
        <f>"54112023062815360278498"</f>
        <v>54112023062815360278498</v>
      </c>
      <c r="C954" s="9" t="s">
        <v>10</v>
      </c>
      <c r="D954" s="9" t="str">
        <f>"郑义浇"</f>
        <v>郑义浇</v>
      </c>
    </row>
    <row r="955" spans="1:4" ht="34.5" customHeight="1">
      <c r="A955" s="8">
        <v>953</v>
      </c>
      <c r="B955" s="9" t="str">
        <f>"54112023062911082581991"</f>
        <v>54112023062911082581991</v>
      </c>
      <c r="C955" s="9" t="s">
        <v>10</v>
      </c>
      <c r="D955" s="9" t="str">
        <f>"曾桃英"</f>
        <v>曾桃英</v>
      </c>
    </row>
    <row r="956" spans="1:4" ht="34.5" customHeight="1">
      <c r="A956" s="8">
        <v>954</v>
      </c>
      <c r="B956" s="9" t="str">
        <f>"54112023062918395284618"</f>
        <v>54112023062918395284618</v>
      </c>
      <c r="C956" s="9" t="s">
        <v>10</v>
      </c>
      <c r="D956" s="9" t="str">
        <f>"吴婧"</f>
        <v>吴婧</v>
      </c>
    </row>
    <row r="957" spans="1:4" ht="34.5" customHeight="1">
      <c r="A957" s="8">
        <v>955</v>
      </c>
      <c r="B957" s="9" t="str">
        <f>"54112023062923380186308"</f>
        <v>54112023062923380186308</v>
      </c>
      <c r="C957" s="9" t="s">
        <v>10</v>
      </c>
      <c r="D957" s="9" t="str">
        <f>"李海蕊"</f>
        <v>李海蕊</v>
      </c>
    </row>
    <row r="958" spans="1:4" ht="34.5" customHeight="1">
      <c r="A958" s="8">
        <v>956</v>
      </c>
      <c r="B958" s="9" t="str">
        <f>"54112023062608040165297"</f>
        <v>54112023062608040165297</v>
      </c>
      <c r="C958" s="9" t="s">
        <v>10</v>
      </c>
      <c r="D958" s="9" t="str">
        <f>"黄庆民"</f>
        <v>黄庆民</v>
      </c>
    </row>
    <row r="959" spans="1:4" ht="34.5" customHeight="1">
      <c r="A959" s="8">
        <v>957</v>
      </c>
      <c r="B959" s="9" t="str">
        <f>"54112023063008214886762"</f>
        <v>54112023063008214886762</v>
      </c>
      <c r="C959" s="9" t="s">
        <v>10</v>
      </c>
      <c r="D959" s="9" t="str">
        <f>"洪新蕊"</f>
        <v>洪新蕊</v>
      </c>
    </row>
    <row r="960" spans="1:4" ht="34.5" customHeight="1">
      <c r="A960" s="8">
        <v>958</v>
      </c>
      <c r="B960" s="9" t="str">
        <f>"54112023063008262186785"</f>
        <v>54112023063008262186785</v>
      </c>
      <c r="C960" s="9" t="s">
        <v>10</v>
      </c>
      <c r="D960" s="9" t="str">
        <f>"钟婉精"</f>
        <v>钟婉精</v>
      </c>
    </row>
    <row r="961" spans="1:4" ht="34.5" customHeight="1">
      <c r="A961" s="8">
        <v>959</v>
      </c>
      <c r="B961" s="9" t="str">
        <f>"54112023063009521487304"</f>
        <v>54112023063009521487304</v>
      </c>
      <c r="C961" s="9" t="s">
        <v>10</v>
      </c>
      <c r="D961" s="9" t="str">
        <f>"吴海曼"</f>
        <v>吴海曼</v>
      </c>
    </row>
    <row r="962" spans="1:4" ht="34.5" customHeight="1">
      <c r="A962" s="8">
        <v>960</v>
      </c>
      <c r="B962" s="9" t="str">
        <f>"54112023062909020580732"</f>
        <v>54112023062909020580732</v>
      </c>
      <c r="C962" s="9" t="s">
        <v>10</v>
      </c>
      <c r="D962" s="9" t="str">
        <f>"陈芳婷"</f>
        <v>陈芳婷</v>
      </c>
    </row>
    <row r="963" spans="1:4" ht="34.5" customHeight="1">
      <c r="A963" s="8">
        <v>961</v>
      </c>
      <c r="B963" s="9" t="str">
        <f>"54112023062908175980541"</f>
        <v>54112023062908175980541</v>
      </c>
      <c r="C963" s="9" t="s">
        <v>10</v>
      </c>
      <c r="D963" s="9" t="str">
        <f>"陈潇菲"</f>
        <v>陈潇菲</v>
      </c>
    </row>
    <row r="964" spans="1:4" ht="34.5" customHeight="1">
      <c r="A964" s="8">
        <v>962</v>
      </c>
      <c r="B964" s="9" t="str">
        <f>"54112023062517443763604"</f>
        <v>54112023062517443763604</v>
      </c>
      <c r="C964" s="9" t="s">
        <v>10</v>
      </c>
      <c r="D964" s="9" t="str">
        <f>"林忠福"</f>
        <v>林忠福</v>
      </c>
    </row>
    <row r="965" spans="1:4" ht="34.5" customHeight="1">
      <c r="A965" s="8">
        <v>963</v>
      </c>
      <c r="B965" s="9" t="str">
        <f>"54112023063012232688287"</f>
        <v>54112023063012232688287</v>
      </c>
      <c r="C965" s="9" t="s">
        <v>10</v>
      </c>
      <c r="D965" s="9" t="str">
        <f>"李大清"</f>
        <v>李大清</v>
      </c>
    </row>
    <row r="966" spans="1:4" ht="34.5" customHeight="1">
      <c r="A966" s="8">
        <v>964</v>
      </c>
      <c r="B966" s="9" t="str">
        <f>"54112023063013503988801"</f>
        <v>54112023063013503988801</v>
      </c>
      <c r="C966" s="9" t="s">
        <v>10</v>
      </c>
      <c r="D966" s="9" t="str">
        <f>"周鸿祯"</f>
        <v>周鸿祯</v>
      </c>
    </row>
    <row r="967" spans="1:4" ht="34.5" customHeight="1">
      <c r="A967" s="8">
        <v>965</v>
      </c>
      <c r="B967" s="9" t="str">
        <f>"54112023062800311776383"</f>
        <v>54112023062800311776383</v>
      </c>
      <c r="C967" s="9" t="s">
        <v>10</v>
      </c>
      <c r="D967" s="9" t="str">
        <f>"张梅慧"</f>
        <v>张梅慧</v>
      </c>
    </row>
    <row r="968" spans="1:4" ht="34.5" customHeight="1">
      <c r="A968" s="8">
        <v>966</v>
      </c>
      <c r="B968" s="9" t="str">
        <f>"54112023063014271289016"</f>
        <v>54112023063014271289016</v>
      </c>
      <c r="C968" s="9" t="s">
        <v>10</v>
      </c>
      <c r="D968" s="9" t="str">
        <f>"曾学青"</f>
        <v>曾学青</v>
      </c>
    </row>
    <row r="969" spans="1:4" ht="34.5" customHeight="1">
      <c r="A969" s="8">
        <v>967</v>
      </c>
      <c r="B969" s="9" t="str">
        <f>"54112023063018312090163"</f>
        <v>54112023063018312090163</v>
      </c>
      <c r="C969" s="9" t="s">
        <v>10</v>
      </c>
      <c r="D969" s="9" t="str">
        <f>"朱乃惠"</f>
        <v>朱乃惠</v>
      </c>
    </row>
    <row r="970" spans="1:4" ht="34.5" customHeight="1">
      <c r="A970" s="8">
        <v>968</v>
      </c>
      <c r="B970" s="9" t="str">
        <f>"54112023063018411290184"</f>
        <v>54112023063018411290184</v>
      </c>
      <c r="C970" s="9" t="s">
        <v>10</v>
      </c>
      <c r="D970" s="9" t="str">
        <f>"周炳惠"</f>
        <v>周炳惠</v>
      </c>
    </row>
    <row r="971" spans="1:4" ht="34.5" customHeight="1">
      <c r="A971" s="8">
        <v>969</v>
      </c>
      <c r="B971" s="9" t="str">
        <f>"54112023063019113990239"</f>
        <v>54112023063019113990239</v>
      </c>
      <c r="C971" s="9" t="s">
        <v>10</v>
      </c>
      <c r="D971" s="9" t="str">
        <f>"王明聪"</f>
        <v>王明聪</v>
      </c>
    </row>
    <row r="972" spans="1:4" ht="34.5" customHeight="1">
      <c r="A972" s="8">
        <v>970</v>
      </c>
      <c r="B972" s="9" t="str">
        <f>"54112023062520531064345"</f>
        <v>54112023062520531064345</v>
      </c>
      <c r="C972" s="9" t="s">
        <v>10</v>
      </c>
      <c r="D972" s="9" t="str">
        <f>"郭善兰"</f>
        <v>郭善兰</v>
      </c>
    </row>
    <row r="973" spans="1:4" ht="34.5" customHeight="1">
      <c r="A973" s="8">
        <v>971</v>
      </c>
      <c r="B973" s="9" t="str">
        <f>"54112023063020252690359"</f>
        <v>54112023063020252690359</v>
      </c>
      <c r="C973" s="9" t="s">
        <v>10</v>
      </c>
      <c r="D973" s="9" t="str">
        <f>"刘泽珊"</f>
        <v>刘泽珊</v>
      </c>
    </row>
    <row r="974" spans="1:4" ht="34.5" customHeight="1">
      <c r="A974" s="8">
        <v>972</v>
      </c>
      <c r="B974" s="9" t="str">
        <f>"54112023063022305690601"</f>
        <v>54112023063022305690601</v>
      </c>
      <c r="C974" s="9" t="s">
        <v>10</v>
      </c>
      <c r="D974" s="9" t="str">
        <f>"黄雨霞"</f>
        <v>黄雨霞</v>
      </c>
    </row>
    <row r="975" spans="1:4" ht="34.5" customHeight="1">
      <c r="A975" s="8">
        <v>973</v>
      </c>
      <c r="B975" s="9" t="str">
        <f>"54112023062923482886346"</f>
        <v>54112023062923482886346</v>
      </c>
      <c r="C975" s="9" t="s">
        <v>10</v>
      </c>
      <c r="D975" s="9" t="str">
        <f>"李冰虹"</f>
        <v>李冰虹</v>
      </c>
    </row>
    <row r="976" spans="1:4" ht="34.5" customHeight="1">
      <c r="A976" s="8">
        <v>974</v>
      </c>
      <c r="B976" s="9" t="str">
        <f>"54112023063023111390671"</f>
        <v>54112023063023111390671</v>
      </c>
      <c r="C976" s="9" t="s">
        <v>10</v>
      </c>
      <c r="D976" s="9" t="str">
        <f>"周婷婷"</f>
        <v>周婷婷</v>
      </c>
    </row>
    <row r="977" spans="1:4" ht="34.5" customHeight="1">
      <c r="A977" s="8">
        <v>975</v>
      </c>
      <c r="B977" s="9" t="str">
        <f>"54112023063023063190666"</f>
        <v>54112023063023063190666</v>
      </c>
      <c r="C977" s="9" t="s">
        <v>10</v>
      </c>
      <c r="D977" s="9" t="str">
        <f>"王修金"</f>
        <v>王修金</v>
      </c>
    </row>
    <row r="978" spans="1:4" ht="34.5" customHeight="1">
      <c r="A978" s="8">
        <v>976</v>
      </c>
      <c r="B978" s="9" t="str">
        <f>"54112023063023321990698"</f>
        <v>54112023063023321990698</v>
      </c>
      <c r="C978" s="9" t="s">
        <v>10</v>
      </c>
      <c r="D978" s="9" t="str">
        <f>"崔水珠"</f>
        <v>崔水珠</v>
      </c>
    </row>
    <row r="979" spans="1:4" ht="34.5" customHeight="1">
      <c r="A979" s="8">
        <v>977</v>
      </c>
      <c r="B979" s="9" t="str">
        <f>"54112023062815232278427"</f>
        <v>54112023062815232278427</v>
      </c>
      <c r="C979" s="9" t="s">
        <v>10</v>
      </c>
      <c r="D979" s="9" t="str">
        <f>"邓丹花"</f>
        <v>邓丹花</v>
      </c>
    </row>
    <row r="980" spans="1:4" ht="34.5" customHeight="1">
      <c r="A980" s="8">
        <v>978</v>
      </c>
      <c r="B980" s="9" t="str">
        <f>"54112023070111245491251"</f>
        <v>54112023070111245491251</v>
      </c>
      <c r="C980" s="9" t="s">
        <v>10</v>
      </c>
      <c r="D980" s="9" t="str">
        <f>"梁顾競"</f>
        <v>梁顾競</v>
      </c>
    </row>
    <row r="981" spans="1:4" ht="34.5" customHeight="1">
      <c r="A981" s="8">
        <v>979</v>
      </c>
      <c r="B981" s="9" t="str">
        <f>"54112023070114190391590"</f>
        <v>54112023070114190391590</v>
      </c>
      <c r="C981" s="9" t="s">
        <v>10</v>
      </c>
      <c r="D981" s="9" t="str">
        <f>"刘广霞"</f>
        <v>刘广霞</v>
      </c>
    </row>
    <row r="982" spans="1:4" ht="34.5" customHeight="1">
      <c r="A982" s="8">
        <v>980</v>
      </c>
      <c r="B982" s="9" t="str">
        <f>"54112023070116125791792"</f>
        <v>54112023070116125791792</v>
      </c>
      <c r="C982" s="9" t="s">
        <v>10</v>
      </c>
      <c r="D982" s="9" t="str">
        <f>"陈莹"</f>
        <v>陈莹</v>
      </c>
    </row>
    <row r="983" spans="1:4" ht="34.5" customHeight="1">
      <c r="A983" s="8">
        <v>981</v>
      </c>
      <c r="B983" s="9" t="str">
        <f>"54112023070119243892159"</f>
        <v>54112023070119243892159</v>
      </c>
      <c r="C983" s="9" t="s">
        <v>10</v>
      </c>
      <c r="D983" s="9" t="str">
        <f>"黎石带"</f>
        <v>黎石带</v>
      </c>
    </row>
    <row r="984" spans="1:4" ht="34.5" customHeight="1">
      <c r="A984" s="8">
        <v>982</v>
      </c>
      <c r="B984" s="9" t="str">
        <f>"54112023070120291292302"</f>
        <v>54112023070120291292302</v>
      </c>
      <c r="C984" s="9" t="s">
        <v>10</v>
      </c>
      <c r="D984" s="9" t="str">
        <f>"黎秋侬"</f>
        <v>黎秋侬</v>
      </c>
    </row>
    <row r="985" spans="1:4" ht="34.5" customHeight="1">
      <c r="A985" s="8">
        <v>983</v>
      </c>
      <c r="B985" s="9" t="str">
        <f>"54112023062508413959690"</f>
        <v>54112023062508413959690</v>
      </c>
      <c r="C985" s="9" t="s">
        <v>10</v>
      </c>
      <c r="D985" s="9" t="str">
        <f>"王学成"</f>
        <v>王学成</v>
      </c>
    </row>
    <row r="986" spans="1:4" ht="34.5" customHeight="1">
      <c r="A986" s="8">
        <v>984</v>
      </c>
      <c r="B986" s="9" t="str">
        <f>"54112023070121231692421"</f>
        <v>54112023070121231692421</v>
      </c>
      <c r="C986" s="9" t="s">
        <v>10</v>
      </c>
      <c r="D986" s="9" t="str">
        <f>"蔡真"</f>
        <v>蔡真</v>
      </c>
    </row>
    <row r="987" spans="1:4" ht="34.5" customHeight="1">
      <c r="A987" s="8">
        <v>985</v>
      </c>
      <c r="B987" s="9" t="str">
        <f>"54112023062815175378400"</f>
        <v>54112023062815175378400</v>
      </c>
      <c r="C987" s="9" t="s">
        <v>10</v>
      </c>
      <c r="D987" s="9" t="str">
        <f>"王晓"</f>
        <v>王晓</v>
      </c>
    </row>
    <row r="988" spans="1:4" ht="34.5" customHeight="1">
      <c r="A988" s="8">
        <v>986</v>
      </c>
      <c r="B988" s="9" t="str">
        <f>"54112023062510085660497"</f>
        <v>54112023062510085660497</v>
      </c>
      <c r="C988" s="9" t="s">
        <v>10</v>
      </c>
      <c r="D988" s="9" t="str">
        <f>"袁庭奇"</f>
        <v>袁庭奇</v>
      </c>
    </row>
    <row r="989" spans="1:4" ht="34.5" customHeight="1">
      <c r="A989" s="8">
        <v>987</v>
      </c>
      <c r="B989" s="9" t="str">
        <f>"54112023070219535294507"</f>
        <v>54112023070219535294507</v>
      </c>
      <c r="C989" s="9" t="s">
        <v>10</v>
      </c>
      <c r="D989" s="9" t="str">
        <f>"杨梦选"</f>
        <v>杨梦选</v>
      </c>
    </row>
    <row r="990" spans="1:4" ht="34.5" customHeight="1">
      <c r="A990" s="8">
        <v>988</v>
      </c>
      <c r="B990" s="9" t="str">
        <f>"54112023070118024992009"</f>
        <v>54112023070118024992009</v>
      </c>
      <c r="C990" s="9" t="s">
        <v>10</v>
      </c>
      <c r="D990" s="9" t="str">
        <f>"金扬清"</f>
        <v>金扬清</v>
      </c>
    </row>
    <row r="991" spans="1:4" ht="34.5" customHeight="1">
      <c r="A991" s="8">
        <v>989</v>
      </c>
      <c r="B991" s="9" t="str">
        <f>"54112023062509385460191"</f>
        <v>54112023062509385460191</v>
      </c>
      <c r="C991" s="9" t="s">
        <v>10</v>
      </c>
      <c r="D991" s="9" t="str">
        <f>"谭升光"</f>
        <v>谭升光</v>
      </c>
    </row>
    <row r="992" spans="1:4" ht="34.5" customHeight="1">
      <c r="A992" s="8">
        <v>990</v>
      </c>
      <c r="B992" s="9" t="str">
        <f>"54112023070223482495106"</f>
        <v>54112023070223482495106</v>
      </c>
      <c r="C992" s="9" t="s">
        <v>10</v>
      </c>
      <c r="D992" s="9" t="str">
        <f>"王世才"</f>
        <v>王世才</v>
      </c>
    </row>
    <row r="993" spans="1:4" ht="34.5" customHeight="1">
      <c r="A993" s="8">
        <v>991</v>
      </c>
      <c r="B993" s="9" t="str">
        <f>"54112023070300070795140"</f>
        <v>54112023070300070795140</v>
      </c>
      <c r="C993" s="9" t="s">
        <v>10</v>
      </c>
      <c r="D993" s="9" t="str">
        <f>"唐娟"</f>
        <v>唐娟</v>
      </c>
    </row>
    <row r="994" spans="1:4" ht="34.5" customHeight="1">
      <c r="A994" s="8">
        <v>992</v>
      </c>
      <c r="B994" s="9" t="str">
        <f>"54112023070102144390796"</f>
        <v>54112023070102144390796</v>
      </c>
      <c r="C994" s="9" t="s">
        <v>10</v>
      </c>
      <c r="D994" s="9" t="str">
        <f>"王丽敏"</f>
        <v>王丽敏</v>
      </c>
    </row>
    <row r="995" spans="1:4" ht="34.5" customHeight="1">
      <c r="A995" s="8">
        <v>993</v>
      </c>
      <c r="B995" s="9" t="str">
        <f>"54112023062617015069935"</f>
        <v>54112023062617015069935</v>
      </c>
      <c r="C995" s="9" t="s">
        <v>10</v>
      </c>
      <c r="D995" s="9" t="str">
        <f>"黄甫康"</f>
        <v>黄甫康</v>
      </c>
    </row>
    <row r="996" spans="1:4" ht="34.5" customHeight="1">
      <c r="A996" s="8">
        <v>994</v>
      </c>
      <c r="B996" s="9" t="str">
        <f>"54112023070300082995142"</f>
        <v>54112023070300082995142</v>
      </c>
      <c r="C996" s="9" t="s">
        <v>10</v>
      </c>
      <c r="D996" s="9" t="str">
        <f>"麦练鹏"</f>
        <v>麦练鹏</v>
      </c>
    </row>
    <row r="997" spans="1:4" ht="34.5" customHeight="1">
      <c r="A997" s="8">
        <v>995</v>
      </c>
      <c r="B997" s="9" t="str">
        <f>"54112023062822404480129"</f>
        <v>54112023062822404480129</v>
      </c>
      <c r="C997" s="9" t="s">
        <v>10</v>
      </c>
      <c r="D997" s="9" t="str">
        <f>"王秋平"</f>
        <v>王秋平</v>
      </c>
    </row>
    <row r="998" spans="1:4" ht="34.5" customHeight="1">
      <c r="A998" s="8">
        <v>996</v>
      </c>
      <c r="B998" s="9" t="str">
        <f>"54112023063017264790001"</f>
        <v>54112023063017264790001</v>
      </c>
      <c r="C998" s="9" t="s">
        <v>10</v>
      </c>
      <c r="D998" s="9" t="str">
        <f>"陈荣彬"</f>
        <v>陈荣彬</v>
      </c>
    </row>
    <row r="999" spans="1:4" ht="34.5" customHeight="1">
      <c r="A999" s="8">
        <v>997</v>
      </c>
      <c r="B999" s="9" t="str">
        <f>"54112023070309582796048"</f>
        <v>54112023070309582796048</v>
      </c>
      <c r="C999" s="9" t="s">
        <v>10</v>
      </c>
      <c r="D999" s="9" t="str">
        <f>"辛敏"</f>
        <v>辛敏</v>
      </c>
    </row>
    <row r="1000" spans="1:4" ht="34.5" customHeight="1">
      <c r="A1000" s="8">
        <v>998</v>
      </c>
      <c r="B1000" s="9" t="str">
        <f>"54112023070313494597481"</f>
        <v>54112023070313494597481</v>
      </c>
      <c r="C1000" s="9" t="s">
        <v>10</v>
      </c>
      <c r="D1000" s="9" t="str">
        <f>"李静文"</f>
        <v>李静文</v>
      </c>
    </row>
    <row r="1001" spans="1:4" ht="34.5" customHeight="1">
      <c r="A1001" s="8">
        <v>999</v>
      </c>
      <c r="B1001" s="9" t="str">
        <f>"54112023070316161298257"</f>
        <v>54112023070316161298257</v>
      </c>
      <c r="C1001" s="9" t="s">
        <v>10</v>
      </c>
      <c r="D1001" s="9" t="str">
        <f>"王震"</f>
        <v>王震</v>
      </c>
    </row>
    <row r="1002" spans="1:4" ht="34.5" customHeight="1">
      <c r="A1002" s="8">
        <v>1000</v>
      </c>
      <c r="B1002" s="9" t="str">
        <f>"54112023070316462098440"</f>
        <v>54112023070316462098440</v>
      </c>
      <c r="C1002" s="9" t="s">
        <v>10</v>
      </c>
      <c r="D1002" s="9" t="str">
        <f>"蒙绪娜"</f>
        <v>蒙绪娜</v>
      </c>
    </row>
    <row r="1003" spans="1:4" ht="34.5" customHeight="1">
      <c r="A1003" s="8">
        <v>1001</v>
      </c>
      <c r="B1003" s="9" t="str">
        <f>"54112023070316235898299"</f>
        <v>54112023070316235898299</v>
      </c>
      <c r="C1003" s="9" t="s">
        <v>10</v>
      </c>
      <c r="D1003" s="9" t="str">
        <f>"高菊先"</f>
        <v>高菊先</v>
      </c>
    </row>
    <row r="1004" spans="1:4" ht="34.5" customHeight="1">
      <c r="A1004" s="8">
        <v>1002</v>
      </c>
      <c r="B1004" s="9" t="str">
        <f>"54112023070316370898385"</f>
        <v>54112023070316370898385</v>
      </c>
      <c r="C1004" s="9" t="s">
        <v>10</v>
      </c>
      <c r="D1004" s="9" t="str">
        <f>"林先国"</f>
        <v>林先国</v>
      </c>
    </row>
    <row r="1005" spans="1:4" ht="34.5" customHeight="1">
      <c r="A1005" s="8">
        <v>1003</v>
      </c>
      <c r="B1005" s="9" t="str">
        <f>"54112023070115104391674"</f>
        <v>54112023070115104391674</v>
      </c>
      <c r="C1005" s="9" t="s">
        <v>10</v>
      </c>
      <c r="D1005" s="9" t="str">
        <f>"吴坤森"</f>
        <v>吴坤森</v>
      </c>
    </row>
    <row r="1006" spans="1:4" ht="34.5" customHeight="1">
      <c r="A1006" s="8">
        <v>1004</v>
      </c>
      <c r="B1006" s="9" t="str">
        <f>"54112023063022323690608"</f>
        <v>54112023063022323690608</v>
      </c>
      <c r="C1006" s="9" t="s">
        <v>10</v>
      </c>
      <c r="D1006" s="9" t="str">
        <f>"文红梅"</f>
        <v>文红梅</v>
      </c>
    </row>
    <row r="1007" spans="1:4" ht="34.5" customHeight="1">
      <c r="A1007" s="8">
        <v>1005</v>
      </c>
      <c r="B1007" s="9" t="str">
        <f>"54112023070222052894870"</f>
        <v>54112023070222052894870</v>
      </c>
      <c r="C1007" s="9" t="s">
        <v>10</v>
      </c>
      <c r="D1007" s="9" t="str">
        <f>"王冰"</f>
        <v>王冰</v>
      </c>
    </row>
    <row r="1008" spans="1:4" ht="34.5" customHeight="1">
      <c r="A1008" s="8">
        <v>1006</v>
      </c>
      <c r="B1008" s="9" t="str">
        <f>"54112023070322050099863"</f>
        <v>54112023070322050099863</v>
      </c>
      <c r="C1008" s="9" t="s">
        <v>10</v>
      </c>
      <c r="D1008" s="9" t="str">
        <f>"李玉芬"</f>
        <v>李玉芬</v>
      </c>
    </row>
    <row r="1009" spans="1:4" ht="34.5" customHeight="1">
      <c r="A1009" s="8">
        <v>1007</v>
      </c>
      <c r="B1009" s="9" t="str">
        <f>"54112023070322020599843"</f>
        <v>54112023070322020599843</v>
      </c>
      <c r="C1009" s="9" t="s">
        <v>10</v>
      </c>
      <c r="D1009" s="9" t="str">
        <f>"王容"</f>
        <v>王容</v>
      </c>
    </row>
    <row r="1010" spans="1:4" ht="34.5" customHeight="1">
      <c r="A1010" s="8">
        <v>1008</v>
      </c>
      <c r="B1010" s="9" t="str">
        <f>"54112023070322340099996"</f>
        <v>54112023070322340099996</v>
      </c>
      <c r="C1010" s="9" t="s">
        <v>10</v>
      </c>
      <c r="D1010" s="9" t="str">
        <f>"云燕娇"</f>
        <v>云燕娇</v>
      </c>
    </row>
    <row r="1011" spans="1:4" ht="34.5" customHeight="1">
      <c r="A1011" s="8">
        <v>1009</v>
      </c>
      <c r="B1011" s="9" t="str">
        <f>"54112023062614564669040"</f>
        <v>54112023062614564669040</v>
      </c>
      <c r="C1011" s="9" t="s">
        <v>10</v>
      </c>
      <c r="D1011" s="9" t="str">
        <f>"严国豪"</f>
        <v>严国豪</v>
      </c>
    </row>
    <row r="1012" spans="1:4" ht="34.5" customHeight="1">
      <c r="A1012" s="8">
        <v>1010</v>
      </c>
      <c r="B1012" s="9" t="str">
        <f>"541120230704074902100482"</f>
        <v>541120230704074902100482</v>
      </c>
      <c r="C1012" s="9" t="s">
        <v>10</v>
      </c>
      <c r="D1012" s="9" t="str">
        <f>"梁雪君"</f>
        <v>梁雪君</v>
      </c>
    </row>
    <row r="1013" spans="1:4" ht="34.5" customHeight="1">
      <c r="A1013" s="8">
        <v>1011</v>
      </c>
      <c r="B1013" s="9" t="str">
        <f>"54112023070312575297239"</f>
        <v>54112023070312575297239</v>
      </c>
      <c r="C1013" s="9" t="s">
        <v>10</v>
      </c>
      <c r="D1013" s="9" t="str">
        <f>"邢维佳"</f>
        <v>邢维佳</v>
      </c>
    </row>
    <row r="1014" spans="1:4" ht="34.5" customHeight="1">
      <c r="A1014" s="8">
        <v>1012</v>
      </c>
      <c r="B1014" s="9" t="str">
        <f>"541120230704100842101021"</f>
        <v>541120230704100842101021</v>
      </c>
      <c r="C1014" s="9" t="s">
        <v>10</v>
      </c>
      <c r="D1014" s="9" t="str">
        <f>"薛月柳"</f>
        <v>薛月柳</v>
      </c>
    </row>
    <row r="1015" spans="1:4" ht="34.5" customHeight="1">
      <c r="A1015" s="8">
        <v>1013</v>
      </c>
      <c r="B1015" s="9" t="str">
        <f>"54112023070211011493274"</f>
        <v>54112023070211011493274</v>
      </c>
      <c r="C1015" s="9" t="s">
        <v>10</v>
      </c>
      <c r="D1015" s="9" t="str">
        <f>"周圣兴"</f>
        <v>周圣兴</v>
      </c>
    </row>
    <row r="1016" spans="1:4" ht="34.5" customHeight="1">
      <c r="A1016" s="8">
        <v>1014</v>
      </c>
      <c r="B1016" s="9" t="str">
        <f>"54112023062509525460327"</f>
        <v>54112023062509525460327</v>
      </c>
      <c r="C1016" s="9" t="s">
        <v>11</v>
      </c>
      <c r="D1016" s="9" t="str">
        <f>"陈辉映"</f>
        <v>陈辉映</v>
      </c>
    </row>
    <row r="1017" spans="1:4" ht="34.5" customHeight="1">
      <c r="A1017" s="8">
        <v>1015</v>
      </c>
      <c r="B1017" s="9" t="str">
        <f>"54112023062509482960286"</f>
        <v>54112023062509482960286</v>
      </c>
      <c r="C1017" s="9" t="s">
        <v>11</v>
      </c>
      <c r="D1017" s="9" t="str">
        <f>"蒋燕娇"</f>
        <v>蒋燕娇</v>
      </c>
    </row>
    <row r="1018" spans="1:4" ht="34.5" customHeight="1">
      <c r="A1018" s="8">
        <v>1016</v>
      </c>
      <c r="B1018" s="9" t="str">
        <f>"54112023062511244661048"</f>
        <v>54112023062511244661048</v>
      </c>
      <c r="C1018" s="9" t="s">
        <v>11</v>
      </c>
      <c r="D1018" s="9" t="str">
        <f>"李天碧"</f>
        <v>李天碧</v>
      </c>
    </row>
    <row r="1019" spans="1:4" ht="34.5" customHeight="1">
      <c r="A1019" s="8">
        <v>1017</v>
      </c>
      <c r="B1019" s="9" t="str">
        <f>"54112023062510362360713"</f>
        <v>54112023062510362360713</v>
      </c>
      <c r="C1019" s="9" t="s">
        <v>11</v>
      </c>
      <c r="D1019" s="9" t="str">
        <f>"何远兴"</f>
        <v>何远兴</v>
      </c>
    </row>
    <row r="1020" spans="1:4" ht="34.5" customHeight="1">
      <c r="A1020" s="8">
        <v>1018</v>
      </c>
      <c r="B1020" s="9" t="str">
        <f>"54112023062511160460983"</f>
        <v>54112023062511160460983</v>
      </c>
      <c r="C1020" s="9" t="s">
        <v>11</v>
      </c>
      <c r="D1020" s="9" t="str">
        <f>"孙秀英"</f>
        <v>孙秀英</v>
      </c>
    </row>
    <row r="1021" spans="1:4" ht="34.5" customHeight="1">
      <c r="A1021" s="8">
        <v>1019</v>
      </c>
      <c r="B1021" s="9" t="str">
        <f>"54112023062509490560291"</f>
        <v>54112023062509490560291</v>
      </c>
      <c r="C1021" s="9" t="s">
        <v>11</v>
      </c>
      <c r="D1021" s="9" t="str">
        <f>"黄微"</f>
        <v>黄微</v>
      </c>
    </row>
    <row r="1022" spans="1:4" ht="34.5" customHeight="1">
      <c r="A1022" s="8">
        <v>1020</v>
      </c>
      <c r="B1022" s="9" t="str">
        <f>"54112023062516470363358"</f>
        <v>54112023062516470363358</v>
      </c>
      <c r="C1022" s="9" t="s">
        <v>11</v>
      </c>
      <c r="D1022" s="9" t="str">
        <f>"欧永令"</f>
        <v>欧永令</v>
      </c>
    </row>
    <row r="1023" spans="1:4" ht="34.5" customHeight="1">
      <c r="A1023" s="8">
        <v>1021</v>
      </c>
      <c r="B1023" s="9" t="str">
        <f>"54112023062516453963354"</f>
        <v>54112023062516453963354</v>
      </c>
      <c r="C1023" s="9" t="s">
        <v>11</v>
      </c>
      <c r="D1023" s="9" t="str">
        <f>"羊小玲"</f>
        <v>羊小玲</v>
      </c>
    </row>
    <row r="1024" spans="1:4" ht="34.5" customHeight="1">
      <c r="A1024" s="8">
        <v>1022</v>
      </c>
      <c r="B1024" s="9" t="str">
        <f>"54112023062516204963246"</f>
        <v>54112023062516204963246</v>
      </c>
      <c r="C1024" s="9" t="s">
        <v>11</v>
      </c>
      <c r="D1024" s="9" t="str">
        <f>"李如桂"</f>
        <v>李如桂</v>
      </c>
    </row>
    <row r="1025" spans="1:4" ht="34.5" customHeight="1">
      <c r="A1025" s="8">
        <v>1023</v>
      </c>
      <c r="B1025" s="9" t="str">
        <f>"54112023062511463661627"</f>
        <v>54112023062511463661627</v>
      </c>
      <c r="C1025" s="9" t="s">
        <v>11</v>
      </c>
      <c r="D1025" s="9" t="str">
        <f>"梁承教"</f>
        <v>梁承教</v>
      </c>
    </row>
    <row r="1026" spans="1:4" ht="34.5" customHeight="1">
      <c r="A1026" s="8">
        <v>1024</v>
      </c>
      <c r="B1026" s="9" t="str">
        <f>"54112023062513362162284"</f>
        <v>54112023062513362162284</v>
      </c>
      <c r="C1026" s="9" t="s">
        <v>11</v>
      </c>
      <c r="D1026" s="9" t="str">
        <f>"吴钟龙"</f>
        <v>吴钟龙</v>
      </c>
    </row>
    <row r="1027" spans="1:4" ht="34.5" customHeight="1">
      <c r="A1027" s="8">
        <v>1025</v>
      </c>
      <c r="B1027" s="9" t="str">
        <f>"54112023062518045163682"</f>
        <v>54112023062518045163682</v>
      </c>
      <c r="C1027" s="9" t="s">
        <v>11</v>
      </c>
      <c r="D1027" s="9" t="str">
        <f>"吴周少"</f>
        <v>吴周少</v>
      </c>
    </row>
    <row r="1028" spans="1:4" ht="34.5" customHeight="1">
      <c r="A1028" s="8">
        <v>1026</v>
      </c>
      <c r="B1028" s="9" t="str">
        <f>"54112023062513174062211"</f>
        <v>54112023062513174062211</v>
      </c>
      <c r="C1028" s="9" t="s">
        <v>11</v>
      </c>
      <c r="D1028" s="9" t="str">
        <f>"符俊优"</f>
        <v>符俊优</v>
      </c>
    </row>
    <row r="1029" spans="1:4" ht="34.5" customHeight="1">
      <c r="A1029" s="8">
        <v>1027</v>
      </c>
      <c r="B1029" s="9" t="str">
        <f>"54112023062518391663793"</f>
        <v>54112023062518391663793</v>
      </c>
      <c r="C1029" s="9" t="s">
        <v>11</v>
      </c>
      <c r="D1029" s="9" t="str">
        <f>"王正秋"</f>
        <v>王正秋</v>
      </c>
    </row>
    <row r="1030" spans="1:4" ht="34.5" customHeight="1">
      <c r="A1030" s="8">
        <v>1028</v>
      </c>
      <c r="B1030" s="9" t="str">
        <f>"54112023062519190563941"</f>
        <v>54112023062519190563941</v>
      </c>
      <c r="C1030" s="9" t="s">
        <v>11</v>
      </c>
      <c r="D1030" s="9" t="str">
        <f>"王巧慧"</f>
        <v>王巧慧</v>
      </c>
    </row>
    <row r="1031" spans="1:4" ht="34.5" customHeight="1">
      <c r="A1031" s="8">
        <v>1029</v>
      </c>
      <c r="B1031" s="9" t="str">
        <f>"54112023062519302463988"</f>
        <v>54112023062519302463988</v>
      </c>
      <c r="C1031" s="9" t="s">
        <v>11</v>
      </c>
      <c r="D1031" s="9" t="str">
        <f>"刘思宇"</f>
        <v>刘思宇</v>
      </c>
    </row>
    <row r="1032" spans="1:4" ht="34.5" customHeight="1">
      <c r="A1032" s="8">
        <v>1030</v>
      </c>
      <c r="B1032" s="9" t="str">
        <f>"54112023062510491160801"</f>
        <v>54112023062510491160801</v>
      </c>
      <c r="C1032" s="9" t="s">
        <v>11</v>
      </c>
      <c r="D1032" s="9" t="str">
        <f>"李月华"</f>
        <v>李月华</v>
      </c>
    </row>
    <row r="1033" spans="1:4" ht="34.5" customHeight="1">
      <c r="A1033" s="8">
        <v>1031</v>
      </c>
      <c r="B1033" s="9" t="str">
        <f>"54112023062519505964073"</f>
        <v>54112023062519505964073</v>
      </c>
      <c r="C1033" s="9" t="s">
        <v>11</v>
      </c>
      <c r="D1033" s="9" t="str">
        <f>"钟琼振"</f>
        <v>钟琼振</v>
      </c>
    </row>
    <row r="1034" spans="1:4" ht="34.5" customHeight="1">
      <c r="A1034" s="8">
        <v>1032</v>
      </c>
      <c r="B1034" s="9" t="str">
        <f>"54112023062520524464342"</f>
        <v>54112023062520524464342</v>
      </c>
      <c r="C1034" s="9" t="s">
        <v>11</v>
      </c>
      <c r="D1034" s="9" t="str">
        <f>"赵学翠"</f>
        <v>赵学翠</v>
      </c>
    </row>
    <row r="1035" spans="1:4" ht="34.5" customHeight="1">
      <c r="A1035" s="8">
        <v>1033</v>
      </c>
      <c r="B1035" s="9" t="str">
        <f>"54112023062521084364418"</f>
        <v>54112023062521084364418</v>
      </c>
      <c r="C1035" s="9" t="s">
        <v>11</v>
      </c>
      <c r="D1035" s="9" t="str">
        <f>"陆凌英"</f>
        <v>陆凌英</v>
      </c>
    </row>
    <row r="1036" spans="1:4" ht="34.5" customHeight="1">
      <c r="A1036" s="8">
        <v>1034</v>
      </c>
      <c r="B1036" s="9" t="str">
        <f>"54112023062522291964807"</f>
        <v>54112023062522291964807</v>
      </c>
      <c r="C1036" s="9" t="s">
        <v>11</v>
      </c>
      <c r="D1036" s="9" t="str">
        <f>"陈小曼"</f>
        <v>陈小曼</v>
      </c>
    </row>
    <row r="1037" spans="1:4" ht="34.5" customHeight="1">
      <c r="A1037" s="8">
        <v>1035</v>
      </c>
      <c r="B1037" s="9" t="str">
        <f>"54112023062523442765026"</f>
        <v>54112023062523442765026</v>
      </c>
      <c r="C1037" s="9" t="s">
        <v>11</v>
      </c>
      <c r="D1037" s="9" t="str">
        <f>"戴金妹"</f>
        <v>戴金妹</v>
      </c>
    </row>
    <row r="1038" spans="1:4" ht="34.5" customHeight="1">
      <c r="A1038" s="8">
        <v>1036</v>
      </c>
      <c r="B1038" s="9" t="str">
        <f>"54112023062600012465058"</f>
        <v>54112023062600012465058</v>
      </c>
      <c r="C1038" s="9" t="s">
        <v>11</v>
      </c>
      <c r="D1038" s="9" t="str">
        <f>"李雪梅"</f>
        <v>李雪梅</v>
      </c>
    </row>
    <row r="1039" spans="1:4" ht="34.5" customHeight="1">
      <c r="A1039" s="8">
        <v>1037</v>
      </c>
      <c r="B1039" s="9" t="str">
        <f>"54112023062607433765268"</f>
        <v>54112023062607433765268</v>
      </c>
      <c r="C1039" s="9" t="s">
        <v>11</v>
      </c>
      <c r="D1039" s="9" t="str">
        <f>"林蓓"</f>
        <v>林蓓</v>
      </c>
    </row>
    <row r="1040" spans="1:4" ht="34.5" customHeight="1">
      <c r="A1040" s="8">
        <v>1038</v>
      </c>
      <c r="B1040" s="9" t="str">
        <f>"54112023062608491365426"</f>
        <v>54112023062608491365426</v>
      </c>
      <c r="C1040" s="9" t="s">
        <v>11</v>
      </c>
      <c r="D1040" s="9" t="str">
        <f>"王其妮"</f>
        <v>王其妮</v>
      </c>
    </row>
    <row r="1041" spans="1:4" ht="34.5" customHeight="1">
      <c r="A1041" s="8">
        <v>1039</v>
      </c>
      <c r="B1041" s="9" t="str">
        <f>"54112023062510035960449"</f>
        <v>54112023062510035960449</v>
      </c>
      <c r="C1041" s="9" t="s">
        <v>11</v>
      </c>
      <c r="D1041" s="9" t="str">
        <f>"符秘豪"</f>
        <v>符秘豪</v>
      </c>
    </row>
    <row r="1042" spans="1:4" ht="34.5" customHeight="1">
      <c r="A1042" s="8">
        <v>1040</v>
      </c>
      <c r="B1042" s="9" t="str">
        <f>"54112023062608303765359"</f>
        <v>54112023062608303765359</v>
      </c>
      <c r="C1042" s="9" t="s">
        <v>11</v>
      </c>
      <c r="D1042" s="9" t="str">
        <f>"王栋"</f>
        <v>王栋</v>
      </c>
    </row>
    <row r="1043" spans="1:4" ht="34.5" customHeight="1">
      <c r="A1043" s="8">
        <v>1041</v>
      </c>
      <c r="B1043" s="9" t="str">
        <f>"54112023062610214366938"</f>
        <v>54112023062610214366938</v>
      </c>
      <c r="C1043" s="9" t="s">
        <v>11</v>
      </c>
      <c r="D1043" s="9" t="str">
        <f>"汤朝"</f>
        <v>汤朝</v>
      </c>
    </row>
    <row r="1044" spans="1:4" ht="34.5" customHeight="1">
      <c r="A1044" s="8">
        <v>1042</v>
      </c>
      <c r="B1044" s="9" t="str">
        <f>"54112023062611053467532"</f>
        <v>54112023062611053467532</v>
      </c>
      <c r="C1044" s="9" t="s">
        <v>11</v>
      </c>
      <c r="D1044" s="9" t="str">
        <f>"王海瑜"</f>
        <v>王海瑜</v>
      </c>
    </row>
    <row r="1045" spans="1:4" ht="34.5" customHeight="1">
      <c r="A1045" s="8">
        <v>1043</v>
      </c>
      <c r="B1045" s="9" t="str">
        <f>"54112023062610572467427"</f>
        <v>54112023062610572467427</v>
      </c>
      <c r="C1045" s="9" t="s">
        <v>11</v>
      </c>
      <c r="D1045" s="9" t="str">
        <f>"李秋月"</f>
        <v>李秋月</v>
      </c>
    </row>
    <row r="1046" spans="1:4" ht="34.5" customHeight="1">
      <c r="A1046" s="8">
        <v>1044</v>
      </c>
      <c r="B1046" s="9" t="str">
        <f>"54112023062510351860703"</f>
        <v>54112023062510351860703</v>
      </c>
      <c r="C1046" s="9" t="s">
        <v>11</v>
      </c>
      <c r="D1046" s="9" t="str">
        <f>"吕小燕"</f>
        <v>吕小燕</v>
      </c>
    </row>
    <row r="1047" spans="1:4" ht="34.5" customHeight="1">
      <c r="A1047" s="8">
        <v>1045</v>
      </c>
      <c r="B1047" s="9" t="str">
        <f>"54112023062600202265097"</f>
        <v>54112023062600202265097</v>
      </c>
      <c r="C1047" s="9" t="s">
        <v>11</v>
      </c>
      <c r="D1047" s="9" t="str">
        <f>"崔芝源 "</f>
        <v>崔芝源 </v>
      </c>
    </row>
    <row r="1048" spans="1:4" ht="34.5" customHeight="1">
      <c r="A1048" s="8">
        <v>1046</v>
      </c>
      <c r="B1048" s="9" t="str">
        <f>"54112023062609571866558"</f>
        <v>54112023062609571866558</v>
      </c>
      <c r="C1048" s="9" t="s">
        <v>11</v>
      </c>
      <c r="D1048" s="9" t="str">
        <f>"杨秋月"</f>
        <v>杨秋月</v>
      </c>
    </row>
    <row r="1049" spans="1:4" ht="34.5" customHeight="1">
      <c r="A1049" s="8">
        <v>1047</v>
      </c>
      <c r="B1049" s="9" t="str">
        <f>"54112023062509202059988"</f>
        <v>54112023062509202059988</v>
      </c>
      <c r="C1049" s="9" t="s">
        <v>11</v>
      </c>
      <c r="D1049" s="9" t="str">
        <f>"陈雨"</f>
        <v>陈雨</v>
      </c>
    </row>
    <row r="1050" spans="1:4" ht="34.5" customHeight="1">
      <c r="A1050" s="8">
        <v>1048</v>
      </c>
      <c r="B1050" s="9" t="str">
        <f>"54112023062523335164998"</f>
        <v>54112023062523335164998</v>
      </c>
      <c r="C1050" s="9" t="s">
        <v>11</v>
      </c>
      <c r="D1050" s="9" t="str">
        <f>"陈燕"</f>
        <v>陈燕</v>
      </c>
    </row>
    <row r="1051" spans="1:4" ht="34.5" customHeight="1">
      <c r="A1051" s="8">
        <v>1049</v>
      </c>
      <c r="B1051" s="9" t="str">
        <f>"54112023062609450566342"</f>
        <v>54112023062609450566342</v>
      </c>
      <c r="C1051" s="9" t="s">
        <v>11</v>
      </c>
      <c r="D1051" s="9" t="str">
        <f>"陈桂秀"</f>
        <v>陈桂秀</v>
      </c>
    </row>
    <row r="1052" spans="1:4" ht="34.5" customHeight="1">
      <c r="A1052" s="8">
        <v>1050</v>
      </c>
      <c r="B1052" s="9" t="str">
        <f>"54112023062616573369907"</f>
        <v>54112023062616573369907</v>
      </c>
      <c r="C1052" s="9" t="s">
        <v>11</v>
      </c>
      <c r="D1052" s="9" t="str">
        <f>"符吉省"</f>
        <v>符吉省</v>
      </c>
    </row>
    <row r="1053" spans="1:4" ht="34.5" customHeight="1">
      <c r="A1053" s="8">
        <v>1051</v>
      </c>
      <c r="B1053" s="9" t="str">
        <f>"54112023062617270270085"</f>
        <v>54112023062617270270085</v>
      </c>
      <c r="C1053" s="9" t="s">
        <v>11</v>
      </c>
      <c r="D1053" s="9" t="str">
        <f>"文春娥"</f>
        <v>文春娥</v>
      </c>
    </row>
    <row r="1054" spans="1:4" ht="34.5" customHeight="1">
      <c r="A1054" s="8">
        <v>1052</v>
      </c>
      <c r="B1054" s="9" t="str">
        <f>"54112023062618473270464"</f>
        <v>54112023062618473270464</v>
      </c>
      <c r="C1054" s="9" t="s">
        <v>11</v>
      </c>
      <c r="D1054" s="9" t="str">
        <f>"梁志鹏"</f>
        <v>梁志鹏</v>
      </c>
    </row>
    <row r="1055" spans="1:4" ht="34.5" customHeight="1">
      <c r="A1055" s="8">
        <v>1053</v>
      </c>
      <c r="B1055" s="9" t="str">
        <f>"54112023062521104664426"</f>
        <v>54112023062521104664426</v>
      </c>
      <c r="C1055" s="9" t="s">
        <v>11</v>
      </c>
      <c r="D1055" s="9" t="str">
        <f>"陈海金"</f>
        <v>陈海金</v>
      </c>
    </row>
    <row r="1056" spans="1:4" ht="34.5" customHeight="1">
      <c r="A1056" s="8">
        <v>1054</v>
      </c>
      <c r="B1056" s="9" t="str">
        <f>"54112023062619183870604"</f>
        <v>54112023062619183870604</v>
      </c>
      <c r="C1056" s="9" t="s">
        <v>11</v>
      </c>
      <c r="D1056" s="9" t="str">
        <f>"陈玉凤"</f>
        <v>陈玉凤</v>
      </c>
    </row>
    <row r="1057" spans="1:4" ht="34.5" customHeight="1">
      <c r="A1057" s="8">
        <v>1055</v>
      </c>
      <c r="B1057" s="9" t="str">
        <f>"54112023062619372370674"</f>
        <v>54112023062619372370674</v>
      </c>
      <c r="C1057" s="9" t="s">
        <v>11</v>
      </c>
      <c r="D1057" s="9" t="str">
        <f>"何振柳"</f>
        <v>何振柳</v>
      </c>
    </row>
    <row r="1058" spans="1:4" ht="34.5" customHeight="1">
      <c r="A1058" s="8">
        <v>1056</v>
      </c>
      <c r="B1058" s="9" t="str">
        <f>"54112023062620214870870"</f>
        <v>54112023062620214870870</v>
      </c>
      <c r="C1058" s="9" t="s">
        <v>11</v>
      </c>
      <c r="D1058" s="9" t="str">
        <f>"陈宏娜"</f>
        <v>陈宏娜</v>
      </c>
    </row>
    <row r="1059" spans="1:4" ht="34.5" customHeight="1">
      <c r="A1059" s="8">
        <v>1057</v>
      </c>
      <c r="B1059" s="9" t="str">
        <f>"54112023062620395070973"</f>
        <v>54112023062620395070973</v>
      </c>
      <c r="C1059" s="9" t="s">
        <v>11</v>
      </c>
      <c r="D1059" s="9" t="str">
        <f>"符慧华"</f>
        <v>符慧华</v>
      </c>
    </row>
    <row r="1060" spans="1:4" ht="34.5" customHeight="1">
      <c r="A1060" s="8">
        <v>1058</v>
      </c>
      <c r="B1060" s="9" t="str">
        <f>"54112023062621022671091"</f>
        <v>54112023062621022671091</v>
      </c>
      <c r="C1060" s="9" t="s">
        <v>11</v>
      </c>
      <c r="D1060" s="9" t="str">
        <f>"羊丽苹"</f>
        <v>羊丽苹</v>
      </c>
    </row>
    <row r="1061" spans="1:4" ht="34.5" customHeight="1">
      <c r="A1061" s="8">
        <v>1059</v>
      </c>
      <c r="B1061" s="9" t="str">
        <f>"54112023062621054671111"</f>
        <v>54112023062621054671111</v>
      </c>
      <c r="C1061" s="9" t="s">
        <v>11</v>
      </c>
      <c r="D1061" s="9" t="str">
        <f>"陈丽娇"</f>
        <v>陈丽娇</v>
      </c>
    </row>
    <row r="1062" spans="1:4" ht="34.5" customHeight="1">
      <c r="A1062" s="8">
        <v>1060</v>
      </c>
      <c r="B1062" s="9" t="str">
        <f>"54112023062623243871713"</f>
        <v>54112023062623243871713</v>
      </c>
      <c r="C1062" s="9" t="s">
        <v>11</v>
      </c>
      <c r="D1062" s="9" t="str">
        <f>"钟海玉"</f>
        <v>钟海玉</v>
      </c>
    </row>
    <row r="1063" spans="1:4" ht="34.5" customHeight="1">
      <c r="A1063" s="8">
        <v>1061</v>
      </c>
      <c r="B1063" s="9" t="str">
        <f>"54112023062708501772154"</f>
        <v>54112023062708501772154</v>
      </c>
      <c r="C1063" s="9" t="s">
        <v>11</v>
      </c>
      <c r="D1063" s="9" t="str">
        <f>"杨顺"</f>
        <v>杨顺</v>
      </c>
    </row>
    <row r="1064" spans="1:4" ht="34.5" customHeight="1">
      <c r="A1064" s="8">
        <v>1062</v>
      </c>
      <c r="B1064" s="9" t="str">
        <f>"54112023062708053971967"</f>
        <v>54112023062708053971967</v>
      </c>
      <c r="C1064" s="9" t="s">
        <v>11</v>
      </c>
      <c r="D1064" s="9" t="str">
        <f>"何桂玉"</f>
        <v>何桂玉</v>
      </c>
    </row>
    <row r="1065" spans="1:4" ht="34.5" customHeight="1">
      <c r="A1065" s="8">
        <v>1063</v>
      </c>
      <c r="B1065" s="9" t="str">
        <f>"54112023062607521465274"</f>
        <v>54112023062607521465274</v>
      </c>
      <c r="C1065" s="9" t="s">
        <v>11</v>
      </c>
      <c r="D1065" s="9" t="str">
        <f>"冯小蔓"</f>
        <v>冯小蔓</v>
      </c>
    </row>
    <row r="1066" spans="1:4" ht="34.5" customHeight="1">
      <c r="A1066" s="8">
        <v>1064</v>
      </c>
      <c r="B1066" s="9" t="str">
        <f>"54112023062709161872310"</f>
        <v>54112023062709161872310</v>
      </c>
      <c r="C1066" s="9" t="s">
        <v>11</v>
      </c>
      <c r="D1066" s="9" t="str">
        <f>"李广芳"</f>
        <v>李广芳</v>
      </c>
    </row>
    <row r="1067" spans="1:4" ht="34.5" customHeight="1">
      <c r="A1067" s="8">
        <v>1065</v>
      </c>
      <c r="B1067" s="9" t="str">
        <f>"54112023062611112867610"</f>
        <v>54112023062611112867610</v>
      </c>
      <c r="C1067" s="9" t="s">
        <v>11</v>
      </c>
      <c r="D1067" s="9" t="str">
        <f>"骆海霞"</f>
        <v>骆海霞</v>
      </c>
    </row>
    <row r="1068" spans="1:4" ht="34.5" customHeight="1">
      <c r="A1068" s="8">
        <v>1066</v>
      </c>
      <c r="B1068" s="9" t="str">
        <f>"54112023062709024672224"</f>
        <v>54112023062709024672224</v>
      </c>
      <c r="C1068" s="9" t="s">
        <v>11</v>
      </c>
      <c r="D1068" s="9" t="str">
        <f>"劳忆诗"</f>
        <v>劳忆诗</v>
      </c>
    </row>
    <row r="1069" spans="1:4" ht="34.5" customHeight="1">
      <c r="A1069" s="8">
        <v>1067</v>
      </c>
      <c r="B1069" s="9" t="str">
        <f>"54112023062709542372546"</f>
        <v>54112023062709542372546</v>
      </c>
      <c r="C1069" s="9" t="s">
        <v>11</v>
      </c>
      <c r="D1069" s="9" t="str">
        <f>"王伊蕾"</f>
        <v>王伊蕾</v>
      </c>
    </row>
    <row r="1070" spans="1:4" ht="34.5" customHeight="1">
      <c r="A1070" s="8">
        <v>1068</v>
      </c>
      <c r="B1070" s="9" t="str">
        <f>"54112023062710480273194"</f>
        <v>54112023062710480273194</v>
      </c>
      <c r="C1070" s="9" t="s">
        <v>11</v>
      </c>
      <c r="D1070" s="9" t="str">
        <f>"郑新燕"</f>
        <v>郑新燕</v>
      </c>
    </row>
    <row r="1071" spans="1:4" ht="34.5" customHeight="1">
      <c r="A1071" s="8">
        <v>1069</v>
      </c>
      <c r="B1071" s="9" t="str">
        <f>"54112023062710560773233"</f>
        <v>54112023062710560773233</v>
      </c>
      <c r="C1071" s="9" t="s">
        <v>11</v>
      </c>
      <c r="D1071" s="9" t="str">
        <f>"罗盛转"</f>
        <v>罗盛转</v>
      </c>
    </row>
    <row r="1072" spans="1:4" ht="34.5" customHeight="1">
      <c r="A1072" s="8">
        <v>1070</v>
      </c>
      <c r="B1072" s="9" t="str">
        <f>"54112023062612465068348"</f>
        <v>54112023062612465068348</v>
      </c>
      <c r="C1072" s="9" t="s">
        <v>11</v>
      </c>
      <c r="D1072" s="9" t="str">
        <f>"王彬彬"</f>
        <v>王彬彬</v>
      </c>
    </row>
    <row r="1073" spans="1:4" ht="34.5" customHeight="1">
      <c r="A1073" s="8">
        <v>1071</v>
      </c>
      <c r="B1073" s="9" t="str">
        <f>"54112023062712131373568"</f>
        <v>54112023062712131373568</v>
      </c>
      <c r="C1073" s="9" t="s">
        <v>11</v>
      </c>
      <c r="D1073" s="9" t="str">
        <f>"王丽梨"</f>
        <v>王丽梨</v>
      </c>
    </row>
    <row r="1074" spans="1:4" ht="34.5" customHeight="1">
      <c r="A1074" s="8">
        <v>1072</v>
      </c>
      <c r="B1074" s="9" t="str">
        <f>"54112023062712391273661"</f>
        <v>54112023062712391273661</v>
      </c>
      <c r="C1074" s="9" t="s">
        <v>11</v>
      </c>
      <c r="D1074" s="9" t="str">
        <f>"李国柳"</f>
        <v>李国柳</v>
      </c>
    </row>
    <row r="1075" spans="1:4" ht="34.5" customHeight="1">
      <c r="A1075" s="8">
        <v>1073</v>
      </c>
      <c r="B1075" s="9" t="str">
        <f>"54112023062712370173653"</f>
        <v>54112023062712370173653</v>
      </c>
      <c r="C1075" s="9" t="s">
        <v>11</v>
      </c>
      <c r="D1075" s="9" t="str">
        <f>"陈素珍"</f>
        <v>陈素珍</v>
      </c>
    </row>
    <row r="1076" spans="1:4" ht="34.5" customHeight="1">
      <c r="A1076" s="8">
        <v>1074</v>
      </c>
      <c r="B1076" s="9" t="str">
        <f>"54112023062611103567596"</f>
        <v>54112023062611103567596</v>
      </c>
      <c r="C1076" s="9" t="s">
        <v>11</v>
      </c>
      <c r="D1076" s="9" t="str">
        <f>"唐望锦"</f>
        <v>唐望锦</v>
      </c>
    </row>
    <row r="1077" spans="1:4" ht="34.5" customHeight="1">
      <c r="A1077" s="8">
        <v>1075</v>
      </c>
      <c r="B1077" s="9" t="str">
        <f>"54112023062713310873819"</f>
        <v>54112023062713310873819</v>
      </c>
      <c r="C1077" s="9" t="s">
        <v>11</v>
      </c>
      <c r="D1077" s="9" t="str">
        <f>"林姝含"</f>
        <v>林姝含</v>
      </c>
    </row>
    <row r="1078" spans="1:4" ht="34.5" customHeight="1">
      <c r="A1078" s="8">
        <v>1076</v>
      </c>
      <c r="B1078" s="9" t="str">
        <f>"54112023062715114374142"</f>
        <v>54112023062715114374142</v>
      </c>
      <c r="C1078" s="9" t="s">
        <v>11</v>
      </c>
      <c r="D1078" s="9" t="str">
        <f>"吴樱蓓"</f>
        <v>吴樱蓓</v>
      </c>
    </row>
    <row r="1079" spans="1:4" ht="34.5" customHeight="1">
      <c r="A1079" s="8">
        <v>1077</v>
      </c>
      <c r="B1079" s="9" t="str">
        <f>"54112023062717364275158"</f>
        <v>54112023062717364275158</v>
      </c>
      <c r="C1079" s="9" t="s">
        <v>11</v>
      </c>
      <c r="D1079" s="9" t="str">
        <f>"黄小叶"</f>
        <v>黄小叶</v>
      </c>
    </row>
    <row r="1080" spans="1:4" ht="34.5" customHeight="1">
      <c r="A1080" s="8">
        <v>1078</v>
      </c>
      <c r="B1080" s="9" t="str">
        <f>"54112023062719295775521"</f>
        <v>54112023062719295775521</v>
      </c>
      <c r="C1080" s="9" t="s">
        <v>11</v>
      </c>
      <c r="D1080" s="9" t="str">
        <f>"杨日秀"</f>
        <v>杨日秀</v>
      </c>
    </row>
    <row r="1081" spans="1:4" ht="34.5" customHeight="1">
      <c r="A1081" s="8">
        <v>1079</v>
      </c>
      <c r="B1081" s="9" t="str">
        <f>"54112023062720100775657"</f>
        <v>54112023062720100775657</v>
      </c>
      <c r="C1081" s="9" t="s">
        <v>11</v>
      </c>
      <c r="D1081" s="9" t="str">
        <f>"扈雅宁"</f>
        <v>扈雅宁</v>
      </c>
    </row>
    <row r="1082" spans="1:4" ht="34.5" customHeight="1">
      <c r="A1082" s="8">
        <v>1080</v>
      </c>
      <c r="B1082" s="9" t="str">
        <f>"54112023062721571376074"</f>
        <v>54112023062721571376074</v>
      </c>
      <c r="C1082" s="9" t="s">
        <v>11</v>
      </c>
      <c r="D1082" s="9" t="str">
        <f>"曾妙"</f>
        <v>曾妙</v>
      </c>
    </row>
    <row r="1083" spans="1:4" ht="34.5" customHeight="1">
      <c r="A1083" s="8">
        <v>1081</v>
      </c>
      <c r="B1083" s="9" t="str">
        <f>"54112023062721245875950"</f>
        <v>54112023062721245875950</v>
      </c>
      <c r="C1083" s="9" t="s">
        <v>11</v>
      </c>
      <c r="D1083" s="9" t="str">
        <f>"陈德楼"</f>
        <v>陈德楼</v>
      </c>
    </row>
    <row r="1084" spans="1:4" ht="34.5" customHeight="1">
      <c r="A1084" s="8">
        <v>1082</v>
      </c>
      <c r="B1084" s="9" t="str">
        <f>"54112023062723430576328"</f>
        <v>54112023062723430576328</v>
      </c>
      <c r="C1084" s="9" t="s">
        <v>11</v>
      </c>
      <c r="D1084" s="9" t="str">
        <f>"陈孟紫"</f>
        <v>陈孟紫</v>
      </c>
    </row>
    <row r="1085" spans="1:4" ht="34.5" customHeight="1">
      <c r="A1085" s="8">
        <v>1083</v>
      </c>
      <c r="B1085" s="9" t="str">
        <f>"54112023062723565176353"</f>
        <v>54112023062723565176353</v>
      </c>
      <c r="C1085" s="9" t="s">
        <v>11</v>
      </c>
      <c r="D1085" s="9" t="str">
        <f>"钟惠"</f>
        <v>钟惠</v>
      </c>
    </row>
    <row r="1086" spans="1:4" ht="34.5" customHeight="1">
      <c r="A1086" s="8">
        <v>1084</v>
      </c>
      <c r="B1086" s="9" t="str">
        <f>"54112023062808500676650"</f>
        <v>54112023062808500676650</v>
      </c>
      <c r="C1086" s="9" t="s">
        <v>11</v>
      </c>
      <c r="D1086" s="9" t="str">
        <f>"顾红"</f>
        <v>顾红</v>
      </c>
    </row>
    <row r="1087" spans="1:4" ht="34.5" customHeight="1">
      <c r="A1087" s="8">
        <v>1085</v>
      </c>
      <c r="B1087" s="9" t="str">
        <f>"54112023062808443476627"</f>
        <v>54112023062808443476627</v>
      </c>
      <c r="C1087" s="9" t="s">
        <v>11</v>
      </c>
      <c r="D1087" s="9" t="str">
        <f>"王丹丹"</f>
        <v>王丹丹</v>
      </c>
    </row>
    <row r="1088" spans="1:4" ht="34.5" customHeight="1">
      <c r="A1088" s="8">
        <v>1086</v>
      </c>
      <c r="B1088" s="9" t="str">
        <f>"54112023062809323476869"</f>
        <v>54112023062809323476869</v>
      </c>
      <c r="C1088" s="9" t="s">
        <v>11</v>
      </c>
      <c r="D1088" s="9" t="str">
        <f>"王云萍"</f>
        <v>王云萍</v>
      </c>
    </row>
    <row r="1089" spans="1:4" ht="34.5" customHeight="1">
      <c r="A1089" s="8">
        <v>1087</v>
      </c>
      <c r="B1089" s="9" t="str">
        <f>"54112023062810133877087"</f>
        <v>54112023062810133877087</v>
      </c>
      <c r="C1089" s="9" t="s">
        <v>11</v>
      </c>
      <c r="D1089" s="9" t="str">
        <f>"文亚倩"</f>
        <v>文亚倩</v>
      </c>
    </row>
    <row r="1090" spans="1:4" ht="34.5" customHeight="1">
      <c r="A1090" s="8">
        <v>1088</v>
      </c>
      <c r="B1090" s="9" t="str">
        <f>"54112023062810391177231"</f>
        <v>54112023062810391177231</v>
      </c>
      <c r="C1090" s="9" t="s">
        <v>11</v>
      </c>
      <c r="D1090" s="9" t="str">
        <f>"曾石凤"</f>
        <v>曾石凤</v>
      </c>
    </row>
    <row r="1091" spans="1:4" ht="34.5" customHeight="1">
      <c r="A1091" s="8">
        <v>1089</v>
      </c>
      <c r="B1091" s="9" t="str">
        <f>"54112023062811332477548"</f>
        <v>54112023062811332477548</v>
      </c>
      <c r="C1091" s="9" t="s">
        <v>11</v>
      </c>
      <c r="D1091" s="9" t="str">
        <f>"李叶梅"</f>
        <v>李叶梅</v>
      </c>
    </row>
    <row r="1092" spans="1:4" ht="34.5" customHeight="1">
      <c r="A1092" s="8">
        <v>1090</v>
      </c>
      <c r="B1092" s="9" t="str">
        <f>"54112023062811203277480"</f>
        <v>54112023062811203277480</v>
      </c>
      <c r="C1092" s="9" t="s">
        <v>11</v>
      </c>
      <c r="D1092" s="9" t="str">
        <f>"苏妙铃"</f>
        <v>苏妙铃</v>
      </c>
    </row>
    <row r="1093" spans="1:4" ht="34.5" customHeight="1">
      <c r="A1093" s="8">
        <v>1091</v>
      </c>
      <c r="B1093" s="9" t="str">
        <f>"54112023062613224568555"</f>
        <v>54112023062613224568555</v>
      </c>
      <c r="C1093" s="9" t="s">
        <v>11</v>
      </c>
      <c r="D1093" s="9" t="str">
        <f>"黄女钩"</f>
        <v>黄女钩</v>
      </c>
    </row>
    <row r="1094" spans="1:4" ht="34.5" customHeight="1">
      <c r="A1094" s="8">
        <v>1092</v>
      </c>
      <c r="B1094" s="9" t="str">
        <f>"54112023062720341975727"</f>
        <v>54112023062720341975727</v>
      </c>
      <c r="C1094" s="9" t="s">
        <v>11</v>
      </c>
      <c r="D1094" s="9" t="str">
        <f>"桂芳传"</f>
        <v>桂芳传</v>
      </c>
    </row>
    <row r="1095" spans="1:4" ht="34.5" customHeight="1">
      <c r="A1095" s="8">
        <v>1093</v>
      </c>
      <c r="B1095" s="9" t="str">
        <f>"54112023062816390878802"</f>
        <v>54112023062816390878802</v>
      </c>
      <c r="C1095" s="9" t="s">
        <v>11</v>
      </c>
      <c r="D1095" s="9" t="str">
        <f>"李腾爱"</f>
        <v>李腾爱</v>
      </c>
    </row>
    <row r="1096" spans="1:4" ht="34.5" customHeight="1">
      <c r="A1096" s="8">
        <v>1094</v>
      </c>
      <c r="B1096" s="9" t="str">
        <f>"54112023062817500779079"</f>
        <v>54112023062817500779079</v>
      </c>
      <c r="C1096" s="9" t="s">
        <v>11</v>
      </c>
      <c r="D1096" s="9" t="str">
        <f>"王允桂"</f>
        <v>王允桂</v>
      </c>
    </row>
    <row r="1097" spans="1:4" ht="34.5" customHeight="1">
      <c r="A1097" s="8">
        <v>1095</v>
      </c>
      <c r="B1097" s="9" t="str">
        <f>"54112023062818071079138"</f>
        <v>54112023062818071079138</v>
      </c>
      <c r="C1097" s="9" t="s">
        <v>11</v>
      </c>
      <c r="D1097" s="9" t="str">
        <f>"胡其扬"</f>
        <v>胡其扬</v>
      </c>
    </row>
    <row r="1098" spans="1:4" ht="34.5" customHeight="1">
      <c r="A1098" s="8">
        <v>1096</v>
      </c>
      <c r="B1098" s="9" t="str">
        <f>"54112023062519452564047"</f>
        <v>54112023062519452564047</v>
      </c>
      <c r="C1098" s="9" t="s">
        <v>11</v>
      </c>
      <c r="D1098" s="9" t="str">
        <f>"邱小銮"</f>
        <v>邱小銮</v>
      </c>
    </row>
    <row r="1099" spans="1:4" ht="34.5" customHeight="1">
      <c r="A1099" s="8">
        <v>1097</v>
      </c>
      <c r="B1099" s="9" t="str">
        <f>"54112023062819135779348"</f>
        <v>54112023062819135779348</v>
      </c>
      <c r="C1099" s="9" t="s">
        <v>11</v>
      </c>
      <c r="D1099" s="9" t="str">
        <f>"周炳丹"</f>
        <v>周炳丹</v>
      </c>
    </row>
    <row r="1100" spans="1:4" ht="34.5" customHeight="1">
      <c r="A1100" s="8">
        <v>1098</v>
      </c>
      <c r="B1100" s="9" t="str">
        <f>"54112023062819210679370"</f>
        <v>54112023062819210679370</v>
      </c>
      <c r="C1100" s="9" t="s">
        <v>11</v>
      </c>
      <c r="D1100" s="9" t="str">
        <f>"郭江霞"</f>
        <v>郭江霞</v>
      </c>
    </row>
    <row r="1101" spans="1:4" ht="34.5" customHeight="1">
      <c r="A1101" s="8">
        <v>1099</v>
      </c>
      <c r="B1101" s="9" t="str">
        <f>"54112023062820002479478"</f>
        <v>54112023062820002479478</v>
      </c>
      <c r="C1101" s="9" t="s">
        <v>11</v>
      </c>
      <c r="D1101" s="9" t="str">
        <f>"陈秀女"</f>
        <v>陈秀女</v>
      </c>
    </row>
    <row r="1102" spans="1:4" ht="34.5" customHeight="1">
      <c r="A1102" s="8">
        <v>1100</v>
      </c>
      <c r="B1102" s="9" t="str">
        <f>"54112023062821420579891"</f>
        <v>54112023062821420579891</v>
      </c>
      <c r="C1102" s="9" t="s">
        <v>11</v>
      </c>
      <c r="D1102" s="9" t="str">
        <f>"曾敏琴"</f>
        <v>曾敏琴</v>
      </c>
    </row>
    <row r="1103" spans="1:4" ht="34.5" customHeight="1">
      <c r="A1103" s="8">
        <v>1101</v>
      </c>
      <c r="B1103" s="9" t="str">
        <f>"54112023062821535979938"</f>
        <v>54112023062821535979938</v>
      </c>
      <c r="C1103" s="9" t="s">
        <v>11</v>
      </c>
      <c r="D1103" s="9" t="str">
        <f>"林学桥"</f>
        <v>林学桥</v>
      </c>
    </row>
    <row r="1104" spans="1:4" ht="34.5" customHeight="1">
      <c r="A1104" s="8">
        <v>1102</v>
      </c>
      <c r="B1104" s="9" t="str">
        <f>"54112023062823244680265"</f>
        <v>54112023062823244680265</v>
      </c>
      <c r="C1104" s="9" t="s">
        <v>11</v>
      </c>
      <c r="D1104" s="9" t="str">
        <f>"黄柳灵"</f>
        <v>黄柳灵</v>
      </c>
    </row>
    <row r="1105" spans="1:4" ht="34.5" customHeight="1">
      <c r="A1105" s="8">
        <v>1103</v>
      </c>
      <c r="B1105" s="9" t="str">
        <f>"54112023062600084565070"</f>
        <v>54112023062600084565070</v>
      </c>
      <c r="C1105" s="9" t="s">
        <v>11</v>
      </c>
      <c r="D1105" s="9" t="str">
        <f>"王少玉"</f>
        <v>王少玉</v>
      </c>
    </row>
    <row r="1106" spans="1:4" ht="34.5" customHeight="1">
      <c r="A1106" s="8">
        <v>1104</v>
      </c>
      <c r="B1106" s="9" t="str">
        <f>"54112023062900232480356"</f>
        <v>54112023062900232480356</v>
      </c>
      <c r="C1106" s="9" t="s">
        <v>11</v>
      </c>
      <c r="D1106" s="9" t="str">
        <f>"曾天婷"</f>
        <v>曾天婷</v>
      </c>
    </row>
    <row r="1107" spans="1:4" ht="34.5" customHeight="1">
      <c r="A1107" s="8">
        <v>1105</v>
      </c>
      <c r="B1107" s="9" t="str">
        <f>"54112023062908173880540"</f>
        <v>54112023062908173880540</v>
      </c>
      <c r="C1107" s="9" t="s">
        <v>11</v>
      </c>
      <c r="D1107" s="9" t="str">
        <f>"文霞"</f>
        <v>文霞</v>
      </c>
    </row>
    <row r="1108" spans="1:4" ht="34.5" customHeight="1">
      <c r="A1108" s="8">
        <v>1106</v>
      </c>
      <c r="B1108" s="9" t="str">
        <f>"54112023062910185981527"</f>
        <v>54112023062910185981527</v>
      </c>
      <c r="C1108" s="9" t="s">
        <v>11</v>
      </c>
      <c r="D1108" s="9" t="str">
        <f>"陈承凤"</f>
        <v>陈承凤</v>
      </c>
    </row>
    <row r="1109" spans="1:4" ht="34.5" customHeight="1">
      <c r="A1109" s="8">
        <v>1107</v>
      </c>
      <c r="B1109" s="9" t="str">
        <f>"54112023062910244981577"</f>
        <v>54112023062910244981577</v>
      </c>
      <c r="C1109" s="9" t="s">
        <v>11</v>
      </c>
      <c r="D1109" s="9" t="str">
        <f>"苏雯"</f>
        <v>苏雯</v>
      </c>
    </row>
    <row r="1110" spans="1:4" ht="34.5" customHeight="1">
      <c r="A1110" s="8">
        <v>1108</v>
      </c>
      <c r="B1110" s="9" t="str">
        <f>"54112023062910414281743"</f>
        <v>54112023062910414281743</v>
      </c>
      <c r="C1110" s="9" t="s">
        <v>11</v>
      </c>
      <c r="D1110" s="9" t="str">
        <f>"曾婆玉"</f>
        <v>曾婆玉</v>
      </c>
    </row>
    <row r="1111" spans="1:4" ht="34.5" customHeight="1">
      <c r="A1111" s="8">
        <v>1109</v>
      </c>
      <c r="B1111" s="9" t="str">
        <f>"54112023062911313182145"</f>
        <v>54112023062911313182145</v>
      </c>
      <c r="C1111" s="9" t="s">
        <v>11</v>
      </c>
      <c r="D1111" s="9" t="str">
        <f>"李小婷"</f>
        <v>李小婷</v>
      </c>
    </row>
    <row r="1112" spans="1:4" ht="34.5" customHeight="1">
      <c r="A1112" s="8">
        <v>1110</v>
      </c>
      <c r="B1112" s="9" t="str">
        <f>"54112023062913353482855"</f>
        <v>54112023062913353482855</v>
      </c>
      <c r="C1112" s="9" t="s">
        <v>11</v>
      </c>
      <c r="D1112" s="9" t="str">
        <f>"林颖"</f>
        <v>林颖</v>
      </c>
    </row>
    <row r="1113" spans="1:4" ht="34.5" customHeight="1">
      <c r="A1113" s="8">
        <v>1111</v>
      </c>
      <c r="B1113" s="9" t="str">
        <f>"54112023062718273275339"</f>
        <v>54112023062718273275339</v>
      </c>
      <c r="C1113" s="9" t="s">
        <v>11</v>
      </c>
      <c r="D1113" s="9" t="str">
        <f>"杨珠"</f>
        <v>杨珠</v>
      </c>
    </row>
    <row r="1114" spans="1:4" ht="34.5" customHeight="1">
      <c r="A1114" s="8">
        <v>1112</v>
      </c>
      <c r="B1114" s="9" t="str">
        <f>"54112023062912313282523"</f>
        <v>54112023062912313282523</v>
      </c>
      <c r="C1114" s="9" t="s">
        <v>11</v>
      </c>
      <c r="D1114" s="9" t="str">
        <f>"王寸升"</f>
        <v>王寸升</v>
      </c>
    </row>
    <row r="1115" spans="1:4" ht="34.5" customHeight="1">
      <c r="A1115" s="8">
        <v>1113</v>
      </c>
      <c r="B1115" s="9" t="str">
        <f>"54112023062911081381990"</f>
        <v>54112023062911081381990</v>
      </c>
      <c r="C1115" s="9" t="s">
        <v>11</v>
      </c>
      <c r="D1115" s="9" t="str">
        <f>"李月春"</f>
        <v>李月春</v>
      </c>
    </row>
    <row r="1116" spans="1:4" ht="34.5" customHeight="1">
      <c r="A1116" s="8">
        <v>1114</v>
      </c>
      <c r="B1116" s="9" t="str">
        <f>"54112023062914553983232"</f>
        <v>54112023062914553983232</v>
      </c>
      <c r="C1116" s="9" t="s">
        <v>11</v>
      </c>
      <c r="D1116" s="9" t="str">
        <f>"罗小恋"</f>
        <v>罗小恋</v>
      </c>
    </row>
    <row r="1117" spans="1:4" ht="34.5" customHeight="1">
      <c r="A1117" s="8">
        <v>1115</v>
      </c>
      <c r="B1117" s="9" t="str">
        <f>"54112023062716211374453"</f>
        <v>54112023062716211374453</v>
      </c>
      <c r="C1117" s="9" t="s">
        <v>11</v>
      </c>
      <c r="D1117" s="9" t="str">
        <f>"谭金燕"</f>
        <v>谭金燕</v>
      </c>
    </row>
    <row r="1118" spans="1:4" ht="34.5" customHeight="1">
      <c r="A1118" s="8">
        <v>1116</v>
      </c>
      <c r="B1118" s="9" t="str">
        <f>"54112023062916140183812"</f>
        <v>54112023062916140183812</v>
      </c>
      <c r="C1118" s="9" t="s">
        <v>11</v>
      </c>
      <c r="D1118" s="9" t="str">
        <f>"颜友曼"</f>
        <v>颜友曼</v>
      </c>
    </row>
    <row r="1119" spans="1:4" ht="34.5" customHeight="1">
      <c r="A1119" s="8">
        <v>1117</v>
      </c>
      <c r="B1119" s="9" t="str">
        <f>"54112023062917162784215"</f>
        <v>54112023062917162784215</v>
      </c>
      <c r="C1119" s="9" t="s">
        <v>11</v>
      </c>
      <c r="D1119" s="9" t="str">
        <f>"谢宗胶"</f>
        <v>谢宗胶</v>
      </c>
    </row>
    <row r="1120" spans="1:4" ht="34.5" customHeight="1">
      <c r="A1120" s="8">
        <v>1118</v>
      </c>
      <c r="B1120" s="9" t="str">
        <f>"54112023062918085884478"</f>
        <v>54112023062918085884478</v>
      </c>
      <c r="C1120" s="9" t="s">
        <v>11</v>
      </c>
      <c r="D1120" s="9" t="str">
        <f>"张海帅"</f>
        <v>张海帅</v>
      </c>
    </row>
    <row r="1121" spans="1:4" ht="34.5" customHeight="1">
      <c r="A1121" s="8">
        <v>1119</v>
      </c>
      <c r="B1121" s="9" t="str">
        <f>"54112023062918185084530"</f>
        <v>54112023062918185084530</v>
      </c>
      <c r="C1121" s="9" t="s">
        <v>11</v>
      </c>
      <c r="D1121" s="9" t="str">
        <f>"王香梅"</f>
        <v>王香梅</v>
      </c>
    </row>
    <row r="1122" spans="1:4" ht="34.5" customHeight="1">
      <c r="A1122" s="8">
        <v>1120</v>
      </c>
      <c r="B1122" s="9" t="str">
        <f>"54112023062918250284556"</f>
        <v>54112023062918250284556</v>
      </c>
      <c r="C1122" s="9" t="s">
        <v>11</v>
      </c>
      <c r="D1122" s="9" t="str">
        <f>"黎碧茵"</f>
        <v>黎碧茵</v>
      </c>
    </row>
    <row r="1123" spans="1:4" ht="34.5" customHeight="1">
      <c r="A1123" s="8">
        <v>1121</v>
      </c>
      <c r="B1123" s="9" t="str">
        <f>"54112023062919000884727"</f>
        <v>54112023062919000884727</v>
      </c>
      <c r="C1123" s="9" t="s">
        <v>11</v>
      </c>
      <c r="D1123" s="9" t="str">
        <f>"蔡亲梅"</f>
        <v>蔡亲梅</v>
      </c>
    </row>
    <row r="1124" spans="1:4" ht="34.5" customHeight="1">
      <c r="A1124" s="8">
        <v>1122</v>
      </c>
      <c r="B1124" s="9" t="str">
        <f>"54112023062918581484719"</f>
        <v>54112023062918581484719</v>
      </c>
      <c r="C1124" s="9" t="s">
        <v>11</v>
      </c>
      <c r="D1124" s="9" t="str">
        <f>"王丽"</f>
        <v>王丽</v>
      </c>
    </row>
    <row r="1125" spans="1:4" ht="34.5" customHeight="1">
      <c r="A1125" s="8">
        <v>1123</v>
      </c>
      <c r="B1125" s="9" t="str">
        <f>"54112023062919332884897"</f>
        <v>54112023062919332884897</v>
      </c>
      <c r="C1125" s="9" t="s">
        <v>11</v>
      </c>
      <c r="D1125" s="9" t="str">
        <f>"符华丽"</f>
        <v>符华丽</v>
      </c>
    </row>
    <row r="1126" spans="1:4" ht="34.5" customHeight="1">
      <c r="A1126" s="8">
        <v>1124</v>
      </c>
      <c r="B1126" s="9" t="str">
        <f>"54112023062518102663704"</f>
        <v>54112023062518102663704</v>
      </c>
      <c r="C1126" s="9" t="s">
        <v>11</v>
      </c>
      <c r="D1126" s="9" t="str">
        <f>"文昌雨"</f>
        <v>文昌雨</v>
      </c>
    </row>
    <row r="1127" spans="1:4" ht="34.5" customHeight="1">
      <c r="A1127" s="8">
        <v>1125</v>
      </c>
      <c r="B1127" s="9" t="str">
        <f>"54112023062918462384661"</f>
        <v>54112023062918462384661</v>
      </c>
      <c r="C1127" s="9" t="s">
        <v>11</v>
      </c>
      <c r="D1127" s="9" t="str">
        <f>"黄梦婷"</f>
        <v>黄梦婷</v>
      </c>
    </row>
    <row r="1128" spans="1:4" ht="34.5" customHeight="1">
      <c r="A1128" s="8">
        <v>1126</v>
      </c>
      <c r="B1128" s="9" t="str">
        <f>"54112023062921503985721"</f>
        <v>54112023062921503985721</v>
      </c>
      <c r="C1128" s="9" t="s">
        <v>11</v>
      </c>
      <c r="D1128" s="9" t="str">
        <f>"盘天娜"</f>
        <v>盘天娜</v>
      </c>
    </row>
    <row r="1129" spans="1:4" ht="34.5" customHeight="1">
      <c r="A1129" s="8">
        <v>1127</v>
      </c>
      <c r="B1129" s="9" t="str">
        <f>"54112023062700081871799"</f>
        <v>54112023062700081871799</v>
      </c>
      <c r="C1129" s="9" t="s">
        <v>11</v>
      </c>
      <c r="D1129" s="9" t="str">
        <f>"周灵凤"</f>
        <v>周灵凤</v>
      </c>
    </row>
    <row r="1130" spans="1:4" ht="34.5" customHeight="1">
      <c r="A1130" s="8">
        <v>1128</v>
      </c>
      <c r="B1130" s="9" t="str">
        <f>"54112023062811215977488"</f>
        <v>54112023062811215977488</v>
      </c>
      <c r="C1130" s="9" t="s">
        <v>11</v>
      </c>
      <c r="D1130" s="9" t="str">
        <f>"戴俊华"</f>
        <v>戴俊华</v>
      </c>
    </row>
    <row r="1131" spans="1:4" ht="34.5" customHeight="1">
      <c r="A1131" s="8">
        <v>1129</v>
      </c>
      <c r="B1131" s="9" t="str">
        <f>"54112023062811530977624"</f>
        <v>54112023062811530977624</v>
      </c>
      <c r="C1131" s="9" t="s">
        <v>11</v>
      </c>
      <c r="D1131" s="9" t="str">
        <f>"吴春晓"</f>
        <v>吴春晓</v>
      </c>
    </row>
    <row r="1132" spans="1:4" ht="34.5" customHeight="1">
      <c r="A1132" s="8">
        <v>1130</v>
      </c>
      <c r="B1132" s="9" t="str">
        <f>"54112023062910021081344"</f>
        <v>54112023062910021081344</v>
      </c>
      <c r="C1132" s="9" t="s">
        <v>11</v>
      </c>
      <c r="D1132" s="9" t="str">
        <f>"孙誉"</f>
        <v>孙誉</v>
      </c>
    </row>
    <row r="1133" spans="1:4" ht="34.5" customHeight="1">
      <c r="A1133" s="8">
        <v>1131</v>
      </c>
      <c r="B1133" s="9" t="str">
        <f>"54112023063012273388320"</f>
        <v>54112023063012273388320</v>
      </c>
      <c r="C1133" s="9" t="s">
        <v>11</v>
      </c>
      <c r="D1133" s="9" t="str">
        <f>"吴林丹"</f>
        <v>吴林丹</v>
      </c>
    </row>
    <row r="1134" spans="1:4" ht="34.5" customHeight="1">
      <c r="A1134" s="8">
        <v>1132</v>
      </c>
      <c r="B1134" s="9" t="str">
        <f>"54112023062809151776780"</f>
        <v>54112023062809151776780</v>
      </c>
      <c r="C1134" s="9" t="s">
        <v>11</v>
      </c>
      <c r="D1134" s="9" t="str">
        <f>"吴清娜"</f>
        <v>吴清娜</v>
      </c>
    </row>
    <row r="1135" spans="1:4" ht="34.5" customHeight="1">
      <c r="A1135" s="8">
        <v>1133</v>
      </c>
      <c r="B1135" s="9" t="str">
        <f>"54112023063014585989257"</f>
        <v>54112023063014585989257</v>
      </c>
      <c r="C1135" s="9" t="s">
        <v>11</v>
      </c>
      <c r="D1135" s="9" t="str">
        <f>"黄立娇"</f>
        <v>黄立娇</v>
      </c>
    </row>
    <row r="1136" spans="1:4" ht="34.5" customHeight="1">
      <c r="A1136" s="8">
        <v>1134</v>
      </c>
      <c r="B1136" s="9" t="str">
        <f>"54112023063016355389884"</f>
        <v>54112023063016355389884</v>
      </c>
      <c r="C1136" s="9" t="s">
        <v>11</v>
      </c>
      <c r="D1136" s="9" t="str">
        <f>"陈春英"</f>
        <v>陈春英</v>
      </c>
    </row>
    <row r="1137" spans="1:4" ht="34.5" customHeight="1">
      <c r="A1137" s="8">
        <v>1135</v>
      </c>
      <c r="B1137" s="9" t="str">
        <f>"54112023062910255281586"</f>
        <v>54112023062910255281586</v>
      </c>
      <c r="C1137" s="9" t="s">
        <v>11</v>
      </c>
      <c r="D1137" s="9" t="str">
        <f>"郭仁玲"</f>
        <v>郭仁玲</v>
      </c>
    </row>
    <row r="1138" spans="1:4" ht="34.5" customHeight="1">
      <c r="A1138" s="8">
        <v>1136</v>
      </c>
      <c r="B1138" s="9" t="str">
        <f>"54112023062610533267369"</f>
        <v>54112023062610533267369</v>
      </c>
      <c r="C1138" s="9" t="s">
        <v>11</v>
      </c>
      <c r="D1138" s="9" t="str">
        <f>"王雪梅"</f>
        <v>王雪梅</v>
      </c>
    </row>
    <row r="1139" spans="1:4" ht="34.5" customHeight="1">
      <c r="A1139" s="8">
        <v>1137</v>
      </c>
      <c r="B1139" s="9" t="str">
        <f>"54112023062916463784025"</f>
        <v>54112023062916463784025</v>
      </c>
      <c r="C1139" s="9" t="s">
        <v>11</v>
      </c>
      <c r="D1139" s="9" t="str">
        <f>"何丽鸾"</f>
        <v>何丽鸾</v>
      </c>
    </row>
    <row r="1140" spans="1:4" ht="34.5" customHeight="1">
      <c r="A1140" s="8">
        <v>1138</v>
      </c>
      <c r="B1140" s="9" t="str">
        <f>"54112023063018332490168"</f>
        <v>54112023063018332490168</v>
      </c>
      <c r="C1140" s="9" t="s">
        <v>11</v>
      </c>
      <c r="D1140" s="9" t="str">
        <f>"温佳惠"</f>
        <v>温佳惠</v>
      </c>
    </row>
    <row r="1141" spans="1:4" ht="34.5" customHeight="1">
      <c r="A1141" s="8">
        <v>1139</v>
      </c>
      <c r="B1141" s="9" t="str">
        <f>"54112023063019052390224"</f>
        <v>54112023063019052390224</v>
      </c>
      <c r="C1141" s="9" t="s">
        <v>11</v>
      </c>
      <c r="D1141" s="9" t="str">
        <f>"罗盛通"</f>
        <v>罗盛通</v>
      </c>
    </row>
    <row r="1142" spans="1:4" ht="34.5" customHeight="1">
      <c r="A1142" s="8">
        <v>1140</v>
      </c>
      <c r="B1142" s="9" t="str">
        <f>"54112023063020515590414"</f>
        <v>54112023063020515590414</v>
      </c>
      <c r="C1142" s="9" t="s">
        <v>11</v>
      </c>
      <c r="D1142" s="9" t="str">
        <f>"蔡盈盈"</f>
        <v>蔡盈盈</v>
      </c>
    </row>
    <row r="1143" spans="1:4" ht="34.5" customHeight="1">
      <c r="A1143" s="8">
        <v>1141</v>
      </c>
      <c r="B1143" s="9" t="str">
        <f>"54112023063021184090472"</f>
        <v>54112023063021184090472</v>
      </c>
      <c r="C1143" s="9" t="s">
        <v>11</v>
      </c>
      <c r="D1143" s="9" t="str">
        <f>"林兴梅"</f>
        <v>林兴梅</v>
      </c>
    </row>
    <row r="1144" spans="1:4" ht="34.5" customHeight="1">
      <c r="A1144" s="8">
        <v>1142</v>
      </c>
      <c r="B1144" s="9" t="str">
        <f>"54112023062616284169704"</f>
        <v>54112023062616284169704</v>
      </c>
      <c r="C1144" s="9" t="s">
        <v>11</v>
      </c>
      <c r="D1144" s="9" t="str">
        <f>"吴俊芳"</f>
        <v>吴俊芳</v>
      </c>
    </row>
    <row r="1145" spans="1:4" ht="34.5" customHeight="1">
      <c r="A1145" s="8">
        <v>1143</v>
      </c>
      <c r="B1145" s="9" t="str">
        <f>"54112023062822131680024"</f>
        <v>54112023062822131680024</v>
      </c>
      <c r="C1145" s="9" t="s">
        <v>11</v>
      </c>
      <c r="D1145" s="9" t="str">
        <f>"吉发霞"</f>
        <v>吉发霞</v>
      </c>
    </row>
    <row r="1146" spans="1:4" ht="34.5" customHeight="1">
      <c r="A1146" s="8">
        <v>1144</v>
      </c>
      <c r="B1146" s="9" t="str">
        <f>"54112023063009323487159"</f>
        <v>54112023063009323487159</v>
      </c>
      <c r="C1146" s="9" t="s">
        <v>11</v>
      </c>
      <c r="D1146" s="9" t="str">
        <f>"何吉花"</f>
        <v>何吉花</v>
      </c>
    </row>
    <row r="1147" spans="1:4" ht="34.5" customHeight="1">
      <c r="A1147" s="8">
        <v>1145</v>
      </c>
      <c r="B1147" s="9" t="str">
        <f>"54112023063022500090637"</f>
        <v>54112023063022500090637</v>
      </c>
      <c r="C1147" s="9" t="s">
        <v>11</v>
      </c>
      <c r="D1147" s="9" t="str">
        <f>"符鲜风"</f>
        <v>符鲜风</v>
      </c>
    </row>
    <row r="1148" spans="1:4" ht="34.5" customHeight="1">
      <c r="A1148" s="8">
        <v>1146</v>
      </c>
      <c r="B1148" s="9" t="str">
        <f>"54112023062520005064120"</f>
        <v>54112023062520005064120</v>
      </c>
      <c r="C1148" s="9" t="s">
        <v>11</v>
      </c>
      <c r="D1148" s="9" t="str">
        <f>"陈冠娥"</f>
        <v>陈冠娥</v>
      </c>
    </row>
    <row r="1149" spans="1:4" ht="34.5" customHeight="1">
      <c r="A1149" s="8">
        <v>1147</v>
      </c>
      <c r="B1149" s="9" t="str">
        <f>"54112023062909571081290"</f>
        <v>54112023062909571081290</v>
      </c>
      <c r="C1149" s="9" t="s">
        <v>11</v>
      </c>
      <c r="D1149" s="9" t="str">
        <f>"刘小英"</f>
        <v>刘小英</v>
      </c>
    </row>
    <row r="1150" spans="1:4" ht="34.5" customHeight="1">
      <c r="A1150" s="8">
        <v>1148</v>
      </c>
      <c r="B1150" s="9" t="str">
        <f>"54112023063015342989562"</f>
        <v>54112023063015342989562</v>
      </c>
      <c r="C1150" s="9" t="s">
        <v>11</v>
      </c>
      <c r="D1150" s="9" t="str">
        <f>"符春泥"</f>
        <v>符春泥</v>
      </c>
    </row>
    <row r="1151" spans="1:4" ht="34.5" customHeight="1">
      <c r="A1151" s="8">
        <v>1149</v>
      </c>
      <c r="B1151" s="9" t="str">
        <f>"54112023070111322791270"</f>
        <v>54112023070111322791270</v>
      </c>
      <c r="C1151" s="9" t="s">
        <v>11</v>
      </c>
      <c r="D1151" s="9" t="str">
        <f>"王妙云"</f>
        <v>王妙云</v>
      </c>
    </row>
    <row r="1152" spans="1:4" ht="34.5" customHeight="1">
      <c r="A1152" s="8">
        <v>1150</v>
      </c>
      <c r="B1152" s="9" t="str">
        <f>"54112023062717374675161"</f>
        <v>54112023062717374675161</v>
      </c>
      <c r="C1152" s="9" t="s">
        <v>11</v>
      </c>
      <c r="D1152" s="9" t="str">
        <f>"黎金玲"</f>
        <v>黎金玲</v>
      </c>
    </row>
    <row r="1153" spans="1:4" ht="34.5" customHeight="1">
      <c r="A1153" s="8">
        <v>1151</v>
      </c>
      <c r="B1153" s="9" t="str">
        <f>"54112023062823410380306"</f>
        <v>54112023062823410380306</v>
      </c>
      <c r="C1153" s="9" t="s">
        <v>11</v>
      </c>
      <c r="D1153" s="9" t="str">
        <f>"吴秀丽"</f>
        <v>吴秀丽</v>
      </c>
    </row>
    <row r="1154" spans="1:4" ht="34.5" customHeight="1">
      <c r="A1154" s="8">
        <v>1152</v>
      </c>
      <c r="B1154" s="9" t="str">
        <f>"54112023062620283470904"</f>
        <v>54112023062620283470904</v>
      </c>
      <c r="C1154" s="9" t="s">
        <v>11</v>
      </c>
      <c r="D1154" s="9" t="str">
        <f>"陈叶玲"</f>
        <v>陈叶玲</v>
      </c>
    </row>
    <row r="1155" spans="1:4" ht="34.5" customHeight="1">
      <c r="A1155" s="8">
        <v>1153</v>
      </c>
      <c r="B1155" s="9" t="str">
        <f>"54112023070118073692019"</f>
        <v>54112023070118073692019</v>
      </c>
      <c r="C1155" s="9" t="s">
        <v>11</v>
      </c>
      <c r="D1155" s="9" t="str">
        <f>"陈彩玉"</f>
        <v>陈彩玉</v>
      </c>
    </row>
    <row r="1156" spans="1:4" ht="34.5" customHeight="1">
      <c r="A1156" s="8">
        <v>1154</v>
      </c>
      <c r="B1156" s="9" t="str">
        <f>"54112023070118034992011"</f>
        <v>54112023070118034992011</v>
      </c>
      <c r="C1156" s="9" t="s">
        <v>11</v>
      </c>
      <c r="D1156" s="9" t="str">
        <f>"林福曲"</f>
        <v>林福曲</v>
      </c>
    </row>
    <row r="1157" spans="1:4" ht="34.5" customHeight="1">
      <c r="A1157" s="8">
        <v>1155</v>
      </c>
      <c r="B1157" s="9" t="str">
        <f>"54112023070118393892068"</f>
        <v>54112023070118393892068</v>
      </c>
      <c r="C1157" s="9" t="s">
        <v>11</v>
      </c>
      <c r="D1157" s="9" t="str">
        <f>"陈爱兰"</f>
        <v>陈爱兰</v>
      </c>
    </row>
    <row r="1158" spans="1:4" ht="34.5" customHeight="1">
      <c r="A1158" s="8">
        <v>1156</v>
      </c>
      <c r="B1158" s="9" t="str">
        <f>"54112023062815120078374"</f>
        <v>54112023062815120078374</v>
      </c>
      <c r="C1158" s="9" t="s">
        <v>11</v>
      </c>
      <c r="D1158" s="9" t="str">
        <f>"王芸"</f>
        <v>王芸</v>
      </c>
    </row>
    <row r="1159" spans="1:4" ht="34.5" customHeight="1">
      <c r="A1159" s="8">
        <v>1157</v>
      </c>
      <c r="B1159" s="9" t="str">
        <f>"54112023070119434792195"</f>
        <v>54112023070119434792195</v>
      </c>
      <c r="C1159" s="9" t="s">
        <v>11</v>
      </c>
      <c r="D1159" s="9" t="str">
        <f>"黄钟秦"</f>
        <v>黄钟秦</v>
      </c>
    </row>
    <row r="1160" spans="1:4" ht="34.5" customHeight="1">
      <c r="A1160" s="8">
        <v>1158</v>
      </c>
      <c r="B1160" s="9" t="str">
        <f>"54112023070120233392281"</f>
        <v>54112023070120233392281</v>
      </c>
      <c r="C1160" s="9" t="s">
        <v>11</v>
      </c>
      <c r="D1160" s="9" t="str">
        <f>"符爱孟"</f>
        <v>符爱孟</v>
      </c>
    </row>
    <row r="1161" spans="1:4" ht="34.5" customHeight="1">
      <c r="A1161" s="8">
        <v>1159</v>
      </c>
      <c r="B1161" s="9" t="str">
        <f>"54112023062509292360092"</f>
        <v>54112023062509292360092</v>
      </c>
      <c r="C1161" s="9" t="s">
        <v>11</v>
      </c>
      <c r="D1161" s="9" t="str">
        <f>"徐源"</f>
        <v>徐源</v>
      </c>
    </row>
    <row r="1162" spans="1:4" ht="34.5" customHeight="1">
      <c r="A1162" s="8">
        <v>1160</v>
      </c>
      <c r="B1162" s="9" t="str">
        <f>"54112023070121335192440"</f>
        <v>54112023070121335192440</v>
      </c>
      <c r="C1162" s="9" t="s">
        <v>11</v>
      </c>
      <c r="D1162" s="9" t="str">
        <f>"刘思慧"</f>
        <v>刘思慧</v>
      </c>
    </row>
    <row r="1163" spans="1:4" ht="34.5" customHeight="1">
      <c r="A1163" s="8">
        <v>1161</v>
      </c>
      <c r="B1163" s="9" t="str">
        <f>"54112023070117021091888"</f>
        <v>54112023070117021091888</v>
      </c>
      <c r="C1163" s="9" t="s">
        <v>11</v>
      </c>
      <c r="D1163" s="9" t="str">
        <f>"王小燕"</f>
        <v>王小燕</v>
      </c>
    </row>
    <row r="1164" spans="1:4" ht="34.5" customHeight="1">
      <c r="A1164" s="8">
        <v>1162</v>
      </c>
      <c r="B1164" s="9" t="str">
        <f>"54112023070123443192693"</f>
        <v>54112023070123443192693</v>
      </c>
      <c r="C1164" s="9" t="s">
        <v>11</v>
      </c>
      <c r="D1164" s="9" t="str">
        <f>"黄华依"</f>
        <v>黄华依</v>
      </c>
    </row>
    <row r="1165" spans="1:4" ht="34.5" customHeight="1">
      <c r="A1165" s="8">
        <v>1163</v>
      </c>
      <c r="B1165" s="9" t="str">
        <f>"54112023070210290493169"</f>
        <v>54112023070210290493169</v>
      </c>
      <c r="C1165" s="9" t="s">
        <v>11</v>
      </c>
      <c r="D1165" s="9" t="str">
        <f>"张子燕"</f>
        <v>张子燕</v>
      </c>
    </row>
    <row r="1166" spans="1:4" ht="34.5" customHeight="1">
      <c r="A1166" s="8">
        <v>1164</v>
      </c>
      <c r="B1166" s="9" t="str">
        <f>"54112023070210323993190"</f>
        <v>54112023070210323993190</v>
      </c>
      <c r="C1166" s="9" t="s">
        <v>11</v>
      </c>
      <c r="D1166" s="9" t="str">
        <f>"陈木娇"</f>
        <v>陈木娇</v>
      </c>
    </row>
    <row r="1167" spans="1:4" ht="34.5" customHeight="1">
      <c r="A1167" s="8">
        <v>1165</v>
      </c>
      <c r="B1167" s="9" t="str">
        <f>"54112023062710455573176"</f>
        <v>54112023062710455573176</v>
      </c>
      <c r="C1167" s="9" t="s">
        <v>11</v>
      </c>
      <c r="D1167" s="9" t="str">
        <f>"陈丹娇"</f>
        <v>陈丹娇</v>
      </c>
    </row>
    <row r="1168" spans="1:4" ht="34.5" customHeight="1">
      <c r="A1168" s="8">
        <v>1166</v>
      </c>
      <c r="B1168" s="9" t="str">
        <f>"54112023070123245892667"</f>
        <v>54112023070123245892667</v>
      </c>
      <c r="C1168" s="9" t="s">
        <v>11</v>
      </c>
      <c r="D1168" s="9" t="str">
        <f>"许美姗"</f>
        <v>许美姗</v>
      </c>
    </row>
    <row r="1169" spans="1:4" ht="34.5" customHeight="1">
      <c r="A1169" s="8">
        <v>1167</v>
      </c>
      <c r="B1169" s="9" t="str">
        <f>"54112023070215145393895"</f>
        <v>54112023070215145393895</v>
      </c>
      <c r="C1169" s="9" t="s">
        <v>11</v>
      </c>
      <c r="D1169" s="9" t="str">
        <f>"蔡似梅"</f>
        <v>蔡似梅</v>
      </c>
    </row>
    <row r="1170" spans="1:4" ht="34.5" customHeight="1">
      <c r="A1170" s="8">
        <v>1168</v>
      </c>
      <c r="B1170" s="9" t="str">
        <f>"54112023070217322994238"</f>
        <v>54112023070217322994238</v>
      </c>
      <c r="C1170" s="9" t="s">
        <v>11</v>
      </c>
      <c r="D1170" s="9" t="str">
        <f>"陈金雪"</f>
        <v>陈金雪</v>
      </c>
    </row>
    <row r="1171" spans="1:4" ht="34.5" customHeight="1">
      <c r="A1171" s="8">
        <v>1169</v>
      </c>
      <c r="B1171" s="9" t="str">
        <f>"54112023070218310094352"</f>
        <v>54112023070218310094352</v>
      </c>
      <c r="C1171" s="9" t="s">
        <v>11</v>
      </c>
      <c r="D1171" s="9" t="str">
        <f>"郑圣丹"</f>
        <v>郑圣丹</v>
      </c>
    </row>
    <row r="1172" spans="1:4" ht="34.5" customHeight="1">
      <c r="A1172" s="8">
        <v>1170</v>
      </c>
      <c r="B1172" s="9" t="str">
        <f>"54112023062709534672541"</f>
        <v>54112023062709534672541</v>
      </c>
      <c r="C1172" s="9" t="s">
        <v>11</v>
      </c>
      <c r="D1172" s="9" t="str">
        <f>"徐雅丽"</f>
        <v>徐雅丽</v>
      </c>
    </row>
    <row r="1173" spans="1:4" ht="34.5" customHeight="1">
      <c r="A1173" s="8">
        <v>1171</v>
      </c>
      <c r="B1173" s="9" t="str">
        <f>"54112023070220194894548"</f>
        <v>54112023070220194894548</v>
      </c>
      <c r="C1173" s="9" t="s">
        <v>11</v>
      </c>
      <c r="D1173" s="9" t="str">
        <f>"尹再源"</f>
        <v>尹再源</v>
      </c>
    </row>
    <row r="1174" spans="1:4" ht="34.5" customHeight="1">
      <c r="A1174" s="8">
        <v>1172</v>
      </c>
      <c r="B1174" s="9" t="str">
        <f>"54112023070220505694640"</f>
        <v>54112023070220505694640</v>
      </c>
      <c r="C1174" s="9" t="s">
        <v>11</v>
      </c>
      <c r="D1174" s="9" t="str">
        <f>"黄恋"</f>
        <v>黄恋</v>
      </c>
    </row>
    <row r="1175" spans="1:4" ht="34.5" customHeight="1">
      <c r="A1175" s="8">
        <v>1173</v>
      </c>
      <c r="B1175" s="9" t="str">
        <f>"54112023070309410395883"</f>
        <v>54112023070309410395883</v>
      </c>
      <c r="C1175" s="9" t="s">
        <v>11</v>
      </c>
      <c r="D1175" s="9" t="str">
        <f>"高育姬"</f>
        <v>高育姬</v>
      </c>
    </row>
    <row r="1176" spans="1:4" ht="34.5" customHeight="1">
      <c r="A1176" s="8">
        <v>1174</v>
      </c>
      <c r="B1176" s="9" t="str">
        <f>"54112023070115474691740"</f>
        <v>54112023070115474691740</v>
      </c>
      <c r="C1176" s="9" t="s">
        <v>11</v>
      </c>
      <c r="D1176" s="9" t="str">
        <f>"郑海芸"</f>
        <v>郑海芸</v>
      </c>
    </row>
    <row r="1177" spans="1:4" ht="34.5" customHeight="1">
      <c r="A1177" s="8">
        <v>1175</v>
      </c>
      <c r="B1177" s="9" t="str">
        <f>"54112023070212560193567"</f>
        <v>54112023070212560193567</v>
      </c>
      <c r="C1177" s="9" t="s">
        <v>11</v>
      </c>
      <c r="D1177" s="9" t="str">
        <f>"羊美转"</f>
        <v>羊美转</v>
      </c>
    </row>
    <row r="1178" spans="1:4" ht="34.5" customHeight="1">
      <c r="A1178" s="8">
        <v>1176</v>
      </c>
      <c r="B1178" s="9" t="str">
        <f>"54112023070310482496433"</f>
        <v>54112023070310482496433</v>
      </c>
      <c r="C1178" s="9" t="s">
        <v>11</v>
      </c>
      <c r="D1178" s="9" t="str">
        <f>"吴挺川"</f>
        <v>吴挺川</v>
      </c>
    </row>
    <row r="1179" spans="1:4" ht="34.5" customHeight="1">
      <c r="A1179" s="8">
        <v>1177</v>
      </c>
      <c r="B1179" s="9" t="str">
        <f>"54112023070312413597135"</f>
        <v>54112023070312413597135</v>
      </c>
      <c r="C1179" s="9" t="s">
        <v>11</v>
      </c>
      <c r="D1179" s="9" t="str">
        <f>"王哲娜"</f>
        <v>王哲娜</v>
      </c>
    </row>
    <row r="1180" spans="1:4" ht="34.5" customHeight="1">
      <c r="A1180" s="8">
        <v>1178</v>
      </c>
      <c r="B1180" s="9" t="str">
        <f>"54112023070312514597199"</f>
        <v>54112023070312514597199</v>
      </c>
      <c r="C1180" s="9" t="s">
        <v>11</v>
      </c>
      <c r="D1180" s="9" t="str">
        <f>"蒙娇"</f>
        <v>蒙娇</v>
      </c>
    </row>
    <row r="1181" spans="1:4" ht="34.5" customHeight="1">
      <c r="A1181" s="8">
        <v>1179</v>
      </c>
      <c r="B1181" s="9" t="str">
        <f>"54112023070313171197353"</f>
        <v>54112023070313171197353</v>
      </c>
      <c r="C1181" s="9" t="s">
        <v>11</v>
      </c>
      <c r="D1181" s="9" t="str">
        <f>"赵敏"</f>
        <v>赵敏</v>
      </c>
    </row>
    <row r="1182" spans="1:4" ht="34.5" customHeight="1">
      <c r="A1182" s="8">
        <v>1180</v>
      </c>
      <c r="B1182" s="9" t="str">
        <f>"54112023070311462796824"</f>
        <v>54112023070311462796824</v>
      </c>
      <c r="C1182" s="9" t="s">
        <v>11</v>
      </c>
      <c r="D1182" s="9" t="str">
        <f>"陈东霞"</f>
        <v>陈东霞</v>
      </c>
    </row>
    <row r="1183" spans="1:4" ht="34.5" customHeight="1">
      <c r="A1183" s="8">
        <v>1181</v>
      </c>
      <c r="B1183" s="9" t="str">
        <f>"54112023062521290764537"</f>
        <v>54112023062521290764537</v>
      </c>
      <c r="C1183" s="9" t="s">
        <v>11</v>
      </c>
      <c r="D1183" s="9" t="str">
        <f>"赵春月"</f>
        <v>赵春月</v>
      </c>
    </row>
    <row r="1184" spans="1:4" ht="34.5" customHeight="1">
      <c r="A1184" s="8">
        <v>1182</v>
      </c>
      <c r="B1184" s="9" t="str">
        <f>"54112023070315470998088"</f>
        <v>54112023070315470998088</v>
      </c>
      <c r="C1184" s="9" t="s">
        <v>11</v>
      </c>
      <c r="D1184" s="9" t="str">
        <f>"黄少梅"</f>
        <v>黄少梅</v>
      </c>
    </row>
    <row r="1185" spans="1:4" ht="34.5" customHeight="1">
      <c r="A1185" s="8">
        <v>1183</v>
      </c>
      <c r="B1185" s="9" t="str">
        <f>"54112023070310560396495"</f>
        <v>54112023070310560396495</v>
      </c>
      <c r="C1185" s="9" t="s">
        <v>11</v>
      </c>
      <c r="D1185" s="9" t="str">
        <f>"苏虹"</f>
        <v>苏虹</v>
      </c>
    </row>
    <row r="1186" spans="1:4" ht="34.5" customHeight="1">
      <c r="A1186" s="8">
        <v>1184</v>
      </c>
      <c r="B1186" s="9" t="str">
        <f>"54112023070310500096443"</f>
        <v>54112023070310500096443</v>
      </c>
      <c r="C1186" s="9" t="s">
        <v>11</v>
      </c>
      <c r="D1186" s="9" t="str">
        <f>"曾海娟"</f>
        <v>曾海娟</v>
      </c>
    </row>
    <row r="1187" spans="1:4" ht="34.5" customHeight="1">
      <c r="A1187" s="8">
        <v>1185</v>
      </c>
      <c r="B1187" s="9" t="str">
        <f>"54112023070318182198859"</f>
        <v>54112023070318182198859</v>
      </c>
      <c r="C1187" s="9" t="s">
        <v>11</v>
      </c>
      <c r="D1187" s="9" t="str">
        <f>"冯丽萍"</f>
        <v>冯丽萍</v>
      </c>
    </row>
    <row r="1188" spans="1:4" ht="34.5" customHeight="1">
      <c r="A1188" s="8">
        <v>1186</v>
      </c>
      <c r="B1188" s="9" t="str">
        <f>"54112023070318344398921"</f>
        <v>54112023070318344398921</v>
      </c>
      <c r="C1188" s="9" t="s">
        <v>11</v>
      </c>
      <c r="D1188" s="9" t="str">
        <f>"祁曼雅"</f>
        <v>祁曼雅</v>
      </c>
    </row>
    <row r="1189" spans="1:4" ht="34.5" customHeight="1">
      <c r="A1189" s="8">
        <v>1187</v>
      </c>
      <c r="B1189" s="9" t="str">
        <f>"54112023070317171598613"</f>
        <v>54112023070317171598613</v>
      </c>
      <c r="C1189" s="9" t="s">
        <v>11</v>
      </c>
      <c r="D1189" s="9" t="str">
        <f>"李明清"</f>
        <v>李明清</v>
      </c>
    </row>
    <row r="1190" spans="1:4" ht="34.5" customHeight="1">
      <c r="A1190" s="8">
        <v>1188</v>
      </c>
      <c r="B1190" s="9" t="str">
        <f>"54112023070319175199067"</f>
        <v>54112023070319175199067</v>
      </c>
      <c r="C1190" s="9" t="s">
        <v>11</v>
      </c>
      <c r="D1190" s="9" t="str">
        <f>"颜怡仔"</f>
        <v>颜怡仔</v>
      </c>
    </row>
    <row r="1191" spans="1:4" ht="34.5" customHeight="1">
      <c r="A1191" s="8">
        <v>1189</v>
      </c>
      <c r="B1191" s="9" t="str">
        <f>"54112023070311175396648"</f>
        <v>54112023070311175396648</v>
      </c>
      <c r="C1191" s="9" t="s">
        <v>11</v>
      </c>
      <c r="D1191" s="9" t="str">
        <f>"李时畅"</f>
        <v>李时畅</v>
      </c>
    </row>
    <row r="1192" spans="1:4" ht="34.5" customHeight="1">
      <c r="A1192" s="8">
        <v>1190</v>
      </c>
      <c r="B1192" s="9" t="str">
        <f>"54112023070322020899844"</f>
        <v>54112023070322020899844</v>
      </c>
      <c r="C1192" s="9" t="s">
        <v>11</v>
      </c>
      <c r="D1192" s="9" t="str">
        <f>"符柳凤"</f>
        <v>符柳凤</v>
      </c>
    </row>
    <row r="1193" spans="1:4" ht="34.5" customHeight="1">
      <c r="A1193" s="8">
        <v>1191</v>
      </c>
      <c r="B1193" s="9" t="str">
        <f>"54112023070322193199940"</f>
        <v>54112023070322193199940</v>
      </c>
      <c r="C1193" s="9" t="s">
        <v>11</v>
      </c>
      <c r="D1193" s="9" t="str">
        <f>"李美莹"</f>
        <v>李美莹</v>
      </c>
    </row>
    <row r="1194" spans="1:4" ht="34.5" customHeight="1">
      <c r="A1194" s="8">
        <v>1192</v>
      </c>
      <c r="B1194" s="9" t="str">
        <f>"54112023070322192799939"</f>
        <v>54112023070322192799939</v>
      </c>
      <c r="C1194" s="9" t="s">
        <v>11</v>
      </c>
      <c r="D1194" s="9" t="str">
        <f>"王圣顺"</f>
        <v>王圣顺</v>
      </c>
    </row>
    <row r="1195" spans="1:4" ht="34.5" customHeight="1">
      <c r="A1195" s="8">
        <v>1193</v>
      </c>
      <c r="B1195" s="9" t="str">
        <f>"541120230703225337100086"</f>
        <v>541120230703225337100086</v>
      </c>
      <c r="C1195" s="9" t="s">
        <v>11</v>
      </c>
      <c r="D1195" s="9" t="str">
        <f>"蒙博珍"</f>
        <v>蒙博珍</v>
      </c>
    </row>
    <row r="1196" spans="1:4" ht="34.5" customHeight="1">
      <c r="A1196" s="8">
        <v>1194</v>
      </c>
      <c r="B1196" s="9" t="str">
        <f>"54112023070223125095042"</f>
        <v>54112023070223125095042</v>
      </c>
      <c r="C1196" s="9" t="s">
        <v>11</v>
      </c>
      <c r="D1196" s="9" t="str">
        <f>"王惠玲"</f>
        <v>王惠玲</v>
      </c>
    </row>
    <row r="1197" spans="1:4" ht="34.5" customHeight="1">
      <c r="A1197" s="8">
        <v>1195</v>
      </c>
      <c r="B1197" s="9" t="str">
        <f>"541120230703232513100182"</f>
        <v>541120230703232513100182</v>
      </c>
      <c r="C1197" s="9" t="s">
        <v>11</v>
      </c>
      <c r="D1197" s="9" t="str">
        <f>"杨晶"</f>
        <v>杨晶</v>
      </c>
    </row>
    <row r="1198" spans="1:4" ht="34.5" customHeight="1">
      <c r="A1198" s="8">
        <v>1196</v>
      </c>
      <c r="B1198" s="9" t="str">
        <f>"541120230703232747100193"</f>
        <v>541120230703232747100193</v>
      </c>
      <c r="C1198" s="9" t="s">
        <v>11</v>
      </c>
      <c r="D1198" s="9" t="str">
        <f>"王冰"</f>
        <v>王冰</v>
      </c>
    </row>
    <row r="1199" spans="1:4" ht="34.5" customHeight="1">
      <c r="A1199" s="8">
        <v>1197</v>
      </c>
      <c r="B1199" s="9" t="str">
        <f>"54112023062821514779927"</f>
        <v>54112023062821514779927</v>
      </c>
      <c r="C1199" s="9" t="s">
        <v>11</v>
      </c>
      <c r="D1199" s="9" t="str">
        <f>"邓云"</f>
        <v>邓云</v>
      </c>
    </row>
    <row r="1200" spans="1:4" ht="34.5" customHeight="1">
      <c r="A1200" s="8">
        <v>1198</v>
      </c>
      <c r="B1200" s="9" t="str">
        <f>"541120230703234044100239"</f>
        <v>541120230703234044100239</v>
      </c>
      <c r="C1200" s="9" t="s">
        <v>11</v>
      </c>
      <c r="D1200" s="9" t="str">
        <f>"黄美玉"</f>
        <v>黄美玉</v>
      </c>
    </row>
    <row r="1201" spans="1:4" ht="34.5" customHeight="1">
      <c r="A1201" s="8">
        <v>1199</v>
      </c>
      <c r="B1201" s="9" t="str">
        <f>"541120230704002822100330"</f>
        <v>541120230704002822100330</v>
      </c>
      <c r="C1201" s="9" t="s">
        <v>11</v>
      </c>
      <c r="D1201" s="9" t="str">
        <f>"王娜"</f>
        <v>王娜</v>
      </c>
    </row>
    <row r="1202" spans="1:4" ht="34.5" customHeight="1">
      <c r="A1202" s="8">
        <v>1200</v>
      </c>
      <c r="B1202" s="9" t="str">
        <f>"541120230704024551100416"</f>
        <v>541120230704024551100416</v>
      </c>
      <c r="C1202" s="9" t="s">
        <v>11</v>
      </c>
      <c r="D1202" s="9" t="str">
        <f>"伍理权"</f>
        <v>伍理权</v>
      </c>
    </row>
    <row r="1203" spans="1:4" ht="34.5" customHeight="1">
      <c r="A1203" s="8">
        <v>1201</v>
      </c>
      <c r="B1203" s="9" t="str">
        <f>"541120230704010408100371"</f>
        <v>541120230704010408100371</v>
      </c>
      <c r="C1203" s="9" t="s">
        <v>11</v>
      </c>
      <c r="D1203" s="9" t="str">
        <f>"陈柏均"</f>
        <v>陈柏均</v>
      </c>
    </row>
    <row r="1204" spans="1:4" ht="34.5" customHeight="1">
      <c r="A1204" s="8">
        <v>1202</v>
      </c>
      <c r="B1204" s="9" t="str">
        <f>"541120230704091230100766"</f>
        <v>541120230704091230100766</v>
      </c>
      <c r="C1204" s="9" t="s">
        <v>11</v>
      </c>
      <c r="D1204" s="9" t="str">
        <f>"王明婷"</f>
        <v>王明婷</v>
      </c>
    </row>
    <row r="1205" spans="1:4" ht="34.5" customHeight="1">
      <c r="A1205" s="8">
        <v>1203</v>
      </c>
      <c r="B1205" s="9" t="str">
        <f>"54112023070316331998357"</f>
        <v>54112023070316331998357</v>
      </c>
      <c r="C1205" s="9" t="s">
        <v>11</v>
      </c>
      <c r="D1205" s="9" t="str">
        <f>"陈青慧"</f>
        <v>陈青慧</v>
      </c>
    </row>
    <row r="1206" spans="1:4" ht="34.5" customHeight="1">
      <c r="A1206" s="8">
        <v>1204</v>
      </c>
      <c r="B1206" s="9" t="str">
        <f>"541120230704095756100984"</f>
        <v>541120230704095756100984</v>
      </c>
      <c r="C1206" s="9" t="s">
        <v>11</v>
      </c>
      <c r="D1206" s="9" t="str">
        <f>"郭秀春"</f>
        <v>郭秀春</v>
      </c>
    </row>
    <row r="1207" spans="1:4" ht="34.5" customHeight="1">
      <c r="A1207" s="8">
        <v>1205</v>
      </c>
      <c r="B1207" s="9" t="str">
        <f>"541120230704102731101133"</f>
        <v>541120230704102731101133</v>
      </c>
      <c r="C1207" s="9" t="s">
        <v>11</v>
      </c>
      <c r="D1207" s="9" t="str">
        <f>"符永倩"</f>
        <v>符永倩</v>
      </c>
    </row>
    <row r="1208" spans="1:4" ht="34.5" customHeight="1">
      <c r="A1208" s="8">
        <v>1206</v>
      </c>
      <c r="B1208" s="9" t="str">
        <f>"541120230704085859100701"</f>
        <v>541120230704085859100701</v>
      </c>
      <c r="C1208" s="9" t="s">
        <v>11</v>
      </c>
      <c r="D1208" s="9" t="str">
        <f>"许世桃"</f>
        <v>许世桃</v>
      </c>
    </row>
    <row r="1209" spans="1:4" ht="34.5" customHeight="1">
      <c r="A1209" s="8">
        <v>1207</v>
      </c>
      <c r="B1209" s="9" t="str">
        <f>"541120230703233418100213"</f>
        <v>541120230703233418100213</v>
      </c>
      <c r="C1209" s="9" t="s">
        <v>11</v>
      </c>
      <c r="D1209" s="9" t="str">
        <f>"王春妍"</f>
        <v>王春妍</v>
      </c>
    </row>
    <row r="1210" spans="1:4" ht="34.5" customHeight="1">
      <c r="A1210" s="8">
        <v>1208</v>
      </c>
      <c r="B1210" s="9" t="str">
        <f>"54112023062608031165294"</f>
        <v>54112023062608031165294</v>
      </c>
      <c r="C1210" s="9" t="s">
        <v>11</v>
      </c>
      <c r="D1210" s="9" t="str">
        <f>"吴云霞"</f>
        <v>吴云霞</v>
      </c>
    </row>
    <row r="1211" spans="1:4" ht="34.5" customHeight="1">
      <c r="A1211" s="8">
        <v>1209</v>
      </c>
      <c r="B1211" s="9" t="str">
        <f>"54112023062514075762430"</f>
        <v>54112023062514075762430</v>
      </c>
      <c r="C1211" s="9" t="s">
        <v>11</v>
      </c>
      <c r="D1211" s="9" t="str">
        <f>"许慧玲"</f>
        <v>许慧玲</v>
      </c>
    </row>
    <row r="1212" spans="1:4" ht="34.5" customHeight="1">
      <c r="A1212" s="8">
        <v>1210</v>
      </c>
      <c r="B1212" s="9" t="str">
        <f>"54112023062508455559703"</f>
        <v>54112023062508455559703</v>
      </c>
      <c r="C1212" s="9" t="s">
        <v>12</v>
      </c>
      <c r="D1212" s="9" t="str">
        <f>"符芳源"</f>
        <v>符芳源</v>
      </c>
    </row>
    <row r="1213" spans="1:4" ht="34.5" customHeight="1">
      <c r="A1213" s="8">
        <v>1211</v>
      </c>
      <c r="B1213" s="9" t="str">
        <f>"54112023062510040660452"</f>
        <v>54112023062510040660452</v>
      </c>
      <c r="C1213" s="9" t="s">
        <v>12</v>
      </c>
      <c r="D1213" s="9" t="str">
        <f>"林能玲"</f>
        <v>林能玲</v>
      </c>
    </row>
    <row r="1214" spans="1:4" ht="34.5" customHeight="1">
      <c r="A1214" s="8">
        <v>1212</v>
      </c>
      <c r="B1214" s="9" t="str">
        <f>"54112023062509565460364"</f>
        <v>54112023062509565460364</v>
      </c>
      <c r="C1214" s="9" t="s">
        <v>12</v>
      </c>
      <c r="D1214" s="9" t="str">
        <f>"周妹果"</f>
        <v>周妹果</v>
      </c>
    </row>
    <row r="1215" spans="1:4" ht="34.5" customHeight="1">
      <c r="A1215" s="8">
        <v>1213</v>
      </c>
      <c r="B1215" s="9" t="str">
        <f>"54112023062510314960673"</f>
        <v>54112023062510314960673</v>
      </c>
      <c r="C1215" s="9" t="s">
        <v>12</v>
      </c>
      <c r="D1215" s="9" t="str">
        <f>"吉才红"</f>
        <v>吉才红</v>
      </c>
    </row>
    <row r="1216" spans="1:4" ht="34.5" customHeight="1">
      <c r="A1216" s="8">
        <v>1214</v>
      </c>
      <c r="B1216" s="9" t="str">
        <f>"54112023062510463560777"</f>
        <v>54112023062510463560777</v>
      </c>
      <c r="C1216" s="9" t="s">
        <v>12</v>
      </c>
      <c r="D1216" s="9" t="str">
        <f>"麦娱"</f>
        <v>麦娱</v>
      </c>
    </row>
    <row r="1217" spans="1:4" ht="34.5" customHeight="1">
      <c r="A1217" s="8">
        <v>1215</v>
      </c>
      <c r="B1217" s="9" t="str">
        <f>"54112023062511281561071"</f>
        <v>54112023062511281561071</v>
      </c>
      <c r="C1217" s="9" t="s">
        <v>12</v>
      </c>
      <c r="D1217" s="9" t="str">
        <f>"钟高慧"</f>
        <v>钟高慧</v>
      </c>
    </row>
    <row r="1218" spans="1:4" ht="34.5" customHeight="1">
      <c r="A1218" s="8">
        <v>1216</v>
      </c>
      <c r="B1218" s="9" t="str">
        <f>"54112023062511270061060"</f>
        <v>54112023062511270061060</v>
      </c>
      <c r="C1218" s="9" t="s">
        <v>12</v>
      </c>
      <c r="D1218" s="9" t="str">
        <f>"包莹莹"</f>
        <v>包莹莹</v>
      </c>
    </row>
    <row r="1219" spans="1:4" ht="34.5" customHeight="1">
      <c r="A1219" s="8">
        <v>1217</v>
      </c>
      <c r="B1219" s="9" t="str">
        <f>"54112023062510525160829"</f>
        <v>54112023062510525160829</v>
      </c>
      <c r="C1219" s="9" t="s">
        <v>12</v>
      </c>
      <c r="D1219" s="9" t="str">
        <f>"王芊"</f>
        <v>王芊</v>
      </c>
    </row>
    <row r="1220" spans="1:4" ht="34.5" customHeight="1">
      <c r="A1220" s="8">
        <v>1218</v>
      </c>
      <c r="B1220" s="9" t="str">
        <f>"54112023062512003361687"</f>
        <v>54112023062512003361687</v>
      </c>
      <c r="C1220" s="9" t="s">
        <v>12</v>
      </c>
      <c r="D1220" s="9" t="str">
        <f>"符淑娇"</f>
        <v>符淑娇</v>
      </c>
    </row>
    <row r="1221" spans="1:4" ht="34.5" customHeight="1">
      <c r="A1221" s="8">
        <v>1219</v>
      </c>
      <c r="B1221" s="9" t="str">
        <f>"54112023062511533661656"</f>
        <v>54112023062511533661656</v>
      </c>
      <c r="C1221" s="9" t="s">
        <v>12</v>
      </c>
      <c r="D1221" s="9" t="str">
        <f>"李泽章"</f>
        <v>李泽章</v>
      </c>
    </row>
    <row r="1222" spans="1:4" ht="34.5" customHeight="1">
      <c r="A1222" s="8">
        <v>1220</v>
      </c>
      <c r="B1222" s="9" t="str">
        <f>"54112023062512582162116"</f>
        <v>54112023062512582162116</v>
      </c>
      <c r="C1222" s="9" t="s">
        <v>12</v>
      </c>
      <c r="D1222" s="9" t="str">
        <f>"吉春列"</f>
        <v>吉春列</v>
      </c>
    </row>
    <row r="1223" spans="1:4" ht="34.5" customHeight="1">
      <c r="A1223" s="8">
        <v>1221</v>
      </c>
      <c r="B1223" s="9" t="str">
        <f>"54112023062512593462130"</f>
        <v>54112023062512593462130</v>
      </c>
      <c r="C1223" s="9" t="s">
        <v>12</v>
      </c>
      <c r="D1223" s="9" t="str">
        <f>"林惠芳"</f>
        <v>林惠芳</v>
      </c>
    </row>
    <row r="1224" spans="1:4" ht="34.5" customHeight="1">
      <c r="A1224" s="8">
        <v>1222</v>
      </c>
      <c r="B1224" s="9" t="str">
        <f>"54112023062515360962979"</f>
        <v>54112023062515360962979</v>
      </c>
      <c r="C1224" s="9" t="s">
        <v>12</v>
      </c>
      <c r="D1224" s="9" t="str">
        <f>"张斯沁"</f>
        <v>张斯沁</v>
      </c>
    </row>
    <row r="1225" spans="1:4" ht="34.5" customHeight="1">
      <c r="A1225" s="8">
        <v>1223</v>
      </c>
      <c r="B1225" s="9" t="str">
        <f>"54112023062515581063121"</f>
        <v>54112023062515581063121</v>
      </c>
      <c r="C1225" s="9" t="s">
        <v>12</v>
      </c>
      <c r="D1225" s="9" t="str">
        <f>"邢高高"</f>
        <v>邢高高</v>
      </c>
    </row>
    <row r="1226" spans="1:4" ht="34.5" customHeight="1">
      <c r="A1226" s="8">
        <v>1224</v>
      </c>
      <c r="B1226" s="9" t="str">
        <f>"54112023062517074763462"</f>
        <v>54112023062517074763462</v>
      </c>
      <c r="C1226" s="9" t="s">
        <v>12</v>
      </c>
      <c r="D1226" s="9" t="str">
        <f>"李雅慧"</f>
        <v>李雅慧</v>
      </c>
    </row>
    <row r="1227" spans="1:4" ht="34.5" customHeight="1">
      <c r="A1227" s="8">
        <v>1225</v>
      </c>
      <c r="B1227" s="9" t="str">
        <f>"54112023062516585763423"</f>
        <v>54112023062516585763423</v>
      </c>
      <c r="C1227" s="9" t="s">
        <v>12</v>
      </c>
      <c r="D1227" s="9" t="str">
        <f>"郑青见"</f>
        <v>郑青见</v>
      </c>
    </row>
    <row r="1228" spans="1:4" ht="34.5" customHeight="1">
      <c r="A1228" s="8">
        <v>1226</v>
      </c>
      <c r="B1228" s="9" t="str">
        <f>"54112023062517473763616"</f>
        <v>54112023062517473763616</v>
      </c>
      <c r="C1228" s="9" t="s">
        <v>12</v>
      </c>
      <c r="D1228" s="9" t="str">
        <f>"王琛"</f>
        <v>王琛</v>
      </c>
    </row>
    <row r="1229" spans="1:4" ht="34.5" customHeight="1">
      <c r="A1229" s="8">
        <v>1227</v>
      </c>
      <c r="B1229" s="9" t="str">
        <f>"54112023062517060763455"</f>
        <v>54112023062517060763455</v>
      </c>
      <c r="C1229" s="9" t="s">
        <v>12</v>
      </c>
      <c r="D1229" s="9" t="str">
        <f>"文亚美"</f>
        <v>文亚美</v>
      </c>
    </row>
    <row r="1230" spans="1:4" ht="34.5" customHeight="1">
      <c r="A1230" s="8">
        <v>1228</v>
      </c>
      <c r="B1230" s="9" t="str">
        <f>"54112023062517521863637"</f>
        <v>54112023062517521863637</v>
      </c>
      <c r="C1230" s="9" t="s">
        <v>12</v>
      </c>
      <c r="D1230" s="9" t="str">
        <f>"张恋恋"</f>
        <v>张恋恋</v>
      </c>
    </row>
    <row r="1231" spans="1:4" ht="34.5" customHeight="1">
      <c r="A1231" s="8">
        <v>1229</v>
      </c>
      <c r="B1231" s="9" t="str">
        <f>"54112023062518354863778"</f>
        <v>54112023062518354863778</v>
      </c>
      <c r="C1231" s="9" t="s">
        <v>12</v>
      </c>
      <c r="D1231" s="9" t="str">
        <f>"吴贵美"</f>
        <v>吴贵美</v>
      </c>
    </row>
    <row r="1232" spans="1:4" ht="34.5" customHeight="1">
      <c r="A1232" s="8">
        <v>1230</v>
      </c>
      <c r="B1232" s="9" t="str">
        <f>"54112023062519322763997"</f>
        <v>54112023062519322763997</v>
      </c>
      <c r="C1232" s="9" t="s">
        <v>12</v>
      </c>
      <c r="D1232" s="9" t="str">
        <f>"陈小慧"</f>
        <v>陈小慧</v>
      </c>
    </row>
    <row r="1233" spans="1:4" ht="34.5" customHeight="1">
      <c r="A1233" s="8">
        <v>1231</v>
      </c>
      <c r="B1233" s="9" t="str">
        <f>"54112023062508553259743"</f>
        <v>54112023062508553259743</v>
      </c>
      <c r="C1233" s="9" t="s">
        <v>12</v>
      </c>
      <c r="D1233" s="9" t="str">
        <f>"曾露"</f>
        <v>曾露</v>
      </c>
    </row>
    <row r="1234" spans="1:4" ht="34.5" customHeight="1">
      <c r="A1234" s="8">
        <v>1232</v>
      </c>
      <c r="B1234" s="9" t="str">
        <f>"54112023062519525964087"</f>
        <v>54112023062519525964087</v>
      </c>
      <c r="C1234" s="9" t="s">
        <v>12</v>
      </c>
      <c r="D1234" s="9" t="str">
        <f>"郑庆玲"</f>
        <v>郑庆玲</v>
      </c>
    </row>
    <row r="1235" spans="1:4" ht="34.5" customHeight="1">
      <c r="A1235" s="8">
        <v>1233</v>
      </c>
      <c r="B1235" s="9" t="str">
        <f>"54112023062519484964058"</f>
        <v>54112023062519484964058</v>
      </c>
      <c r="C1235" s="9" t="s">
        <v>12</v>
      </c>
      <c r="D1235" s="9" t="str">
        <f>"黄乙玲"</f>
        <v>黄乙玲</v>
      </c>
    </row>
    <row r="1236" spans="1:4" ht="34.5" customHeight="1">
      <c r="A1236" s="8">
        <v>1234</v>
      </c>
      <c r="B1236" s="9" t="str">
        <f>"54112023062509290160088"</f>
        <v>54112023062509290160088</v>
      </c>
      <c r="C1236" s="9" t="s">
        <v>12</v>
      </c>
      <c r="D1236" s="9" t="str">
        <f>"冯乐"</f>
        <v>冯乐</v>
      </c>
    </row>
    <row r="1237" spans="1:4" ht="34.5" customHeight="1">
      <c r="A1237" s="8">
        <v>1235</v>
      </c>
      <c r="B1237" s="9" t="str">
        <f>"54112023062521193864488"</f>
        <v>54112023062521193864488</v>
      </c>
      <c r="C1237" s="9" t="s">
        <v>12</v>
      </c>
      <c r="D1237" s="9" t="str">
        <f>"钟学帆"</f>
        <v>钟学帆</v>
      </c>
    </row>
    <row r="1238" spans="1:4" ht="34.5" customHeight="1">
      <c r="A1238" s="8">
        <v>1236</v>
      </c>
      <c r="B1238" s="9" t="str">
        <f>"54112023062521355764572"</f>
        <v>54112023062521355764572</v>
      </c>
      <c r="C1238" s="9" t="s">
        <v>12</v>
      </c>
      <c r="D1238" s="9" t="str">
        <f>"李妹妹"</f>
        <v>李妹妹</v>
      </c>
    </row>
    <row r="1239" spans="1:4" ht="34.5" customHeight="1">
      <c r="A1239" s="8">
        <v>1237</v>
      </c>
      <c r="B1239" s="9" t="str">
        <f>"54112023062508594259762"</f>
        <v>54112023062508594259762</v>
      </c>
      <c r="C1239" s="9" t="s">
        <v>12</v>
      </c>
      <c r="D1239" s="9" t="str">
        <f>"陈金丹"</f>
        <v>陈金丹</v>
      </c>
    </row>
    <row r="1240" spans="1:4" ht="34.5" customHeight="1">
      <c r="A1240" s="8">
        <v>1238</v>
      </c>
      <c r="B1240" s="9" t="str">
        <f>"54112023062523510365040"</f>
        <v>54112023062523510365040</v>
      </c>
      <c r="C1240" s="9" t="s">
        <v>12</v>
      </c>
      <c r="D1240" s="9" t="str">
        <f>"符冬梅"</f>
        <v>符冬梅</v>
      </c>
    </row>
    <row r="1241" spans="1:4" ht="34.5" customHeight="1">
      <c r="A1241" s="8">
        <v>1239</v>
      </c>
      <c r="B1241" s="9" t="str">
        <f>"54112023062509585060393"</f>
        <v>54112023062509585060393</v>
      </c>
      <c r="C1241" s="9" t="s">
        <v>12</v>
      </c>
      <c r="D1241" s="9" t="str">
        <f>"符荣芝"</f>
        <v>符荣芝</v>
      </c>
    </row>
    <row r="1242" spans="1:4" ht="34.5" customHeight="1">
      <c r="A1242" s="8">
        <v>1240</v>
      </c>
      <c r="B1242" s="9" t="str">
        <f>"54112023062609524766476"</f>
        <v>54112023062609524766476</v>
      </c>
      <c r="C1242" s="9" t="s">
        <v>12</v>
      </c>
      <c r="D1242" s="9" t="str">
        <f>"郑少玉"</f>
        <v>郑少玉</v>
      </c>
    </row>
    <row r="1243" spans="1:4" ht="34.5" customHeight="1">
      <c r="A1243" s="8">
        <v>1241</v>
      </c>
      <c r="B1243" s="9" t="str">
        <f>"54112023062609421766292"</f>
        <v>54112023062609421766292</v>
      </c>
      <c r="C1243" s="9" t="s">
        <v>12</v>
      </c>
      <c r="D1243" s="9" t="str">
        <f>"谢瑞雪"</f>
        <v>谢瑞雪</v>
      </c>
    </row>
    <row r="1244" spans="1:4" ht="34.5" customHeight="1">
      <c r="A1244" s="8">
        <v>1242</v>
      </c>
      <c r="B1244" s="9" t="str">
        <f>"54112023062508353459669"</f>
        <v>54112023062508353459669</v>
      </c>
      <c r="C1244" s="9" t="s">
        <v>12</v>
      </c>
      <c r="D1244" s="9" t="str">
        <f>"谭彩玲"</f>
        <v>谭彩玲</v>
      </c>
    </row>
    <row r="1245" spans="1:4" ht="34.5" customHeight="1">
      <c r="A1245" s="8">
        <v>1243</v>
      </c>
      <c r="B1245" s="9" t="str">
        <f>"54112023062609591466592"</f>
        <v>54112023062609591466592</v>
      </c>
      <c r="C1245" s="9" t="s">
        <v>12</v>
      </c>
      <c r="D1245" s="9" t="str">
        <f>"吴原榕"</f>
        <v>吴原榕</v>
      </c>
    </row>
    <row r="1246" spans="1:4" ht="34.5" customHeight="1">
      <c r="A1246" s="8">
        <v>1244</v>
      </c>
      <c r="B1246" s="9" t="str">
        <f>"54112023062610344367134"</f>
        <v>54112023062610344367134</v>
      </c>
      <c r="C1246" s="9" t="s">
        <v>12</v>
      </c>
      <c r="D1246" s="9" t="str">
        <f>"羊昆妮"</f>
        <v>羊昆妮</v>
      </c>
    </row>
    <row r="1247" spans="1:4" ht="34.5" customHeight="1">
      <c r="A1247" s="8">
        <v>1245</v>
      </c>
      <c r="B1247" s="9" t="str">
        <f>"54112023062610184466892"</f>
        <v>54112023062610184466892</v>
      </c>
      <c r="C1247" s="9" t="s">
        <v>12</v>
      </c>
      <c r="D1247" s="9" t="str">
        <f>"林瑞嫦"</f>
        <v>林瑞嫦</v>
      </c>
    </row>
    <row r="1248" spans="1:4" ht="34.5" customHeight="1">
      <c r="A1248" s="8">
        <v>1246</v>
      </c>
      <c r="B1248" s="9" t="str">
        <f>"54112023062608370165379"</f>
        <v>54112023062608370165379</v>
      </c>
      <c r="C1248" s="9" t="s">
        <v>12</v>
      </c>
      <c r="D1248" s="9" t="str">
        <f>"陈婷"</f>
        <v>陈婷</v>
      </c>
    </row>
    <row r="1249" spans="1:4" ht="34.5" customHeight="1">
      <c r="A1249" s="8">
        <v>1247</v>
      </c>
      <c r="B1249" s="9" t="str">
        <f>"54112023062515031762752"</f>
        <v>54112023062515031762752</v>
      </c>
      <c r="C1249" s="9" t="s">
        <v>12</v>
      </c>
      <c r="D1249" s="9" t="str">
        <f>"王淑娜"</f>
        <v>王淑娜</v>
      </c>
    </row>
    <row r="1250" spans="1:4" ht="34.5" customHeight="1">
      <c r="A1250" s="8">
        <v>1248</v>
      </c>
      <c r="B1250" s="9" t="str">
        <f>"54112023062612135568152"</f>
        <v>54112023062612135568152</v>
      </c>
      <c r="C1250" s="9" t="s">
        <v>12</v>
      </c>
      <c r="D1250" s="9" t="str">
        <f>"罗晓欣"</f>
        <v>罗晓欣</v>
      </c>
    </row>
    <row r="1251" spans="1:4" ht="34.5" customHeight="1">
      <c r="A1251" s="8">
        <v>1249</v>
      </c>
      <c r="B1251" s="9" t="str">
        <f>"54112023062612261968226"</f>
        <v>54112023062612261968226</v>
      </c>
      <c r="C1251" s="9" t="s">
        <v>12</v>
      </c>
      <c r="D1251" s="9" t="str">
        <f>"曾芬"</f>
        <v>曾芬</v>
      </c>
    </row>
    <row r="1252" spans="1:4" ht="34.5" customHeight="1">
      <c r="A1252" s="8">
        <v>1250</v>
      </c>
      <c r="B1252" s="9" t="str">
        <f>"54112023062613423968643"</f>
        <v>54112023062613423968643</v>
      </c>
      <c r="C1252" s="9" t="s">
        <v>12</v>
      </c>
      <c r="D1252" s="9" t="str">
        <f>"杨瑜"</f>
        <v>杨瑜</v>
      </c>
    </row>
    <row r="1253" spans="1:4" ht="34.5" customHeight="1">
      <c r="A1253" s="8">
        <v>1251</v>
      </c>
      <c r="B1253" s="9" t="str">
        <f>"54112023062509172059958"</f>
        <v>54112023062509172059958</v>
      </c>
      <c r="C1253" s="9" t="s">
        <v>12</v>
      </c>
      <c r="D1253" s="9" t="str">
        <f>"邱紫欣"</f>
        <v>邱紫欣</v>
      </c>
    </row>
    <row r="1254" spans="1:4" ht="34.5" customHeight="1">
      <c r="A1254" s="8">
        <v>1252</v>
      </c>
      <c r="B1254" s="9" t="str">
        <f>"54112023062615315669276"</f>
        <v>54112023062615315669276</v>
      </c>
      <c r="C1254" s="9" t="s">
        <v>12</v>
      </c>
      <c r="D1254" s="9" t="str">
        <f>"徐发吉"</f>
        <v>徐发吉</v>
      </c>
    </row>
    <row r="1255" spans="1:4" ht="34.5" customHeight="1">
      <c r="A1255" s="8">
        <v>1253</v>
      </c>
      <c r="B1255" s="9" t="str">
        <f>"54112023062615160569163"</f>
        <v>54112023062615160569163</v>
      </c>
      <c r="C1255" s="9" t="s">
        <v>12</v>
      </c>
      <c r="D1255" s="9" t="str">
        <f>"陈泽塔"</f>
        <v>陈泽塔</v>
      </c>
    </row>
    <row r="1256" spans="1:4" ht="34.5" customHeight="1">
      <c r="A1256" s="8">
        <v>1254</v>
      </c>
      <c r="B1256" s="9" t="str">
        <f>"54112023062615590769488"</f>
        <v>54112023062615590769488</v>
      </c>
      <c r="C1256" s="9" t="s">
        <v>12</v>
      </c>
      <c r="D1256" s="9" t="str">
        <f>"黎秋霞"</f>
        <v>黎秋霞</v>
      </c>
    </row>
    <row r="1257" spans="1:4" ht="34.5" customHeight="1">
      <c r="A1257" s="8">
        <v>1255</v>
      </c>
      <c r="B1257" s="9" t="str">
        <f>"54112023062616083369555"</f>
        <v>54112023062616083369555</v>
      </c>
      <c r="C1257" s="9" t="s">
        <v>12</v>
      </c>
      <c r="D1257" s="9" t="str">
        <f>"邢雯琳"</f>
        <v>邢雯琳</v>
      </c>
    </row>
    <row r="1258" spans="1:4" ht="34.5" customHeight="1">
      <c r="A1258" s="8">
        <v>1256</v>
      </c>
      <c r="B1258" s="9" t="str">
        <f>"54112023062611002667473"</f>
        <v>54112023062611002667473</v>
      </c>
      <c r="C1258" s="9" t="s">
        <v>12</v>
      </c>
      <c r="D1258" s="9" t="str">
        <f>"吴家月"</f>
        <v>吴家月</v>
      </c>
    </row>
    <row r="1259" spans="1:4" ht="34.5" customHeight="1">
      <c r="A1259" s="8">
        <v>1257</v>
      </c>
      <c r="B1259" s="9" t="str">
        <f>"54112023062617000169923"</f>
        <v>54112023062617000169923</v>
      </c>
      <c r="C1259" s="9" t="s">
        <v>12</v>
      </c>
      <c r="D1259" s="9" t="str">
        <f>"朱奕烹"</f>
        <v>朱奕烹</v>
      </c>
    </row>
    <row r="1260" spans="1:4" ht="34.5" customHeight="1">
      <c r="A1260" s="8">
        <v>1258</v>
      </c>
      <c r="B1260" s="9" t="str">
        <f>"54112023062616522269872"</f>
        <v>54112023062616522269872</v>
      </c>
      <c r="C1260" s="9" t="s">
        <v>12</v>
      </c>
      <c r="D1260" s="9" t="str">
        <f>"羊英荣"</f>
        <v>羊英荣</v>
      </c>
    </row>
    <row r="1261" spans="1:4" ht="34.5" customHeight="1">
      <c r="A1261" s="8">
        <v>1259</v>
      </c>
      <c r="B1261" s="9" t="str">
        <f>"54112023062521180064480"</f>
        <v>54112023062521180064480</v>
      </c>
      <c r="C1261" s="9" t="s">
        <v>12</v>
      </c>
      <c r="D1261" s="9" t="str">
        <f>"黎基敏"</f>
        <v>黎基敏</v>
      </c>
    </row>
    <row r="1262" spans="1:4" ht="34.5" customHeight="1">
      <c r="A1262" s="8">
        <v>1260</v>
      </c>
      <c r="B1262" s="9" t="str">
        <f>"54112023062617432870175"</f>
        <v>54112023062617432870175</v>
      </c>
      <c r="C1262" s="9" t="s">
        <v>12</v>
      </c>
      <c r="D1262" s="9" t="str">
        <f>"徐有连"</f>
        <v>徐有连</v>
      </c>
    </row>
    <row r="1263" spans="1:4" ht="34.5" customHeight="1">
      <c r="A1263" s="8">
        <v>1261</v>
      </c>
      <c r="B1263" s="9" t="str">
        <f>"54112023062618312870393"</f>
        <v>54112023062618312870393</v>
      </c>
      <c r="C1263" s="9" t="s">
        <v>12</v>
      </c>
      <c r="D1263" s="9" t="str">
        <f>"陈艳"</f>
        <v>陈艳</v>
      </c>
    </row>
    <row r="1264" spans="1:4" ht="34.5" customHeight="1">
      <c r="A1264" s="8">
        <v>1262</v>
      </c>
      <c r="B1264" s="9" t="str">
        <f>"54112023062619032070530"</f>
        <v>54112023062619032070530</v>
      </c>
      <c r="C1264" s="9" t="s">
        <v>12</v>
      </c>
      <c r="D1264" s="9" t="str">
        <f>"王芳"</f>
        <v>王芳</v>
      </c>
    </row>
    <row r="1265" spans="1:4" ht="34.5" customHeight="1">
      <c r="A1265" s="8">
        <v>1263</v>
      </c>
      <c r="B1265" s="9" t="str">
        <f>"54112023062619491470729"</f>
        <v>54112023062619491470729</v>
      </c>
      <c r="C1265" s="9" t="s">
        <v>12</v>
      </c>
      <c r="D1265" s="9" t="str">
        <f>"王祺定"</f>
        <v>王祺定</v>
      </c>
    </row>
    <row r="1266" spans="1:4" ht="34.5" customHeight="1">
      <c r="A1266" s="8">
        <v>1264</v>
      </c>
      <c r="B1266" s="9" t="str">
        <f>"54112023062620460271006"</f>
        <v>54112023062620460271006</v>
      </c>
      <c r="C1266" s="9" t="s">
        <v>12</v>
      </c>
      <c r="D1266" s="9" t="str">
        <f>"黎俊诗"</f>
        <v>黎俊诗</v>
      </c>
    </row>
    <row r="1267" spans="1:4" ht="34.5" customHeight="1">
      <c r="A1267" s="8">
        <v>1265</v>
      </c>
      <c r="B1267" s="9" t="str">
        <f>"54112023062620524871042"</f>
        <v>54112023062620524871042</v>
      </c>
      <c r="C1267" s="9" t="s">
        <v>12</v>
      </c>
      <c r="D1267" s="9" t="str">
        <f>"洪水兰"</f>
        <v>洪水兰</v>
      </c>
    </row>
    <row r="1268" spans="1:4" ht="34.5" customHeight="1">
      <c r="A1268" s="8">
        <v>1266</v>
      </c>
      <c r="B1268" s="9" t="str">
        <f>"54112023062615031669086"</f>
        <v>54112023062615031669086</v>
      </c>
      <c r="C1268" s="9" t="s">
        <v>12</v>
      </c>
      <c r="D1268" s="9" t="str">
        <f>"钟晓明"</f>
        <v>钟晓明</v>
      </c>
    </row>
    <row r="1269" spans="1:4" ht="34.5" customHeight="1">
      <c r="A1269" s="8">
        <v>1267</v>
      </c>
      <c r="B1269" s="9" t="str">
        <f>"54112023062620315770928"</f>
        <v>54112023062620315770928</v>
      </c>
      <c r="C1269" s="9" t="s">
        <v>12</v>
      </c>
      <c r="D1269" s="9" t="str">
        <f>"梁寿桃"</f>
        <v>梁寿桃</v>
      </c>
    </row>
    <row r="1270" spans="1:4" ht="34.5" customHeight="1">
      <c r="A1270" s="8">
        <v>1268</v>
      </c>
      <c r="B1270" s="9" t="str">
        <f>"54112023062509380960183"</f>
        <v>54112023062509380960183</v>
      </c>
      <c r="C1270" s="9" t="s">
        <v>12</v>
      </c>
      <c r="D1270" s="9" t="str">
        <f>"董美妤"</f>
        <v>董美妤</v>
      </c>
    </row>
    <row r="1271" spans="1:4" ht="34.5" customHeight="1">
      <c r="A1271" s="8">
        <v>1269</v>
      </c>
      <c r="B1271" s="9" t="str">
        <f>"54112023062621323371240"</f>
        <v>54112023062621323371240</v>
      </c>
      <c r="C1271" s="9" t="s">
        <v>12</v>
      </c>
      <c r="D1271" s="9" t="str">
        <f>"程娟"</f>
        <v>程娟</v>
      </c>
    </row>
    <row r="1272" spans="1:4" ht="34.5" customHeight="1">
      <c r="A1272" s="8">
        <v>1270</v>
      </c>
      <c r="B1272" s="9" t="str">
        <f>"54112023062620273870901"</f>
        <v>54112023062620273870901</v>
      </c>
      <c r="C1272" s="9" t="s">
        <v>12</v>
      </c>
      <c r="D1272" s="9" t="str">
        <f>"邓冠香"</f>
        <v>邓冠香</v>
      </c>
    </row>
    <row r="1273" spans="1:4" ht="34.5" customHeight="1">
      <c r="A1273" s="8">
        <v>1271</v>
      </c>
      <c r="B1273" s="9" t="str">
        <f>"54112023062521110064427"</f>
        <v>54112023062521110064427</v>
      </c>
      <c r="C1273" s="9" t="s">
        <v>12</v>
      </c>
      <c r="D1273" s="9" t="str">
        <f>"蔡元女"</f>
        <v>蔡元女</v>
      </c>
    </row>
    <row r="1274" spans="1:4" ht="34.5" customHeight="1">
      <c r="A1274" s="8">
        <v>1272</v>
      </c>
      <c r="B1274" s="9" t="str">
        <f>"54112023062622371171561"</f>
        <v>54112023062622371171561</v>
      </c>
      <c r="C1274" s="9" t="s">
        <v>12</v>
      </c>
      <c r="D1274" s="9" t="str">
        <f>"张名娟"</f>
        <v>张名娟</v>
      </c>
    </row>
    <row r="1275" spans="1:4" ht="34.5" customHeight="1">
      <c r="A1275" s="8">
        <v>1273</v>
      </c>
      <c r="B1275" s="9" t="str">
        <f>"54112023062518475863831"</f>
        <v>54112023062518475863831</v>
      </c>
      <c r="C1275" s="9" t="s">
        <v>12</v>
      </c>
      <c r="D1275" s="9" t="str">
        <f>"李翼桃"</f>
        <v>李翼桃</v>
      </c>
    </row>
    <row r="1276" spans="1:4" ht="34.5" customHeight="1">
      <c r="A1276" s="8">
        <v>1274</v>
      </c>
      <c r="B1276" s="9" t="str">
        <f>"54112023062623254371718"</f>
        <v>54112023062623254371718</v>
      </c>
      <c r="C1276" s="9" t="s">
        <v>12</v>
      </c>
      <c r="D1276" s="9" t="str">
        <f>"蒲英尾"</f>
        <v>蒲英尾</v>
      </c>
    </row>
    <row r="1277" spans="1:4" ht="34.5" customHeight="1">
      <c r="A1277" s="8">
        <v>1275</v>
      </c>
      <c r="B1277" s="9" t="str">
        <f>"54112023062620465271013"</f>
        <v>54112023062620465271013</v>
      </c>
      <c r="C1277" s="9" t="s">
        <v>12</v>
      </c>
      <c r="D1277" s="9" t="str">
        <f>"王锡雪"</f>
        <v>王锡雪</v>
      </c>
    </row>
    <row r="1278" spans="1:4" ht="34.5" customHeight="1">
      <c r="A1278" s="8">
        <v>1276</v>
      </c>
      <c r="B1278" s="9" t="str">
        <f>"54112023062710385273127"</f>
        <v>54112023062710385273127</v>
      </c>
      <c r="C1278" s="9" t="s">
        <v>12</v>
      </c>
      <c r="D1278" s="9" t="str">
        <f>"李俊杰"</f>
        <v>李俊杰</v>
      </c>
    </row>
    <row r="1279" spans="1:4" ht="34.5" customHeight="1">
      <c r="A1279" s="8">
        <v>1277</v>
      </c>
      <c r="B1279" s="9" t="str">
        <f>"54112023062710522473216"</f>
        <v>54112023062710522473216</v>
      </c>
      <c r="C1279" s="9" t="s">
        <v>12</v>
      </c>
      <c r="D1279" s="9" t="str">
        <f>"黎正花"</f>
        <v>黎正花</v>
      </c>
    </row>
    <row r="1280" spans="1:4" ht="34.5" customHeight="1">
      <c r="A1280" s="8">
        <v>1278</v>
      </c>
      <c r="B1280" s="9" t="str">
        <f>"54112023062712073373545"</f>
        <v>54112023062712073373545</v>
      </c>
      <c r="C1280" s="9" t="s">
        <v>12</v>
      </c>
      <c r="D1280" s="9" t="str">
        <f>"王松兴"</f>
        <v>王松兴</v>
      </c>
    </row>
    <row r="1281" spans="1:4" ht="34.5" customHeight="1">
      <c r="A1281" s="8">
        <v>1279</v>
      </c>
      <c r="B1281" s="9" t="str">
        <f>"54112023062617040069946"</f>
        <v>54112023062617040069946</v>
      </c>
      <c r="C1281" s="9" t="s">
        <v>12</v>
      </c>
      <c r="D1281" s="9" t="str">
        <f>"王琦"</f>
        <v>王琦</v>
      </c>
    </row>
    <row r="1282" spans="1:4" ht="34.5" customHeight="1">
      <c r="A1282" s="8">
        <v>1280</v>
      </c>
      <c r="B1282" s="9" t="str">
        <f>"54112023062714574974089"</f>
        <v>54112023062714574974089</v>
      </c>
      <c r="C1282" s="9" t="s">
        <v>12</v>
      </c>
      <c r="D1282" s="9" t="str">
        <f>"符小娜"</f>
        <v>符小娜</v>
      </c>
    </row>
    <row r="1283" spans="1:4" ht="34.5" customHeight="1">
      <c r="A1283" s="8">
        <v>1281</v>
      </c>
      <c r="B1283" s="9" t="str">
        <f>"54112023062715191974180"</f>
        <v>54112023062715191974180</v>
      </c>
      <c r="C1283" s="9" t="s">
        <v>12</v>
      </c>
      <c r="D1283" s="9" t="str">
        <f>"陈晓霞"</f>
        <v>陈晓霞</v>
      </c>
    </row>
    <row r="1284" spans="1:4" ht="34.5" customHeight="1">
      <c r="A1284" s="8">
        <v>1282</v>
      </c>
      <c r="B1284" s="9" t="str">
        <f>"54112023062716055874389"</f>
        <v>54112023062716055874389</v>
      </c>
      <c r="C1284" s="9" t="s">
        <v>12</v>
      </c>
      <c r="D1284" s="9" t="str">
        <f>"蔡妮余"</f>
        <v>蔡妮余</v>
      </c>
    </row>
    <row r="1285" spans="1:4" ht="34.5" customHeight="1">
      <c r="A1285" s="8">
        <v>1283</v>
      </c>
      <c r="B1285" s="9" t="str">
        <f>"54112023062716511774593"</f>
        <v>54112023062716511774593</v>
      </c>
      <c r="C1285" s="9" t="s">
        <v>12</v>
      </c>
      <c r="D1285" s="9" t="str">
        <f>"谢小芸"</f>
        <v>谢小芸</v>
      </c>
    </row>
    <row r="1286" spans="1:4" ht="34.5" customHeight="1">
      <c r="A1286" s="8">
        <v>1284</v>
      </c>
      <c r="B1286" s="9" t="str">
        <f>"54112023062616004069497"</f>
        <v>54112023062616004069497</v>
      </c>
      <c r="C1286" s="9" t="s">
        <v>12</v>
      </c>
      <c r="D1286" s="9" t="str">
        <f>"张青霞"</f>
        <v>张青霞</v>
      </c>
    </row>
    <row r="1287" spans="1:4" ht="34.5" customHeight="1">
      <c r="A1287" s="8">
        <v>1285</v>
      </c>
      <c r="B1287" s="9" t="str">
        <f>"54112023062717130175040"</f>
        <v>54112023062717130175040</v>
      </c>
      <c r="C1287" s="9" t="s">
        <v>12</v>
      </c>
      <c r="D1287" s="9" t="str">
        <f>"罗太飞"</f>
        <v>罗太飞</v>
      </c>
    </row>
    <row r="1288" spans="1:4" ht="34.5" customHeight="1">
      <c r="A1288" s="8">
        <v>1286</v>
      </c>
      <c r="B1288" s="9" t="str">
        <f>"54112023062516233863262"</f>
        <v>54112023062516233863262</v>
      </c>
      <c r="C1288" s="9" t="s">
        <v>12</v>
      </c>
      <c r="D1288" s="9" t="str">
        <f>"符小丹"</f>
        <v>符小丹</v>
      </c>
    </row>
    <row r="1289" spans="1:4" ht="34.5" customHeight="1">
      <c r="A1289" s="8">
        <v>1287</v>
      </c>
      <c r="B1289" s="9" t="str">
        <f>"54112023062522150164756"</f>
        <v>54112023062522150164756</v>
      </c>
      <c r="C1289" s="9" t="s">
        <v>12</v>
      </c>
      <c r="D1289" s="9" t="str">
        <f>"李平丹"</f>
        <v>李平丹</v>
      </c>
    </row>
    <row r="1290" spans="1:4" ht="34.5" customHeight="1">
      <c r="A1290" s="8">
        <v>1288</v>
      </c>
      <c r="B1290" s="9" t="str">
        <f>"54112023062720045575639"</f>
        <v>54112023062720045575639</v>
      </c>
      <c r="C1290" s="9" t="s">
        <v>12</v>
      </c>
      <c r="D1290" s="9" t="str">
        <f>"王小美"</f>
        <v>王小美</v>
      </c>
    </row>
    <row r="1291" spans="1:4" ht="34.5" customHeight="1">
      <c r="A1291" s="8">
        <v>1289</v>
      </c>
      <c r="B1291" s="9" t="str">
        <f>"54112023062720195475689"</f>
        <v>54112023062720195475689</v>
      </c>
      <c r="C1291" s="9" t="s">
        <v>12</v>
      </c>
      <c r="D1291" s="9" t="str">
        <f>"吴亚琴"</f>
        <v>吴亚琴</v>
      </c>
    </row>
    <row r="1292" spans="1:4" ht="34.5" customHeight="1">
      <c r="A1292" s="8">
        <v>1290</v>
      </c>
      <c r="B1292" s="9" t="str">
        <f>"54112023062516070163177"</f>
        <v>54112023062516070163177</v>
      </c>
      <c r="C1292" s="9" t="s">
        <v>12</v>
      </c>
      <c r="D1292" s="9" t="str">
        <f>"王艳丽"</f>
        <v>王艳丽</v>
      </c>
    </row>
    <row r="1293" spans="1:4" ht="34.5" customHeight="1">
      <c r="A1293" s="8">
        <v>1291</v>
      </c>
      <c r="B1293" s="9" t="str">
        <f>"54112023062722350476176"</f>
        <v>54112023062722350476176</v>
      </c>
      <c r="C1293" s="9" t="s">
        <v>12</v>
      </c>
      <c r="D1293" s="9" t="str">
        <f>"王芷萱"</f>
        <v>王芷萱</v>
      </c>
    </row>
    <row r="1294" spans="1:4" ht="34.5" customHeight="1">
      <c r="A1294" s="8">
        <v>1292</v>
      </c>
      <c r="B1294" s="9" t="str">
        <f>"54112023062720584175821"</f>
        <v>54112023062720584175821</v>
      </c>
      <c r="C1294" s="9" t="s">
        <v>12</v>
      </c>
      <c r="D1294" s="9" t="str">
        <f>"刘桂珍"</f>
        <v>刘桂珍</v>
      </c>
    </row>
    <row r="1295" spans="1:4" ht="34.5" customHeight="1">
      <c r="A1295" s="8">
        <v>1293</v>
      </c>
      <c r="B1295" s="9" t="str">
        <f>"54112023062722330776171"</f>
        <v>54112023062722330776171</v>
      </c>
      <c r="C1295" s="9" t="s">
        <v>12</v>
      </c>
      <c r="D1295" s="9" t="str">
        <f>"何朝芳"</f>
        <v>何朝芳</v>
      </c>
    </row>
    <row r="1296" spans="1:4" ht="34.5" customHeight="1">
      <c r="A1296" s="8">
        <v>1294</v>
      </c>
      <c r="B1296" s="9" t="str">
        <f>"54112023062618164970325"</f>
        <v>54112023062618164970325</v>
      </c>
      <c r="C1296" s="9" t="s">
        <v>12</v>
      </c>
      <c r="D1296" s="9" t="str">
        <f>"陈微"</f>
        <v>陈微</v>
      </c>
    </row>
    <row r="1297" spans="1:4" ht="34.5" customHeight="1">
      <c r="A1297" s="8">
        <v>1295</v>
      </c>
      <c r="B1297" s="9" t="str">
        <f>"54112023062807440376477"</f>
        <v>54112023062807440376477</v>
      </c>
      <c r="C1297" s="9" t="s">
        <v>12</v>
      </c>
      <c r="D1297" s="9" t="str">
        <f>"周艳"</f>
        <v>周艳</v>
      </c>
    </row>
    <row r="1298" spans="1:4" ht="34.5" customHeight="1">
      <c r="A1298" s="8">
        <v>1296</v>
      </c>
      <c r="B1298" s="9" t="str">
        <f>"54112023062808330176579"</f>
        <v>54112023062808330176579</v>
      </c>
      <c r="C1298" s="9" t="s">
        <v>12</v>
      </c>
      <c r="D1298" s="9" t="str">
        <f>"陈秀香"</f>
        <v>陈秀香</v>
      </c>
    </row>
    <row r="1299" spans="1:4" ht="34.5" customHeight="1">
      <c r="A1299" s="8">
        <v>1297</v>
      </c>
      <c r="B1299" s="9" t="str">
        <f>"54112023062808240476556"</f>
        <v>54112023062808240476556</v>
      </c>
      <c r="C1299" s="9" t="s">
        <v>12</v>
      </c>
      <c r="D1299" s="9" t="str">
        <f>"唐全"</f>
        <v>唐全</v>
      </c>
    </row>
    <row r="1300" spans="1:4" ht="34.5" customHeight="1">
      <c r="A1300" s="8">
        <v>1298</v>
      </c>
      <c r="B1300" s="9" t="str">
        <f>"54112023062610303467074"</f>
        <v>54112023062610303467074</v>
      </c>
      <c r="C1300" s="9" t="s">
        <v>12</v>
      </c>
      <c r="D1300" s="9" t="str">
        <f>"何天晶"</f>
        <v>何天晶</v>
      </c>
    </row>
    <row r="1301" spans="1:4" ht="34.5" customHeight="1">
      <c r="A1301" s="8">
        <v>1299</v>
      </c>
      <c r="B1301" s="9" t="str">
        <f>"54112023062809492776942"</f>
        <v>54112023062809492776942</v>
      </c>
      <c r="C1301" s="9" t="s">
        <v>12</v>
      </c>
      <c r="D1301" s="9" t="str">
        <f>"薛婆保"</f>
        <v>薛婆保</v>
      </c>
    </row>
    <row r="1302" spans="1:4" ht="34.5" customHeight="1">
      <c r="A1302" s="8">
        <v>1300</v>
      </c>
      <c r="B1302" s="9" t="str">
        <f>"54112023062810095977065"</f>
        <v>54112023062810095977065</v>
      </c>
      <c r="C1302" s="9" t="s">
        <v>12</v>
      </c>
      <c r="D1302" s="9" t="str">
        <f>"杜玉枫"</f>
        <v>杜玉枫</v>
      </c>
    </row>
    <row r="1303" spans="1:4" ht="34.5" customHeight="1">
      <c r="A1303" s="8">
        <v>1301</v>
      </c>
      <c r="B1303" s="9" t="str">
        <f>"54112023062810274577171"</f>
        <v>54112023062810274577171</v>
      </c>
      <c r="C1303" s="9" t="s">
        <v>12</v>
      </c>
      <c r="D1303" s="9" t="str">
        <f>"吴婉依"</f>
        <v>吴婉依</v>
      </c>
    </row>
    <row r="1304" spans="1:4" ht="34.5" customHeight="1">
      <c r="A1304" s="8">
        <v>1302</v>
      </c>
      <c r="B1304" s="9" t="str">
        <f>"54112023062808531376663"</f>
        <v>54112023062808531376663</v>
      </c>
      <c r="C1304" s="9" t="s">
        <v>12</v>
      </c>
      <c r="D1304" s="9" t="str">
        <f>"张华"</f>
        <v>张华</v>
      </c>
    </row>
    <row r="1305" spans="1:4" ht="34.5" customHeight="1">
      <c r="A1305" s="8">
        <v>1303</v>
      </c>
      <c r="B1305" s="9" t="str">
        <f>"54112023062811083277405"</f>
        <v>54112023062811083277405</v>
      </c>
      <c r="C1305" s="9" t="s">
        <v>12</v>
      </c>
      <c r="D1305" s="9" t="str">
        <f>"吴丽萍"</f>
        <v>吴丽萍</v>
      </c>
    </row>
    <row r="1306" spans="1:4" ht="34.5" customHeight="1">
      <c r="A1306" s="8">
        <v>1304</v>
      </c>
      <c r="B1306" s="9" t="str">
        <f>"54112023062713262373807"</f>
        <v>54112023062713262373807</v>
      </c>
      <c r="C1306" s="9" t="s">
        <v>12</v>
      </c>
      <c r="D1306" s="9" t="str">
        <f>"吴小英"</f>
        <v>吴小英</v>
      </c>
    </row>
    <row r="1307" spans="1:4" ht="34.5" customHeight="1">
      <c r="A1307" s="8">
        <v>1305</v>
      </c>
      <c r="B1307" s="9" t="str">
        <f>"54112023062811314477540"</f>
        <v>54112023062811314477540</v>
      </c>
      <c r="C1307" s="9" t="s">
        <v>12</v>
      </c>
      <c r="D1307" s="9" t="str">
        <f>"张昕"</f>
        <v>张昕</v>
      </c>
    </row>
    <row r="1308" spans="1:4" ht="34.5" customHeight="1">
      <c r="A1308" s="8">
        <v>1306</v>
      </c>
      <c r="B1308" s="9" t="str">
        <f>"54112023062812023277662"</f>
        <v>54112023062812023277662</v>
      </c>
      <c r="C1308" s="9" t="s">
        <v>12</v>
      </c>
      <c r="D1308" s="9" t="str">
        <f>"黄杏丁"</f>
        <v>黄杏丁</v>
      </c>
    </row>
    <row r="1309" spans="1:4" ht="34.5" customHeight="1">
      <c r="A1309" s="8">
        <v>1307</v>
      </c>
      <c r="B1309" s="9" t="str">
        <f>"54112023062812384477822"</f>
        <v>54112023062812384477822</v>
      </c>
      <c r="C1309" s="9" t="s">
        <v>12</v>
      </c>
      <c r="D1309" s="9" t="str">
        <f>"陈菊"</f>
        <v>陈菊</v>
      </c>
    </row>
    <row r="1310" spans="1:4" ht="34.5" customHeight="1">
      <c r="A1310" s="8">
        <v>1308</v>
      </c>
      <c r="B1310" s="9" t="str">
        <f>"54112023062812410277836"</f>
        <v>54112023062812410277836</v>
      </c>
      <c r="C1310" s="9" t="s">
        <v>12</v>
      </c>
      <c r="D1310" s="9" t="str">
        <f>"范东永"</f>
        <v>范东永</v>
      </c>
    </row>
    <row r="1311" spans="1:4" ht="34.5" customHeight="1">
      <c r="A1311" s="8">
        <v>1309</v>
      </c>
      <c r="B1311" s="9" t="str">
        <f>"54112023062813242277992"</f>
        <v>54112023062813242277992</v>
      </c>
      <c r="C1311" s="9" t="s">
        <v>12</v>
      </c>
      <c r="D1311" s="9" t="str">
        <f>"王春晓"</f>
        <v>王春晓</v>
      </c>
    </row>
    <row r="1312" spans="1:4" ht="34.5" customHeight="1">
      <c r="A1312" s="8">
        <v>1310</v>
      </c>
      <c r="B1312" s="9" t="str">
        <f>"54112023062811445477599"</f>
        <v>54112023062811445477599</v>
      </c>
      <c r="C1312" s="9" t="s">
        <v>12</v>
      </c>
      <c r="D1312" s="9" t="str">
        <f>"林敏"</f>
        <v>林敏</v>
      </c>
    </row>
    <row r="1313" spans="1:4" ht="34.5" customHeight="1">
      <c r="A1313" s="8">
        <v>1311</v>
      </c>
      <c r="B1313" s="9" t="str">
        <f>"54112023062816441478826"</f>
        <v>54112023062816441478826</v>
      </c>
      <c r="C1313" s="9" t="s">
        <v>12</v>
      </c>
      <c r="D1313" s="9" t="str">
        <f>"何小花"</f>
        <v>何小花</v>
      </c>
    </row>
    <row r="1314" spans="1:4" ht="34.5" customHeight="1">
      <c r="A1314" s="8">
        <v>1312</v>
      </c>
      <c r="B1314" s="9" t="str">
        <f>"54112023062816580278886"</f>
        <v>54112023062816580278886</v>
      </c>
      <c r="C1314" s="9" t="s">
        <v>12</v>
      </c>
      <c r="D1314" s="9" t="str">
        <f>"陈婷婷"</f>
        <v>陈婷婷</v>
      </c>
    </row>
    <row r="1315" spans="1:4" ht="34.5" customHeight="1">
      <c r="A1315" s="8">
        <v>1313</v>
      </c>
      <c r="B1315" s="9" t="str">
        <f>"54112023062722341376173"</f>
        <v>54112023062722341376173</v>
      </c>
      <c r="C1315" s="9" t="s">
        <v>12</v>
      </c>
      <c r="D1315" s="9" t="str">
        <f>"黄夏梦"</f>
        <v>黄夏梦</v>
      </c>
    </row>
    <row r="1316" spans="1:4" ht="34.5" customHeight="1">
      <c r="A1316" s="8">
        <v>1314</v>
      </c>
      <c r="B1316" s="9" t="str">
        <f>"54112023062817382079041"</f>
        <v>54112023062817382079041</v>
      </c>
      <c r="C1316" s="9" t="s">
        <v>12</v>
      </c>
      <c r="D1316" s="9" t="str">
        <f>"王妍晶"</f>
        <v>王妍晶</v>
      </c>
    </row>
    <row r="1317" spans="1:4" ht="34.5" customHeight="1">
      <c r="A1317" s="8">
        <v>1315</v>
      </c>
      <c r="B1317" s="9" t="str">
        <f>"54112023062820384679613"</f>
        <v>54112023062820384679613</v>
      </c>
      <c r="C1317" s="9" t="s">
        <v>12</v>
      </c>
      <c r="D1317" s="9" t="str">
        <f>"张惠曼"</f>
        <v>张惠曼</v>
      </c>
    </row>
    <row r="1318" spans="1:4" ht="34.5" customHeight="1">
      <c r="A1318" s="8">
        <v>1316</v>
      </c>
      <c r="B1318" s="9" t="str">
        <f>"54112023062820585679690"</f>
        <v>54112023062820585679690</v>
      </c>
      <c r="C1318" s="9" t="s">
        <v>12</v>
      </c>
      <c r="D1318" s="9" t="str">
        <f>"陈彩蝶"</f>
        <v>陈彩蝶</v>
      </c>
    </row>
    <row r="1319" spans="1:4" ht="34.5" customHeight="1">
      <c r="A1319" s="8">
        <v>1317</v>
      </c>
      <c r="B1319" s="9" t="str">
        <f>"54112023062820561079677"</f>
        <v>54112023062820561079677</v>
      </c>
      <c r="C1319" s="9" t="s">
        <v>12</v>
      </c>
      <c r="D1319" s="9" t="str">
        <f>"周志霞"</f>
        <v>周志霞</v>
      </c>
    </row>
    <row r="1320" spans="1:4" ht="34.5" customHeight="1">
      <c r="A1320" s="8">
        <v>1318</v>
      </c>
      <c r="B1320" s="9" t="str">
        <f>"54112023062821005779697"</f>
        <v>54112023062821005779697</v>
      </c>
      <c r="C1320" s="9" t="s">
        <v>12</v>
      </c>
      <c r="D1320" s="9" t="str">
        <f>"陈银"</f>
        <v>陈银</v>
      </c>
    </row>
    <row r="1321" spans="1:4" ht="34.5" customHeight="1">
      <c r="A1321" s="8">
        <v>1319</v>
      </c>
      <c r="B1321" s="9" t="str">
        <f>"54112023062610495267325"</f>
        <v>54112023062610495267325</v>
      </c>
      <c r="C1321" s="9" t="s">
        <v>12</v>
      </c>
      <c r="D1321" s="9" t="str">
        <f>"温思铭"</f>
        <v>温思铭</v>
      </c>
    </row>
    <row r="1322" spans="1:4" ht="34.5" customHeight="1">
      <c r="A1322" s="8">
        <v>1320</v>
      </c>
      <c r="B1322" s="9" t="str">
        <f>"54112023062812472277873"</f>
        <v>54112023062812472277873</v>
      </c>
      <c r="C1322" s="9" t="s">
        <v>12</v>
      </c>
      <c r="D1322" s="9" t="str">
        <f>"王雨柔"</f>
        <v>王雨柔</v>
      </c>
    </row>
    <row r="1323" spans="1:4" ht="34.5" customHeight="1">
      <c r="A1323" s="8">
        <v>1321</v>
      </c>
      <c r="B1323" s="9" t="str">
        <f>"54112023062615011169068"</f>
        <v>54112023062615011169068</v>
      </c>
      <c r="C1323" s="9" t="s">
        <v>12</v>
      </c>
      <c r="D1323" s="9" t="str">
        <f>"谢克振"</f>
        <v>谢克振</v>
      </c>
    </row>
    <row r="1324" spans="1:4" ht="34.5" customHeight="1">
      <c r="A1324" s="8">
        <v>1322</v>
      </c>
      <c r="B1324" s="9" t="str">
        <f>"54112023062822534780181"</f>
        <v>54112023062822534780181</v>
      </c>
      <c r="C1324" s="9" t="s">
        <v>12</v>
      </c>
      <c r="D1324" s="9" t="str">
        <f>"苏丽"</f>
        <v>苏丽</v>
      </c>
    </row>
    <row r="1325" spans="1:4" ht="34.5" customHeight="1">
      <c r="A1325" s="8">
        <v>1323</v>
      </c>
      <c r="B1325" s="9" t="str">
        <f>"54112023062708273672041"</f>
        <v>54112023062708273672041</v>
      </c>
      <c r="C1325" s="9" t="s">
        <v>12</v>
      </c>
      <c r="D1325" s="9" t="str">
        <f>"陈觉"</f>
        <v>陈觉</v>
      </c>
    </row>
    <row r="1326" spans="1:4" ht="34.5" customHeight="1">
      <c r="A1326" s="8">
        <v>1324</v>
      </c>
      <c r="B1326" s="9" t="str">
        <f>"54112023062608122565321"</f>
        <v>54112023062608122565321</v>
      </c>
      <c r="C1326" s="9" t="s">
        <v>12</v>
      </c>
      <c r="D1326" s="9" t="str">
        <f>"邢燕"</f>
        <v>邢燕</v>
      </c>
    </row>
    <row r="1327" spans="1:4" ht="34.5" customHeight="1">
      <c r="A1327" s="8">
        <v>1325</v>
      </c>
      <c r="B1327" s="9" t="str">
        <f>"54112023062909333581063"</f>
        <v>54112023062909333581063</v>
      </c>
      <c r="C1327" s="9" t="s">
        <v>12</v>
      </c>
      <c r="D1327" s="9" t="str">
        <f>"孙芳焕"</f>
        <v>孙芳焕</v>
      </c>
    </row>
    <row r="1328" spans="1:4" ht="34.5" customHeight="1">
      <c r="A1328" s="8">
        <v>1326</v>
      </c>
      <c r="B1328" s="9" t="str">
        <f>"54112023062910041581367"</f>
        <v>54112023062910041581367</v>
      </c>
      <c r="C1328" s="9" t="s">
        <v>12</v>
      </c>
      <c r="D1328" s="9" t="str">
        <f>"董佳佳"</f>
        <v>董佳佳</v>
      </c>
    </row>
    <row r="1329" spans="1:4" ht="34.5" customHeight="1">
      <c r="A1329" s="8">
        <v>1327</v>
      </c>
      <c r="B1329" s="9" t="str">
        <f>"54112023062910174381512"</f>
        <v>54112023062910174381512</v>
      </c>
      <c r="C1329" s="9" t="s">
        <v>12</v>
      </c>
      <c r="D1329" s="9" t="str">
        <f>"黄玉"</f>
        <v>黄玉</v>
      </c>
    </row>
    <row r="1330" spans="1:4" ht="34.5" customHeight="1">
      <c r="A1330" s="8">
        <v>1328</v>
      </c>
      <c r="B1330" s="9" t="str">
        <f>"54112023062909490581215"</f>
        <v>54112023062909490581215</v>
      </c>
      <c r="C1330" s="9" t="s">
        <v>12</v>
      </c>
      <c r="D1330" s="9" t="str">
        <f>"刘夏雨"</f>
        <v>刘夏雨</v>
      </c>
    </row>
    <row r="1331" spans="1:4" ht="34.5" customHeight="1">
      <c r="A1331" s="8">
        <v>1329</v>
      </c>
      <c r="B1331" s="9" t="str">
        <f>"54112023062721551376064"</f>
        <v>54112023062721551376064</v>
      </c>
      <c r="C1331" s="9" t="s">
        <v>12</v>
      </c>
      <c r="D1331" s="9" t="str">
        <f>"薛姑美"</f>
        <v>薛姑美</v>
      </c>
    </row>
    <row r="1332" spans="1:4" ht="34.5" customHeight="1">
      <c r="A1332" s="8">
        <v>1330</v>
      </c>
      <c r="B1332" s="9" t="str">
        <f>"54112023062910401581730"</f>
        <v>54112023062910401581730</v>
      </c>
      <c r="C1332" s="9" t="s">
        <v>12</v>
      </c>
      <c r="D1332" s="9" t="str">
        <f>"程小燕"</f>
        <v>程小燕</v>
      </c>
    </row>
    <row r="1333" spans="1:4" ht="34.5" customHeight="1">
      <c r="A1333" s="8">
        <v>1331</v>
      </c>
      <c r="B1333" s="9" t="str">
        <f>"54112023062621122871147"</f>
        <v>54112023062621122871147</v>
      </c>
      <c r="C1333" s="9" t="s">
        <v>12</v>
      </c>
      <c r="D1333" s="9" t="str">
        <f>"朱智美"</f>
        <v>朱智美</v>
      </c>
    </row>
    <row r="1334" spans="1:4" ht="34.5" customHeight="1">
      <c r="A1334" s="8">
        <v>1332</v>
      </c>
      <c r="B1334" s="9" t="str">
        <f>"54112023062913031182704"</f>
        <v>54112023062913031182704</v>
      </c>
      <c r="C1334" s="9" t="s">
        <v>12</v>
      </c>
      <c r="D1334" s="9" t="str">
        <f>"陈少宛"</f>
        <v>陈少宛</v>
      </c>
    </row>
    <row r="1335" spans="1:4" ht="34.5" customHeight="1">
      <c r="A1335" s="8">
        <v>1333</v>
      </c>
      <c r="B1335" s="9" t="str">
        <f>"54112023062909522881247"</f>
        <v>54112023062909522881247</v>
      </c>
      <c r="C1335" s="9" t="s">
        <v>12</v>
      </c>
      <c r="D1335" s="9" t="str">
        <f>"王小琼"</f>
        <v>王小琼</v>
      </c>
    </row>
    <row r="1336" spans="1:4" ht="34.5" customHeight="1">
      <c r="A1336" s="8">
        <v>1334</v>
      </c>
      <c r="B1336" s="9" t="str">
        <f>"54112023062915380383534"</f>
        <v>54112023062915380383534</v>
      </c>
      <c r="C1336" s="9" t="s">
        <v>12</v>
      </c>
      <c r="D1336" s="9" t="str">
        <f>"李静"</f>
        <v>李静</v>
      </c>
    </row>
    <row r="1337" spans="1:4" ht="34.5" customHeight="1">
      <c r="A1337" s="8">
        <v>1335</v>
      </c>
      <c r="B1337" s="9" t="str">
        <f>"54112023062720280875708"</f>
        <v>54112023062720280875708</v>
      </c>
      <c r="C1337" s="9" t="s">
        <v>12</v>
      </c>
      <c r="D1337" s="9" t="str">
        <f>"吴承忠"</f>
        <v>吴承忠</v>
      </c>
    </row>
    <row r="1338" spans="1:4" ht="34.5" customHeight="1">
      <c r="A1338" s="8">
        <v>1336</v>
      </c>
      <c r="B1338" s="9" t="str">
        <f>"54112023062909133680872"</f>
        <v>54112023062909133680872</v>
      </c>
      <c r="C1338" s="9" t="s">
        <v>12</v>
      </c>
      <c r="D1338" s="9" t="str">
        <f>"陈丽吉"</f>
        <v>陈丽吉</v>
      </c>
    </row>
    <row r="1339" spans="1:4" ht="34.5" customHeight="1">
      <c r="A1339" s="8">
        <v>1337</v>
      </c>
      <c r="B1339" s="9" t="str">
        <f>"54112023062919060384757"</f>
        <v>54112023062919060384757</v>
      </c>
      <c r="C1339" s="9" t="s">
        <v>12</v>
      </c>
      <c r="D1339" s="9" t="str">
        <f>"王愉"</f>
        <v>王愉</v>
      </c>
    </row>
    <row r="1340" spans="1:4" ht="34.5" customHeight="1">
      <c r="A1340" s="8">
        <v>1338</v>
      </c>
      <c r="B1340" s="9" t="str">
        <f>"54112023062612532768391"</f>
        <v>54112023062612532768391</v>
      </c>
      <c r="C1340" s="9" t="s">
        <v>12</v>
      </c>
      <c r="D1340" s="9" t="str">
        <f>"林雯"</f>
        <v>林雯</v>
      </c>
    </row>
    <row r="1341" spans="1:4" ht="34.5" customHeight="1">
      <c r="A1341" s="8">
        <v>1339</v>
      </c>
      <c r="B1341" s="9" t="str">
        <f>"54112023062921133585479"</f>
        <v>54112023062921133585479</v>
      </c>
      <c r="C1341" s="9" t="s">
        <v>12</v>
      </c>
      <c r="D1341" s="9" t="str">
        <f>"林丽 "</f>
        <v>林丽 </v>
      </c>
    </row>
    <row r="1342" spans="1:4" ht="34.5" customHeight="1">
      <c r="A1342" s="8">
        <v>1340</v>
      </c>
      <c r="B1342" s="9" t="str">
        <f>"54112023062922262385964"</f>
        <v>54112023062922262385964</v>
      </c>
      <c r="C1342" s="9" t="s">
        <v>12</v>
      </c>
      <c r="D1342" s="9" t="str">
        <f>"文海婷"</f>
        <v>文海婷</v>
      </c>
    </row>
    <row r="1343" spans="1:4" ht="34.5" customHeight="1">
      <c r="A1343" s="8">
        <v>1341</v>
      </c>
      <c r="B1343" s="9" t="str">
        <f>"54112023062912462082609"</f>
        <v>54112023062912462082609</v>
      </c>
      <c r="C1343" s="9" t="s">
        <v>12</v>
      </c>
      <c r="D1343" s="9" t="str">
        <f>"林冰芳"</f>
        <v>林冰芳</v>
      </c>
    </row>
    <row r="1344" spans="1:4" ht="34.5" customHeight="1">
      <c r="A1344" s="8">
        <v>1342</v>
      </c>
      <c r="B1344" s="9" t="str">
        <f>"54112023062923595486382"</f>
        <v>54112023062923595486382</v>
      </c>
      <c r="C1344" s="9" t="s">
        <v>12</v>
      </c>
      <c r="D1344" s="9" t="str">
        <f>"符翠向"</f>
        <v>符翠向</v>
      </c>
    </row>
    <row r="1345" spans="1:4" ht="34.5" customHeight="1">
      <c r="A1345" s="8">
        <v>1343</v>
      </c>
      <c r="B1345" s="9" t="str">
        <f>"54112023063009530087312"</f>
        <v>54112023063009530087312</v>
      </c>
      <c r="C1345" s="9" t="s">
        <v>12</v>
      </c>
      <c r="D1345" s="9" t="str">
        <f>"陈文丹"</f>
        <v>陈文丹</v>
      </c>
    </row>
    <row r="1346" spans="1:4" ht="34.5" customHeight="1">
      <c r="A1346" s="8">
        <v>1344</v>
      </c>
      <c r="B1346" s="9" t="str">
        <f>"54112023062709363072432"</f>
        <v>54112023062709363072432</v>
      </c>
      <c r="C1346" s="9" t="s">
        <v>12</v>
      </c>
      <c r="D1346" s="9" t="str">
        <f>"杨雨顺"</f>
        <v>杨雨顺</v>
      </c>
    </row>
    <row r="1347" spans="1:4" ht="34.5" customHeight="1">
      <c r="A1347" s="8">
        <v>1345</v>
      </c>
      <c r="B1347" s="9" t="str">
        <f>"54112023062718394875376"</f>
        <v>54112023062718394875376</v>
      </c>
      <c r="C1347" s="9" t="s">
        <v>12</v>
      </c>
      <c r="D1347" s="9" t="str">
        <f>"何芬"</f>
        <v>何芬</v>
      </c>
    </row>
    <row r="1348" spans="1:4" ht="34.5" customHeight="1">
      <c r="A1348" s="8">
        <v>1346</v>
      </c>
      <c r="B1348" s="9" t="str">
        <f>"54112023063010531887764"</f>
        <v>54112023063010531887764</v>
      </c>
      <c r="C1348" s="9" t="s">
        <v>12</v>
      </c>
      <c r="D1348" s="9" t="str">
        <f>"李丽珠"</f>
        <v>李丽珠</v>
      </c>
    </row>
    <row r="1349" spans="1:4" ht="34.5" customHeight="1">
      <c r="A1349" s="8">
        <v>1347</v>
      </c>
      <c r="B1349" s="9" t="str">
        <f>"54112023062810211477134"</f>
        <v>54112023062810211477134</v>
      </c>
      <c r="C1349" s="9" t="s">
        <v>12</v>
      </c>
      <c r="D1349" s="9" t="str">
        <f>"李珍方"</f>
        <v>李珍方</v>
      </c>
    </row>
    <row r="1350" spans="1:4" ht="34.5" customHeight="1">
      <c r="A1350" s="8">
        <v>1348</v>
      </c>
      <c r="B1350" s="9" t="str">
        <f>"54112023063011572588142"</f>
        <v>54112023063011572588142</v>
      </c>
      <c r="C1350" s="9" t="s">
        <v>12</v>
      </c>
      <c r="D1350" s="9" t="str">
        <f>"陈石蕾"</f>
        <v>陈石蕾</v>
      </c>
    </row>
    <row r="1351" spans="1:4" ht="34.5" customHeight="1">
      <c r="A1351" s="8">
        <v>1349</v>
      </c>
      <c r="B1351" s="9" t="str">
        <f>"54112023062611001867471"</f>
        <v>54112023062611001867471</v>
      </c>
      <c r="C1351" s="9" t="s">
        <v>12</v>
      </c>
      <c r="D1351" s="9" t="str">
        <f>"张玲"</f>
        <v>张玲</v>
      </c>
    </row>
    <row r="1352" spans="1:4" ht="34.5" customHeight="1">
      <c r="A1352" s="8">
        <v>1350</v>
      </c>
      <c r="B1352" s="9" t="str">
        <f>"54112023063014002288847"</f>
        <v>54112023063014002288847</v>
      </c>
      <c r="C1352" s="9" t="s">
        <v>12</v>
      </c>
      <c r="D1352" s="9" t="str">
        <f>"陈英"</f>
        <v>陈英</v>
      </c>
    </row>
    <row r="1353" spans="1:4" ht="34.5" customHeight="1">
      <c r="A1353" s="8">
        <v>1351</v>
      </c>
      <c r="B1353" s="9" t="str">
        <f>"54112023063014344289064"</f>
        <v>54112023063014344289064</v>
      </c>
      <c r="C1353" s="9" t="s">
        <v>12</v>
      </c>
      <c r="D1353" s="9" t="str">
        <f>"王云丽"</f>
        <v>王云丽</v>
      </c>
    </row>
    <row r="1354" spans="1:4" ht="34.5" customHeight="1">
      <c r="A1354" s="8">
        <v>1352</v>
      </c>
      <c r="B1354" s="9" t="str">
        <f>"54112023063015194689431"</f>
        <v>54112023063015194689431</v>
      </c>
      <c r="C1354" s="9" t="s">
        <v>12</v>
      </c>
      <c r="D1354" s="9" t="str">
        <f>"林芳江"</f>
        <v>林芳江</v>
      </c>
    </row>
    <row r="1355" spans="1:4" ht="34.5" customHeight="1">
      <c r="A1355" s="8">
        <v>1353</v>
      </c>
      <c r="B1355" s="9" t="str">
        <f>"54112023063016175989838"</f>
        <v>54112023063016175989838</v>
      </c>
      <c r="C1355" s="9" t="s">
        <v>12</v>
      </c>
      <c r="D1355" s="9" t="str">
        <f>"王朝孟"</f>
        <v>王朝孟</v>
      </c>
    </row>
    <row r="1356" spans="1:4" ht="34.5" customHeight="1">
      <c r="A1356" s="8">
        <v>1354</v>
      </c>
      <c r="B1356" s="9" t="str">
        <f>"54112023062612470068350"</f>
        <v>54112023062612470068350</v>
      </c>
      <c r="C1356" s="9" t="s">
        <v>12</v>
      </c>
      <c r="D1356" s="9" t="str">
        <f>"胡威威"</f>
        <v>胡威威</v>
      </c>
    </row>
    <row r="1357" spans="1:4" ht="34.5" customHeight="1">
      <c r="A1357" s="8">
        <v>1355</v>
      </c>
      <c r="B1357" s="9" t="str">
        <f>"54112023062519340164000"</f>
        <v>54112023062519340164000</v>
      </c>
      <c r="C1357" s="9" t="s">
        <v>12</v>
      </c>
      <c r="D1357" s="9" t="str">
        <f>"谢爱娜"</f>
        <v>谢爱娜</v>
      </c>
    </row>
    <row r="1358" spans="1:4" ht="34.5" customHeight="1">
      <c r="A1358" s="8">
        <v>1356</v>
      </c>
      <c r="B1358" s="9" t="str">
        <f>"54112023063016513889927"</f>
        <v>54112023063016513889927</v>
      </c>
      <c r="C1358" s="9" t="s">
        <v>12</v>
      </c>
      <c r="D1358" s="9" t="str">
        <f>"黎慧芳"</f>
        <v>黎慧芳</v>
      </c>
    </row>
    <row r="1359" spans="1:4" ht="34.5" customHeight="1">
      <c r="A1359" s="8">
        <v>1357</v>
      </c>
      <c r="B1359" s="9" t="str">
        <f>"54112023063017482990047"</f>
        <v>54112023063017482990047</v>
      </c>
      <c r="C1359" s="9" t="s">
        <v>12</v>
      </c>
      <c r="D1359" s="9" t="str">
        <f>"叶小玉"</f>
        <v>叶小玉</v>
      </c>
    </row>
    <row r="1360" spans="1:4" ht="34.5" customHeight="1">
      <c r="A1360" s="8">
        <v>1358</v>
      </c>
      <c r="B1360" s="9" t="str">
        <f>"54112023063013004288516"</f>
        <v>54112023063013004288516</v>
      </c>
      <c r="C1360" s="9" t="s">
        <v>12</v>
      </c>
      <c r="D1360" s="9" t="str">
        <f>"吴文希"</f>
        <v>吴文希</v>
      </c>
    </row>
    <row r="1361" spans="1:4" ht="34.5" customHeight="1">
      <c r="A1361" s="8">
        <v>1359</v>
      </c>
      <c r="B1361" s="9" t="str">
        <f>"54112023063018353190172"</f>
        <v>54112023063018353190172</v>
      </c>
      <c r="C1361" s="9" t="s">
        <v>12</v>
      </c>
      <c r="D1361" s="9" t="str">
        <f>"黄心莉"</f>
        <v>黄心莉</v>
      </c>
    </row>
    <row r="1362" spans="1:4" ht="34.5" customHeight="1">
      <c r="A1362" s="8">
        <v>1360</v>
      </c>
      <c r="B1362" s="9" t="str">
        <f>"54112023063020062590327"</f>
        <v>54112023063020062590327</v>
      </c>
      <c r="C1362" s="9" t="s">
        <v>12</v>
      </c>
      <c r="D1362" s="9" t="str">
        <f>"杨小丹"</f>
        <v>杨小丹</v>
      </c>
    </row>
    <row r="1363" spans="1:4" ht="34.5" customHeight="1">
      <c r="A1363" s="8">
        <v>1361</v>
      </c>
      <c r="B1363" s="9" t="str">
        <f>"54112023063021075390447"</f>
        <v>54112023063021075390447</v>
      </c>
      <c r="C1363" s="9" t="s">
        <v>12</v>
      </c>
      <c r="D1363" s="9" t="str">
        <f>"符玉芬"</f>
        <v>符玉芬</v>
      </c>
    </row>
    <row r="1364" spans="1:4" ht="34.5" customHeight="1">
      <c r="A1364" s="8">
        <v>1362</v>
      </c>
      <c r="B1364" s="9" t="str">
        <f>"54112023063023061590665"</f>
        <v>54112023063023061590665</v>
      </c>
      <c r="C1364" s="9" t="s">
        <v>12</v>
      </c>
      <c r="D1364" s="9" t="str">
        <f>"何蕾"</f>
        <v>何蕾</v>
      </c>
    </row>
    <row r="1365" spans="1:4" ht="34.5" customHeight="1">
      <c r="A1365" s="8">
        <v>1363</v>
      </c>
      <c r="B1365" s="9" t="str">
        <f>"54112023062515405463002"</f>
        <v>54112023062515405463002</v>
      </c>
      <c r="C1365" s="9" t="s">
        <v>12</v>
      </c>
      <c r="D1365" s="9" t="str">
        <f>"陈国靖"</f>
        <v>陈国靖</v>
      </c>
    </row>
    <row r="1366" spans="1:4" ht="34.5" customHeight="1">
      <c r="A1366" s="8">
        <v>1364</v>
      </c>
      <c r="B1366" s="9" t="str">
        <f>"54112023062511040660896"</f>
        <v>54112023062511040660896</v>
      </c>
      <c r="C1366" s="9" t="s">
        <v>12</v>
      </c>
      <c r="D1366" s="9" t="str">
        <f>"丑梦诗"</f>
        <v>丑梦诗</v>
      </c>
    </row>
    <row r="1367" spans="1:4" ht="34.5" customHeight="1">
      <c r="A1367" s="8">
        <v>1365</v>
      </c>
      <c r="B1367" s="9" t="str">
        <f>"54112023070112115391341"</f>
        <v>54112023070112115391341</v>
      </c>
      <c r="C1367" s="9" t="s">
        <v>12</v>
      </c>
      <c r="D1367" s="9" t="str">
        <f>"郭学海"</f>
        <v>郭学海</v>
      </c>
    </row>
    <row r="1368" spans="1:4" ht="34.5" customHeight="1">
      <c r="A1368" s="8">
        <v>1366</v>
      </c>
      <c r="B1368" s="9" t="str">
        <f>"54112023070115384191718"</f>
        <v>54112023070115384191718</v>
      </c>
      <c r="C1368" s="9" t="s">
        <v>12</v>
      </c>
      <c r="D1368" s="9" t="str">
        <f>"莫启燕"</f>
        <v>莫启燕</v>
      </c>
    </row>
    <row r="1369" spans="1:4" ht="34.5" customHeight="1">
      <c r="A1369" s="8">
        <v>1367</v>
      </c>
      <c r="B1369" s="9" t="str">
        <f>"54112023070116443891854"</f>
        <v>54112023070116443891854</v>
      </c>
      <c r="C1369" s="9" t="s">
        <v>12</v>
      </c>
      <c r="D1369" s="9" t="str">
        <f>"陈月维"</f>
        <v>陈月维</v>
      </c>
    </row>
    <row r="1370" spans="1:4" ht="34.5" customHeight="1">
      <c r="A1370" s="8">
        <v>1368</v>
      </c>
      <c r="B1370" s="9" t="str">
        <f>"54112023062808514376657"</f>
        <v>54112023062808514376657</v>
      </c>
      <c r="C1370" s="9" t="s">
        <v>12</v>
      </c>
      <c r="D1370" s="9" t="str">
        <f>"陈静怡"</f>
        <v>陈静怡</v>
      </c>
    </row>
    <row r="1371" spans="1:4" ht="34.5" customHeight="1">
      <c r="A1371" s="8">
        <v>1369</v>
      </c>
      <c r="B1371" s="9" t="str">
        <f>"54112023062810583077358"</f>
        <v>54112023062810583077358</v>
      </c>
      <c r="C1371" s="9" t="s">
        <v>12</v>
      </c>
      <c r="D1371" s="9" t="str">
        <f>"冯婷"</f>
        <v>冯婷</v>
      </c>
    </row>
    <row r="1372" spans="1:4" ht="34.5" customHeight="1">
      <c r="A1372" s="8">
        <v>1370</v>
      </c>
      <c r="B1372" s="9" t="str">
        <f>"54112023070122513192599"</f>
        <v>54112023070122513192599</v>
      </c>
      <c r="C1372" s="9" t="s">
        <v>12</v>
      </c>
      <c r="D1372" s="9" t="str">
        <f>"吴仕娟"</f>
        <v>吴仕娟</v>
      </c>
    </row>
    <row r="1373" spans="1:4" ht="34.5" customHeight="1">
      <c r="A1373" s="8">
        <v>1371</v>
      </c>
      <c r="B1373" s="9" t="str">
        <f>"54112023063023060090663"</f>
        <v>54112023063023060090663</v>
      </c>
      <c r="C1373" s="9" t="s">
        <v>12</v>
      </c>
      <c r="D1373" s="9" t="str">
        <f>"符丽纳"</f>
        <v>符丽纳</v>
      </c>
    </row>
    <row r="1374" spans="1:4" ht="34.5" customHeight="1">
      <c r="A1374" s="8">
        <v>1372</v>
      </c>
      <c r="B1374" s="9" t="str">
        <f>"54112023070200082692722"</f>
        <v>54112023070200082692722</v>
      </c>
      <c r="C1374" s="9" t="s">
        <v>12</v>
      </c>
      <c r="D1374" s="9" t="str">
        <f>"孙婧莹"</f>
        <v>孙婧莹</v>
      </c>
    </row>
    <row r="1375" spans="1:4" ht="34.5" customHeight="1">
      <c r="A1375" s="8">
        <v>1373</v>
      </c>
      <c r="B1375" s="9" t="str">
        <f>"54112023070200333892745"</f>
        <v>54112023070200333892745</v>
      </c>
      <c r="C1375" s="9" t="s">
        <v>12</v>
      </c>
      <c r="D1375" s="9" t="str">
        <f>"王裕銮"</f>
        <v>王裕銮</v>
      </c>
    </row>
    <row r="1376" spans="1:4" ht="34.5" customHeight="1">
      <c r="A1376" s="8">
        <v>1374</v>
      </c>
      <c r="B1376" s="9" t="str">
        <f>"54112023062815430778545"</f>
        <v>54112023062815430778545</v>
      </c>
      <c r="C1376" s="9" t="s">
        <v>12</v>
      </c>
      <c r="D1376" s="9" t="str">
        <f>"石紫艳"</f>
        <v>石紫艳</v>
      </c>
    </row>
    <row r="1377" spans="1:4" ht="34.5" customHeight="1">
      <c r="A1377" s="8">
        <v>1375</v>
      </c>
      <c r="B1377" s="9" t="str">
        <f>"54112023070213564793709"</f>
        <v>54112023070213564793709</v>
      </c>
      <c r="C1377" s="9" t="s">
        <v>12</v>
      </c>
      <c r="D1377" s="9" t="str">
        <f>"林小晶"</f>
        <v>林小晶</v>
      </c>
    </row>
    <row r="1378" spans="1:4" ht="34.5" customHeight="1">
      <c r="A1378" s="8">
        <v>1376</v>
      </c>
      <c r="B1378" s="9" t="str">
        <f>"54112023070216520994151"</f>
        <v>54112023070216520994151</v>
      </c>
      <c r="C1378" s="9" t="s">
        <v>12</v>
      </c>
      <c r="D1378" s="9" t="str">
        <f>"赖晓颖"</f>
        <v>赖晓颖</v>
      </c>
    </row>
    <row r="1379" spans="1:4" ht="34.5" customHeight="1">
      <c r="A1379" s="8">
        <v>1377</v>
      </c>
      <c r="B1379" s="9" t="str">
        <f>"54112023062811155477445"</f>
        <v>54112023062811155477445</v>
      </c>
      <c r="C1379" s="9" t="s">
        <v>12</v>
      </c>
      <c r="D1379" s="9" t="str">
        <f>"苏真"</f>
        <v>苏真</v>
      </c>
    </row>
    <row r="1380" spans="1:4" ht="34.5" customHeight="1">
      <c r="A1380" s="8">
        <v>1378</v>
      </c>
      <c r="B1380" s="9" t="str">
        <f>"54112023070213112793606"</f>
        <v>54112023070213112793606</v>
      </c>
      <c r="C1380" s="9" t="s">
        <v>12</v>
      </c>
      <c r="D1380" s="9" t="str">
        <f>"兰丹利"</f>
        <v>兰丹利</v>
      </c>
    </row>
    <row r="1381" spans="1:4" ht="34.5" customHeight="1">
      <c r="A1381" s="8">
        <v>1379</v>
      </c>
      <c r="B1381" s="9" t="str">
        <f>"54112023070217554494285"</f>
        <v>54112023070217554494285</v>
      </c>
      <c r="C1381" s="9" t="s">
        <v>12</v>
      </c>
      <c r="D1381" s="9" t="str">
        <f>"李盈盈"</f>
        <v>李盈盈</v>
      </c>
    </row>
    <row r="1382" spans="1:4" ht="34.5" customHeight="1">
      <c r="A1382" s="8">
        <v>1380</v>
      </c>
      <c r="B1382" s="9" t="str">
        <f>"54112023070218093794313"</f>
        <v>54112023070218093794313</v>
      </c>
      <c r="C1382" s="9" t="s">
        <v>12</v>
      </c>
      <c r="D1382" s="9" t="str">
        <f>"谢升婕"</f>
        <v>谢升婕</v>
      </c>
    </row>
    <row r="1383" spans="1:4" ht="34.5" customHeight="1">
      <c r="A1383" s="8">
        <v>1381</v>
      </c>
      <c r="B1383" s="9" t="str">
        <f>"54112023070221245394746"</f>
        <v>54112023070221245394746</v>
      </c>
      <c r="C1383" s="9" t="s">
        <v>12</v>
      </c>
      <c r="D1383" s="9" t="str">
        <f>"王丽芳"</f>
        <v>王丽芳</v>
      </c>
    </row>
    <row r="1384" spans="1:4" ht="34.5" customHeight="1">
      <c r="A1384" s="8">
        <v>1382</v>
      </c>
      <c r="B1384" s="9" t="str">
        <f>"54112023070213362593665"</f>
        <v>54112023070213362593665</v>
      </c>
      <c r="C1384" s="9" t="s">
        <v>12</v>
      </c>
      <c r="D1384" s="9" t="str">
        <f>"叶虹艳"</f>
        <v>叶虹艳</v>
      </c>
    </row>
    <row r="1385" spans="1:4" ht="34.5" customHeight="1">
      <c r="A1385" s="8">
        <v>1383</v>
      </c>
      <c r="B1385" s="9" t="str">
        <f>"54112023070221432594806"</f>
        <v>54112023070221432594806</v>
      </c>
      <c r="C1385" s="9" t="s">
        <v>12</v>
      </c>
      <c r="D1385" s="9" t="str">
        <f>"李雅恋"</f>
        <v>李雅恋</v>
      </c>
    </row>
    <row r="1386" spans="1:4" ht="34.5" customHeight="1">
      <c r="A1386" s="8">
        <v>1384</v>
      </c>
      <c r="B1386" s="9" t="str">
        <f>"54112023070222075394877"</f>
        <v>54112023070222075394877</v>
      </c>
      <c r="C1386" s="9" t="s">
        <v>12</v>
      </c>
      <c r="D1386" s="9" t="str">
        <f>"唐杨柳"</f>
        <v>唐杨柳</v>
      </c>
    </row>
    <row r="1387" spans="1:4" ht="34.5" customHeight="1">
      <c r="A1387" s="8">
        <v>1385</v>
      </c>
      <c r="B1387" s="9" t="str">
        <f>"54112023070222185394914"</f>
        <v>54112023070222185394914</v>
      </c>
      <c r="C1387" s="9" t="s">
        <v>12</v>
      </c>
      <c r="D1387" s="9" t="str">
        <f>"高朝玲"</f>
        <v>高朝玲</v>
      </c>
    </row>
    <row r="1388" spans="1:4" ht="34.5" customHeight="1">
      <c r="A1388" s="8">
        <v>1386</v>
      </c>
      <c r="B1388" s="9" t="str">
        <f>"54112023062909225880966"</f>
        <v>54112023062909225880966</v>
      </c>
      <c r="C1388" s="9" t="s">
        <v>12</v>
      </c>
      <c r="D1388" s="9" t="str">
        <f>"林慧敏"</f>
        <v>林慧敏</v>
      </c>
    </row>
    <row r="1389" spans="1:4" ht="34.5" customHeight="1">
      <c r="A1389" s="8">
        <v>1387</v>
      </c>
      <c r="B1389" s="9" t="str">
        <f>"54112023062509114359909"</f>
        <v>54112023062509114359909</v>
      </c>
      <c r="C1389" s="9" t="s">
        <v>12</v>
      </c>
      <c r="D1389" s="9" t="str">
        <f>"林先燕"</f>
        <v>林先燕</v>
      </c>
    </row>
    <row r="1390" spans="1:4" ht="34.5" customHeight="1">
      <c r="A1390" s="8">
        <v>1388</v>
      </c>
      <c r="B1390" s="9" t="str">
        <f>"54112023070309334495812"</f>
        <v>54112023070309334495812</v>
      </c>
      <c r="C1390" s="9" t="s">
        <v>12</v>
      </c>
      <c r="D1390" s="9" t="str">
        <f>"唐梦菊"</f>
        <v>唐梦菊</v>
      </c>
    </row>
    <row r="1391" spans="1:4" ht="34.5" customHeight="1">
      <c r="A1391" s="8">
        <v>1389</v>
      </c>
      <c r="B1391" s="9" t="str">
        <f>"54112023062817100678933"</f>
        <v>54112023062817100678933</v>
      </c>
      <c r="C1391" s="9" t="s">
        <v>12</v>
      </c>
      <c r="D1391" s="9" t="str">
        <f>"杨婷"</f>
        <v>杨婷</v>
      </c>
    </row>
    <row r="1392" spans="1:4" ht="34.5" customHeight="1">
      <c r="A1392" s="8">
        <v>1390</v>
      </c>
      <c r="B1392" s="9" t="str">
        <f>"54112023070113584391552"</f>
        <v>54112023070113584391552</v>
      </c>
      <c r="C1392" s="9" t="s">
        <v>12</v>
      </c>
      <c r="D1392" s="9" t="str">
        <f>"陈婷"</f>
        <v>陈婷</v>
      </c>
    </row>
    <row r="1393" spans="1:4" ht="34.5" customHeight="1">
      <c r="A1393" s="8">
        <v>1391</v>
      </c>
      <c r="B1393" s="9" t="str">
        <f>"54112023070310491796439"</f>
        <v>54112023070310491796439</v>
      </c>
      <c r="C1393" s="9" t="s">
        <v>12</v>
      </c>
      <c r="D1393" s="9" t="str">
        <f>"黄丽升"</f>
        <v>黄丽升</v>
      </c>
    </row>
    <row r="1394" spans="1:4" ht="34.5" customHeight="1">
      <c r="A1394" s="8">
        <v>1392</v>
      </c>
      <c r="B1394" s="9" t="str">
        <f>"54112023062809385276900"</f>
        <v>54112023062809385276900</v>
      </c>
      <c r="C1394" s="9" t="s">
        <v>12</v>
      </c>
      <c r="D1394" s="9" t="str">
        <f>"陈木萍"</f>
        <v>陈木萍</v>
      </c>
    </row>
    <row r="1395" spans="1:4" ht="34.5" customHeight="1">
      <c r="A1395" s="8">
        <v>1393</v>
      </c>
      <c r="B1395" s="9" t="str">
        <f>"54112023070310500696444"</f>
        <v>54112023070310500696444</v>
      </c>
      <c r="C1395" s="9" t="s">
        <v>12</v>
      </c>
      <c r="D1395" s="9" t="str">
        <f>"吴小燕"</f>
        <v>吴小燕</v>
      </c>
    </row>
    <row r="1396" spans="1:4" ht="34.5" customHeight="1">
      <c r="A1396" s="8">
        <v>1394</v>
      </c>
      <c r="B1396" s="9" t="str">
        <f>"54112023070311361196758"</f>
        <v>54112023070311361196758</v>
      </c>
      <c r="C1396" s="9" t="s">
        <v>12</v>
      </c>
      <c r="D1396" s="9" t="str">
        <f>"许露娜"</f>
        <v>许露娜</v>
      </c>
    </row>
    <row r="1397" spans="1:4" ht="34.5" customHeight="1">
      <c r="A1397" s="8">
        <v>1395</v>
      </c>
      <c r="B1397" s="9" t="str">
        <f>"54112023062609360166192"</f>
        <v>54112023062609360166192</v>
      </c>
      <c r="C1397" s="9" t="s">
        <v>12</v>
      </c>
      <c r="D1397" s="9" t="str">
        <f>"陈雅萍"</f>
        <v>陈雅萍</v>
      </c>
    </row>
    <row r="1398" spans="1:4" ht="34.5" customHeight="1">
      <c r="A1398" s="8">
        <v>1396</v>
      </c>
      <c r="B1398" s="9" t="str">
        <f>"54112023070313363297432"</f>
        <v>54112023070313363297432</v>
      </c>
      <c r="C1398" s="9" t="s">
        <v>12</v>
      </c>
      <c r="D1398" s="9" t="str">
        <f>"陈红霞"</f>
        <v>陈红霞</v>
      </c>
    </row>
    <row r="1399" spans="1:4" ht="34.5" customHeight="1">
      <c r="A1399" s="8">
        <v>1397</v>
      </c>
      <c r="B1399" s="9" t="str">
        <f>"54112023070313355497429"</f>
        <v>54112023070313355497429</v>
      </c>
      <c r="C1399" s="9" t="s">
        <v>12</v>
      </c>
      <c r="D1399" s="9" t="str">
        <f>"郑来南"</f>
        <v>郑来南</v>
      </c>
    </row>
    <row r="1400" spans="1:4" ht="34.5" customHeight="1">
      <c r="A1400" s="8">
        <v>1398</v>
      </c>
      <c r="B1400" s="9" t="str">
        <f>"54112023070313553497505"</f>
        <v>54112023070313553497505</v>
      </c>
      <c r="C1400" s="9" t="s">
        <v>12</v>
      </c>
      <c r="D1400" s="9" t="str">
        <f>"林道萍"</f>
        <v>林道萍</v>
      </c>
    </row>
    <row r="1401" spans="1:4" ht="34.5" customHeight="1">
      <c r="A1401" s="8">
        <v>1399</v>
      </c>
      <c r="B1401" s="9" t="str">
        <f>"54112023063012591688513"</f>
        <v>54112023063012591688513</v>
      </c>
      <c r="C1401" s="9" t="s">
        <v>12</v>
      </c>
      <c r="D1401" s="9" t="str">
        <f>"吴莹莹"</f>
        <v>吴莹莹</v>
      </c>
    </row>
    <row r="1402" spans="1:4" ht="34.5" customHeight="1">
      <c r="A1402" s="8">
        <v>1400</v>
      </c>
      <c r="B1402" s="9" t="str">
        <f>"54112023063015101689356"</f>
        <v>54112023063015101689356</v>
      </c>
      <c r="C1402" s="9" t="s">
        <v>12</v>
      </c>
      <c r="D1402" s="9" t="str">
        <f>"王梦娜"</f>
        <v>王梦娜</v>
      </c>
    </row>
    <row r="1403" spans="1:4" ht="34.5" customHeight="1">
      <c r="A1403" s="8">
        <v>1401</v>
      </c>
      <c r="B1403" s="9" t="str">
        <f>"54112023070313525597493"</f>
        <v>54112023070313525597493</v>
      </c>
      <c r="C1403" s="9" t="s">
        <v>12</v>
      </c>
      <c r="D1403" s="9" t="str">
        <f>"唐怡康"</f>
        <v>唐怡康</v>
      </c>
    </row>
    <row r="1404" spans="1:4" ht="34.5" customHeight="1">
      <c r="A1404" s="8">
        <v>1402</v>
      </c>
      <c r="B1404" s="9" t="str">
        <f>"54112023070313141097343"</f>
        <v>54112023070313141097343</v>
      </c>
      <c r="C1404" s="9" t="s">
        <v>12</v>
      </c>
      <c r="D1404" s="9" t="str">
        <f>"潘小婷"</f>
        <v>潘小婷</v>
      </c>
    </row>
    <row r="1405" spans="1:4" ht="34.5" customHeight="1">
      <c r="A1405" s="8">
        <v>1403</v>
      </c>
      <c r="B1405" s="9" t="str">
        <f>"54112023070311031596548"</f>
        <v>54112023070311031596548</v>
      </c>
      <c r="C1405" s="9" t="s">
        <v>12</v>
      </c>
      <c r="D1405" s="9" t="str">
        <f>"陈太婷"</f>
        <v>陈太婷</v>
      </c>
    </row>
    <row r="1406" spans="1:4" ht="34.5" customHeight="1">
      <c r="A1406" s="8">
        <v>1404</v>
      </c>
      <c r="B1406" s="9" t="str">
        <f>"54112023070316322298353"</f>
        <v>54112023070316322298353</v>
      </c>
      <c r="C1406" s="9" t="s">
        <v>12</v>
      </c>
      <c r="D1406" s="9" t="str">
        <f>"林晓娜"</f>
        <v>林晓娜</v>
      </c>
    </row>
    <row r="1407" spans="1:4" ht="34.5" customHeight="1">
      <c r="A1407" s="8">
        <v>1405</v>
      </c>
      <c r="B1407" s="9" t="str">
        <f>"54112023070316484798452"</f>
        <v>54112023070316484798452</v>
      </c>
      <c r="C1407" s="9" t="s">
        <v>12</v>
      </c>
      <c r="D1407" s="9" t="str">
        <f>"何芳杏"</f>
        <v>何芳杏</v>
      </c>
    </row>
    <row r="1408" spans="1:4" ht="34.5" customHeight="1">
      <c r="A1408" s="8">
        <v>1406</v>
      </c>
      <c r="B1408" s="9" t="str">
        <f>"54112023070317501698756"</f>
        <v>54112023070317501698756</v>
      </c>
      <c r="C1408" s="9" t="s">
        <v>12</v>
      </c>
      <c r="D1408" s="9" t="str">
        <f>"石秀慧"</f>
        <v>石秀慧</v>
      </c>
    </row>
    <row r="1409" spans="1:4" ht="34.5" customHeight="1">
      <c r="A1409" s="8">
        <v>1407</v>
      </c>
      <c r="B1409" s="9" t="str">
        <f>"54112023070318274998890"</f>
        <v>54112023070318274998890</v>
      </c>
      <c r="C1409" s="9" t="s">
        <v>12</v>
      </c>
      <c r="D1409" s="9" t="str">
        <f>"邱昌倩"</f>
        <v>邱昌倩</v>
      </c>
    </row>
    <row r="1410" spans="1:4" ht="34.5" customHeight="1">
      <c r="A1410" s="8">
        <v>1408</v>
      </c>
      <c r="B1410" s="9" t="str">
        <f>"54112023070321150099609"</f>
        <v>54112023070321150099609</v>
      </c>
      <c r="C1410" s="9" t="s">
        <v>12</v>
      </c>
      <c r="D1410" s="9" t="str">
        <f>"陈青意"</f>
        <v>陈青意</v>
      </c>
    </row>
    <row r="1411" spans="1:4" ht="34.5" customHeight="1">
      <c r="A1411" s="8">
        <v>1409</v>
      </c>
      <c r="B1411" s="9" t="str">
        <f>"54112023062716041974382"</f>
        <v>54112023062716041974382</v>
      </c>
      <c r="C1411" s="9" t="s">
        <v>12</v>
      </c>
      <c r="D1411" s="9" t="str">
        <f>"谭珊妮"</f>
        <v>谭珊妮</v>
      </c>
    </row>
    <row r="1412" spans="1:4" ht="34.5" customHeight="1">
      <c r="A1412" s="8">
        <v>1410</v>
      </c>
      <c r="B1412" s="9" t="str">
        <f>"54112023070321300099692"</f>
        <v>54112023070321300099692</v>
      </c>
      <c r="C1412" s="9" t="s">
        <v>12</v>
      </c>
      <c r="D1412" s="9" t="str">
        <f>"黄雪艳"</f>
        <v>黄雪艳</v>
      </c>
    </row>
    <row r="1413" spans="1:4" ht="34.5" customHeight="1">
      <c r="A1413" s="8">
        <v>1411</v>
      </c>
      <c r="B1413" s="9" t="str">
        <f>"54112023070321512099797"</f>
        <v>54112023070321512099797</v>
      </c>
      <c r="C1413" s="9" t="s">
        <v>12</v>
      </c>
      <c r="D1413" s="9" t="str">
        <f>"陈明"</f>
        <v>陈明</v>
      </c>
    </row>
    <row r="1414" spans="1:4" ht="34.5" customHeight="1">
      <c r="A1414" s="8">
        <v>1412</v>
      </c>
      <c r="B1414" s="9" t="str">
        <f>"54112023070309171695657"</f>
        <v>54112023070309171695657</v>
      </c>
      <c r="C1414" s="9" t="s">
        <v>12</v>
      </c>
      <c r="D1414" s="9" t="str">
        <f>"杨媛媛"</f>
        <v>杨媛媛</v>
      </c>
    </row>
    <row r="1415" spans="1:4" ht="34.5" customHeight="1">
      <c r="A1415" s="8">
        <v>1413</v>
      </c>
      <c r="B1415" s="9" t="str">
        <f>"541120230703224317100040"</f>
        <v>541120230703224317100040</v>
      </c>
      <c r="C1415" s="9" t="s">
        <v>12</v>
      </c>
      <c r="D1415" s="9" t="str">
        <f>"王明珠"</f>
        <v>王明珠</v>
      </c>
    </row>
    <row r="1416" spans="1:4" ht="34.5" customHeight="1">
      <c r="A1416" s="8">
        <v>1414</v>
      </c>
      <c r="B1416" s="9" t="str">
        <f>"541120230703225951100109"</f>
        <v>541120230703225951100109</v>
      </c>
      <c r="C1416" s="9" t="s">
        <v>12</v>
      </c>
      <c r="D1416" s="9" t="str">
        <f>"倪娇娇"</f>
        <v>倪娇娇</v>
      </c>
    </row>
    <row r="1417" spans="1:4" ht="34.5" customHeight="1">
      <c r="A1417" s="8">
        <v>1415</v>
      </c>
      <c r="B1417" s="9" t="str">
        <f>"541120230703232939100200"</f>
        <v>541120230703232939100200</v>
      </c>
      <c r="C1417" s="9" t="s">
        <v>12</v>
      </c>
      <c r="D1417" s="9" t="str">
        <f>"林爽"</f>
        <v>林爽</v>
      </c>
    </row>
    <row r="1418" spans="1:4" ht="34.5" customHeight="1">
      <c r="A1418" s="8">
        <v>1416</v>
      </c>
      <c r="B1418" s="9" t="str">
        <f>"541120230703234612100249"</f>
        <v>541120230703234612100249</v>
      </c>
      <c r="C1418" s="9" t="s">
        <v>12</v>
      </c>
      <c r="D1418" s="9" t="str">
        <f>"唐琳玲"</f>
        <v>唐琳玲</v>
      </c>
    </row>
    <row r="1419" spans="1:4" ht="34.5" customHeight="1">
      <c r="A1419" s="8">
        <v>1417</v>
      </c>
      <c r="B1419" s="9" t="str">
        <f>"54112023070315441698067"</f>
        <v>54112023070315441698067</v>
      </c>
      <c r="C1419" s="9" t="s">
        <v>12</v>
      </c>
      <c r="D1419" s="9" t="str">
        <f>"林发坤"</f>
        <v>林发坤</v>
      </c>
    </row>
    <row r="1420" spans="1:4" ht="34.5" customHeight="1">
      <c r="A1420" s="8">
        <v>1418</v>
      </c>
      <c r="B1420" s="9" t="str">
        <f>"541120230704001419100311"</f>
        <v>541120230704001419100311</v>
      </c>
      <c r="C1420" s="9" t="s">
        <v>12</v>
      </c>
      <c r="D1420" s="9" t="str">
        <f>"吴美萍"</f>
        <v>吴美萍</v>
      </c>
    </row>
    <row r="1421" spans="1:4" ht="34.5" customHeight="1">
      <c r="A1421" s="8">
        <v>1419</v>
      </c>
      <c r="B1421" s="9" t="str">
        <f>"541120230704083421100598"</f>
        <v>541120230704083421100598</v>
      </c>
      <c r="C1421" s="9" t="s">
        <v>12</v>
      </c>
      <c r="D1421" s="9" t="str">
        <f>"麦娇燕"</f>
        <v>麦娇燕</v>
      </c>
    </row>
    <row r="1422" spans="1:4" ht="34.5" customHeight="1">
      <c r="A1422" s="8">
        <v>1420</v>
      </c>
      <c r="B1422" s="9" t="str">
        <f>"541120230704082901100583"</f>
        <v>541120230704082901100583</v>
      </c>
      <c r="C1422" s="9" t="s">
        <v>12</v>
      </c>
      <c r="D1422" s="9" t="str">
        <f>"吴淑玲"</f>
        <v>吴淑玲</v>
      </c>
    </row>
    <row r="1423" spans="1:4" ht="34.5" customHeight="1">
      <c r="A1423" s="8">
        <v>1421</v>
      </c>
      <c r="B1423" s="9" t="str">
        <f>"541120230704101923101061"</f>
        <v>541120230704101923101061</v>
      </c>
      <c r="C1423" s="9" t="s">
        <v>12</v>
      </c>
      <c r="D1423" s="9" t="str">
        <f>"符冬雨"</f>
        <v>符冬雨</v>
      </c>
    </row>
    <row r="1424" spans="1:4" ht="34.5" customHeight="1">
      <c r="A1424" s="8">
        <v>1422</v>
      </c>
      <c r="B1424" s="9" t="str">
        <f>"541120230704091911100805"</f>
        <v>541120230704091911100805</v>
      </c>
      <c r="C1424" s="9" t="s">
        <v>12</v>
      </c>
      <c r="D1424" s="9" t="str">
        <f>"林彩红"</f>
        <v>林彩红</v>
      </c>
    </row>
    <row r="1425" spans="1:4" ht="34.5" customHeight="1">
      <c r="A1425" s="8">
        <v>1423</v>
      </c>
      <c r="B1425" s="9" t="str">
        <f>"541120230704101810101042"</f>
        <v>541120230704101810101042</v>
      </c>
      <c r="C1425" s="9" t="s">
        <v>12</v>
      </c>
      <c r="D1425" s="9" t="str">
        <f>"王玉敏"</f>
        <v>王玉敏</v>
      </c>
    </row>
    <row r="1426" spans="1:4" ht="34.5" customHeight="1">
      <c r="A1426" s="8">
        <v>1424</v>
      </c>
      <c r="B1426" s="9" t="str">
        <f>"541120230704111507101403"</f>
        <v>541120230704111507101403</v>
      </c>
      <c r="C1426" s="9" t="s">
        <v>12</v>
      </c>
      <c r="D1426" s="9" t="str">
        <f>"林婧娇"</f>
        <v>林婧娇</v>
      </c>
    </row>
    <row r="1427" spans="1:4" ht="34.5" customHeight="1">
      <c r="A1427" s="8">
        <v>1425</v>
      </c>
      <c r="B1427" s="9" t="str">
        <f>"54112023062612095968133"</f>
        <v>54112023062612095968133</v>
      </c>
      <c r="C1427" s="9" t="s">
        <v>12</v>
      </c>
      <c r="D1427" s="9" t="str">
        <f>"王彩琳"</f>
        <v>王彩琳</v>
      </c>
    </row>
    <row r="1428" spans="1:4" ht="34.5" customHeight="1">
      <c r="A1428" s="8">
        <v>1426</v>
      </c>
      <c r="B1428" s="9" t="str">
        <f>"54112023062509045759820"</f>
        <v>54112023062509045759820</v>
      </c>
      <c r="C1428" s="9" t="s">
        <v>13</v>
      </c>
      <c r="D1428" s="9" t="str">
        <f>"纪新杨"</f>
        <v>纪新杨</v>
      </c>
    </row>
    <row r="1429" spans="1:4" ht="34.5" customHeight="1">
      <c r="A1429" s="8">
        <v>1427</v>
      </c>
      <c r="B1429" s="9" t="str">
        <f>"54112023062508442359697"</f>
        <v>54112023062508442359697</v>
      </c>
      <c r="C1429" s="9" t="s">
        <v>13</v>
      </c>
      <c r="D1429" s="9" t="str">
        <f>"陈依莎"</f>
        <v>陈依莎</v>
      </c>
    </row>
    <row r="1430" spans="1:4" ht="34.5" customHeight="1">
      <c r="A1430" s="8">
        <v>1428</v>
      </c>
      <c r="B1430" s="9" t="str">
        <f>"54112023062509531160332"</f>
        <v>54112023062509531160332</v>
      </c>
      <c r="C1430" s="9" t="s">
        <v>13</v>
      </c>
      <c r="D1430" s="9" t="str">
        <f>"王超敏"</f>
        <v>王超敏</v>
      </c>
    </row>
    <row r="1431" spans="1:4" ht="34.5" customHeight="1">
      <c r="A1431" s="8">
        <v>1429</v>
      </c>
      <c r="B1431" s="9" t="str">
        <f>"54112023062510205460587"</f>
        <v>54112023062510205460587</v>
      </c>
      <c r="C1431" s="9" t="s">
        <v>13</v>
      </c>
      <c r="D1431" s="9" t="str">
        <f>"陈春平"</f>
        <v>陈春平</v>
      </c>
    </row>
    <row r="1432" spans="1:4" ht="34.5" customHeight="1">
      <c r="A1432" s="8">
        <v>1430</v>
      </c>
      <c r="B1432" s="9" t="str">
        <f>"54112023062509260360058"</f>
        <v>54112023062509260360058</v>
      </c>
      <c r="C1432" s="9" t="s">
        <v>13</v>
      </c>
      <c r="D1432" s="9" t="str">
        <f>"高菁"</f>
        <v>高菁</v>
      </c>
    </row>
    <row r="1433" spans="1:4" ht="34.5" customHeight="1">
      <c r="A1433" s="8">
        <v>1431</v>
      </c>
      <c r="B1433" s="9" t="str">
        <f>"54112023062511480561635"</f>
        <v>54112023062511480561635</v>
      </c>
      <c r="C1433" s="9" t="s">
        <v>13</v>
      </c>
      <c r="D1433" s="9" t="str">
        <f>" 邢丹云"</f>
        <v> 邢丹云</v>
      </c>
    </row>
    <row r="1434" spans="1:4" ht="34.5" customHeight="1">
      <c r="A1434" s="8">
        <v>1432</v>
      </c>
      <c r="B1434" s="9" t="str">
        <f>"54112023062511303461084"</f>
        <v>54112023062511303461084</v>
      </c>
      <c r="C1434" s="9" t="s">
        <v>13</v>
      </c>
      <c r="D1434" s="9" t="str">
        <f>"吉训通"</f>
        <v>吉训通</v>
      </c>
    </row>
    <row r="1435" spans="1:4" ht="34.5" customHeight="1">
      <c r="A1435" s="8">
        <v>1433</v>
      </c>
      <c r="B1435" s="9" t="str">
        <f>"54112023062508564659750"</f>
        <v>54112023062508564659750</v>
      </c>
      <c r="C1435" s="9" t="s">
        <v>13</v>
      </c>
      <c r="D1435" s="9" t="str">
        <f>"李谷雨"</f>
        <v>李谷雨</v>
      </c>
    </row>
    <row r="1436" spans="1:4" ht="34.5" customHeight="1">
      <c r="A1436" s="8">
        <v>1434</v>
      </c>
      <c r="B1436" s="9" t="str">
        <f>"54112023062509493360296"</f>
        <v>54112023062509493360296</v>
      </c>
      <c r="C1436" s="9" t="s">
        <v>13</v>
      </c>
      <c r="D1436" s="9" t="str">
        <f>"李静姣"</f>
        <v>李静姣</v>
      </c>
    </row>
    <row r="1437" spans="1:4" ht="34.5" customHeight="1">
      <c r="A1437" s="8">
        <v>1435</v>
      </c>
      <c r="B1437" s="9" t="str">
        <f>"54112023062511324161098"</f>
        <v>54112023062511324161098</v>
      </c>
      <c r="C1437" s="9" t="s">
        <v>13</v>
      </c>
      <c r="D1437" s="9" t="str">
        <f>"张思琳"</f>
        <v>张思琳</v>
      </c>
    </row>
    <row r="1438" spans="1:4" ht="34.5" customHeight="1">
      <c r="A1438" s="8">
        <v>1436</v>
      </c>
      <c r="B1438" s="9" t="str">
        <f>"54112023062514071162424"</f>
        <v>54112023062514071162424</v>
      </c>
      <c r="C1438" s="9" t="s">
        <v>13</v>
      </c>
      <c r="D1438" s="9" t="str">
        <f>"马晓筠"</f>
        <v>马晓筠</v>
      </c>
    </row>
    <row r="1439" spans="1:4" ht="34.5" customHeight="1">
      <c r="A1439" s="8">
        <v>1437</v>
      </c>
      <c r="B1439" s="9" t="str">
        <f>"54112023062518035763678"</f>
        <v>54112023062518035763678</v>
      </c>
      <c r="C1439" s="9" t="s">
        <v>13</v>
      </c>
      <c r="D1439" s="9" t="str">
        <f>"麦琪琪"</f>
        <v>麦琪琪</v>
      </c>
    </row>
    <row r="1440" spans="1:4" ht="34.5" customHeight="1">
      <c r="A1440" s="8">
        <v>1438</v>
      </c>
      <c r="B1440" s="9" t="str">
        <f>"54112023062518422563808"</f>
        <v>54112023062518422563808</v>
      </c>
      <c r="C1440" s="9" t="s">
        <v>13</v>
      </c>
      <c r="D1440" s="9" t="str">
        <f>"符美月"</f>
        <v>符美月</v>
      </c>
    </row>
    <row r="1441" spans="1:4" ht="34.5" customHeight="1">
      <c r="A1441" s="8">
        <v>1439</v>
      </c>
      <c r="B1441" s="9" t="str">
        <f>"54112023062520130364157"</f>
        <v>54112023062520130364157</v>
      </c>
      <c r="C1441" s="9" t="s">
        <v>13</v>
      </c>
      <c r="D1441" s="9" t="str">
        <f>"陈萍"</f>
        <v>陈萍</v>
      </c>
    </row>
    <row r="1442" spans="1:4" ht="34.5" customHeight="1">
      <c r="A1442" s="8">
        <v>1440</v>
      </c>
      <c r="B1442" s="9" t="str">
        <f>"54112023062521173964475"</f>
        <v>54112023062521173964475</v>
      </c>
      <c r="C1442" s="9" t="s">
        <v>13</v>
      </c>
      <c r="D1442" s="9" t="str">
        <f>"冯倩"</f>
        <v>冯倩</v>
      </c>
    </row>
    <row r="1443" spans="1:4" ht="34.5" customHeight="1">
      <c r="A1443" s="8">
        <v>1441</v>
      </c>
      <c r="B1443" s="9" t="str">
        <f>"54112023062521254664516"</f>
        <v>54112023062521254664516</v>
      </c>
      <c r="C1443" s="9" t="s">
        <v>13</v>
      </c>
      <c r="D1443" s="9" t="str">
        <f>"符传雄"</f>
        <v>符传雄</v>
      </c>
    </row>
    <row r="1444" spans="1:4" ht="34.5" customHeight="1">
      <c r="A1444" s="8">
        <v>1442</v>
      </c>
      <c r="B1444" s="9" t="str">
        <f>"54112023062520375064265"</f>
        <v>54112023062520375064265</v>
      </c>
      <c r="C1444" s="9" t="s">
        <v>13</v>
      </c>
      <c r="D1444" s="9" t="str">
        <f>"唐传良"</f>
        <v>唐传良</v>
      </c>
    </row>
    <row r="1445" spans="1:4" ht="34.5" customHeight="1">
      <c r="A1445" s="8">
        <v>1443</v>
      </c>
      <c r="B1445" s="9" t="str">
        <f>"54112023062522503264873"</f>
        <v>54112023062522503264873</v>
      </c>
      <c r="C1445" s="9" t="s">
        <v>13</v>
      </c>
      <c r="D1445" s="9" t="str">
        <f>"薛梅娟"</f>
        <v>薛梅娟</v>
      </c>
    </row>
    <row r="1446" spans="1:4" ht="34.5" customHeight="1">
      <c r="A1446" s="8">
        <v>1444</v>
      </c>
      <c r="B1446" s="9" t="str">
        <f>"54112023062523085364933"</f>
        <v>54112023062523085364933</v>
      </c>
      <c r="C1446" s="9" t="s">
        <v>13</v>
      </c>
      <c r="D1446" s="9" t="str">
        <f>"周潮敏"</f>
        <v>周潮敏</v>
      </c>
    </row>
    <row r="1447" spans="1:4" ht="34.5" customHeight="1">
      <c r="A1447" s="8">
        <v>1445</v>
      </c>
      <c r="B1447" s="9" t="str">
        <f>"54112023062600583365148"</f>
        <v>54112023062600583365148</v>
      </c>
      <c r="C1447" s="9" t="s">
        <v>13</v>
      </c>
      <c r="D1447" s="9" t="str">
        <f>"骆华转"</f>
        <v>骆华转</v>
      </c>
    </row>
    <row r="1448" spans="1:4" ht="34.5" customHeight="1">
      <c r="A1448" s="8">
        <v>1446</v>
      </c>
      <c r="B1448" s="9" t="str">
        <f>"54112023062609201965917"</f>
        <v>54112023062609201965917</v>
      </c>
      <c r="C1448" s="9" t="s">
        <v>13</v>
      </c>
      <c r="D1448" s="9" t="str">
        <f>"林才钰"</f>
        <v>林才钰</v>
      </c>
    </row>
    <row r="1449" spans="1:4" ht="34.5" customHeight="1">
      <c r="A1449" s="8">
        <v>1447</v>
      </c>
      <c r="B1449" s="9" t="str">
        <f>"54112023062609143965808"</f>
        <v>54112023062609143965808</v>
      </c>
      <c r="C1449" s="9" t="s">
        <v>13</v>
      </c>
      <c r="D1449" s="9" t="str">
        <f>"李仲彦"</f>
        <v>李仲彦</v>
      </c>
    </row>
    <row r="1450" spans="1:4" ht="34.5" customHeight="1">
      <c r="A1450" s="8">
        <v>1448</v>
      </c>
      <c r="B1450" s="9" t="str">
        <f>"54112023062609050865634"</f>
        <v>54112023062609050865634</v>
      </c>
      <c r="C1450" s="9" t="s">
        <v>13</v>
      </c>
      <c r="D1450" s="9" t="str">
        <f>"苏文珊"</f>
        <v>苏文珊</v>
      </c>
    </row>
    <row r="1451" spans="1:4" ht="34.5" customHeight="1">
      <c r="A1451" s="8">
        <v>1449</v>
      </c>
      <c r="B1451" s="9" t="str">
        <f>"54112023062514592862722"</f>
        <v>54112023062514592862722</v>
      </c>
      <c r="C1451" s="9" t="s">
        <v>13</v>
      </c>
      <c r="D1451" s="9" t="str">
        <f>"何壮高"</f>
        <v>何壮高</v>
      </c>
    </row>
    <row r="1452" spans="1:4" ht="34.5" customHeight="1">
      <c r="A1452" s="8">
        <v>1450</v>
      </c>
      <c r="B1452" s="9" t="str">
        <f>"54112023062610335467122"</f>
        <v>54112023062610335467122</v>
      </c>
      <c r="C1452" s="9" t="s">
        <v>13</v>
      </c>
      <c r="D1452" s="9" t="str">
        <f>"王珠恋"</f>
        <v>王珠恋</v>
      </c>
    </row>
    <row r="1453" spans="1:4" ht="34.5" customHeight="1">
      <c r="A1453" s="8">
        <v>1451</v>
      </c>
      <c r="B1453" s="9" t="str">
        <f>"54112023062510255960624"</f>
        <v>54112023062510255960624</v>
      </c>
      <c r="C1453" s="9" t="s">
        <v>13</v>
      </c>
      <c r="D1453" s="9" t="str">
        <f>"王家宇"</f>
        <v>王家宇</v>
      </c>
    </row>
    <row r="1454" spans="1:4" ht="34.5" customHeight="1">
      <c r="A1454" s="8">
        <v>1452</v>
      </c>
      <c r="B1454" s="9" t="str">
        <f>"54112023062612520168379"</f>
        <v>54112023062612520168379</v>
      </c>
      <c r="C1454" s="9" t="s">
        <v>13</v>
      </c>
      <c r="D1454" s="9" t="str">
        <f>"吴妮姗"</f>
        <v>吴妮姗</v>
      </c>
    </row>
    <row r="1455" spans="1:4" ht="34.5" customHeight="1">
      <c r="A1455" s="8">
        <v>1453</v>
      </c>
      <c r="B1455" s="9" t="str">
        <f>"54112023062615411669359"</f>
        <v>54112023062615411669359</v>
      </c>
      <c r="C1455" s="9" t="s">
        <v>13</v>
      </c>
      <c r="D1455" s="9" t="str">
        <f>"符兰爱"</f>
        <v>符兰爱</v>
      </c>
    </row>
    <row r="1456" spans="1:4" ht="34.5" customHeight="1">
      <c r="A1456" s="8">
        <v>1454</v>
      </c>
      <c r="B1456" s="9" t="str">
        <f>"54112023062618533470487"</f>
        <v>54112023062618533470487</v>
      </c>
      <c r="C1456" s="9" t="s">
        <v>13</v>
      </c>
      <c r="D1456" s="9" t="str">
        <f>"林元超"</f>
        <v>林元超</v>
      </c>
    </row>
    <row r="1457" spans="1:4" ht="34.5" customHeight="1">
      <c r="A1457" s="8">
        <v>1455</v>
      </c>
      <c r="B1457" s="9" t="str">
        <f>"54112023062619394470683"</f>
        <v>54112023062619394470683</v>
      </c>
      <c r="C1457" s="9" t="s">
        <v>13</v>
      </c>
      <c r="D1457" s="9" t="str">
        <f>"万钦虹"</f>
        <v>万钦虹</v>
      </c>
    </row>
    <row r="1458" spans="1:4" ht="34.5" customHeight="1">
      <c r="A1458" s="8">
        <v>1456</v>
      </c>
      <c r="B1458" s="9" t="str">
        <f>"54112023062620205170863"</f>
        <v>54112023062620205170863</v>
      </c>
      <c r="C1458" s="9" t="s">
        <v>13</v>
      </c>
      <c r="D1458" s="9" t="str">
        <f>"符丽菲"</f>
        <v>符丽菲</v>
      </c>
    </row>
    <row r="1459" spans="1:4" ht="34.5" customHeight="1">
      <c r="A1459" s="8">
        <v>1457</v>
      </c>
      <c r="B1459" s="9" t="str">
        <f>"54112023062610444667267"</f>
        <v>54112023062610444667267</v>
      </c>
      <c r="C1459" s="9" t="s">
        <v>13</v>
      </c>
      <c r="D1459" s="9" t="str">
        <f>"甘芷瑜"</f>
        <v>甘芷瑜</v>
      </c>
    </row>
    <row r="1460" spans="1:4" ht="34.5" customHeight="1">
      <c r="A1460" s="8">
        <v>1458</v>
      </c>
      <c r="B1460" s="9" t="str">
        <f>"54112023062700215271814"</f>
        <v>54112023062700215271814</v>
      </c>
      <c r="C1460" s="9" t="s">
        <v>13</v>
      </c>
      <c r="D1460" s="9" t="str">
        <f>"羊忠艳"</f>
        <v>羊忠艳</v>
      </c>
    </row>
    <row r="1461" spans="1:4" ht="34.5" customHeight="1">
      <c r="A1461" s="8">
        <v>1459</v>
      </c>
      <c r="B1461" s="9" t="str">
        <f>"54112023062709040972235"</f>
        <v>54112023062709040972235</v>
      </c>
      <c r="C1461" s="9" t="s">
        <v>13</v>
      </c>
      <c r="D1461" s="9" t="str">
        <f>"王元乾"</f>
        <v>王元乾</v>
      </c>
    </row>
    <row r="1462" spans="1:4" ht="34.5" customHeight="1">
      <c r="A1462" s="8">
        <v>1460</v>
      </c>
      <c r="B1462" s="9" t="str">
        <f>"54112023062709462972486"</f>
        <v>54112023062709462972486</v>
      </c>
      <c r="C1462" s="9" t="s">
        <v>13</v>
      </c>
      <c r="D1462" s="9" t="str">
        <f>"符策豪"</f>
        <v>符策豪</v>
      </c>
    </row>
    <row r="1463" spans="1:4" ht="34.5" customHeight="1">
      <c r="A1463" s="8">
        <v>1461</v>
      </c>
      <c r="B1463" s="9" t="str">
        <f>"54112023062710081572632"</f>
        <v>54112023062710081572632</v>
      </c>
      <c r="C1463" s="9" t="s">
        <v>13</v>
      </c>
      <c r="D1463" s="9" t="str">
        <f>"黄萍"</f>
        <v>黄萍</v>
      </c>
    </row>
    <row r="1464" spans="1:4" ht="34.5" customHeight="1">
      <c r="A1464" s="8">
        <v>1462</v>
      </c>
      <c r="B1464" s="9" t="str">
        <f>"54112023062712163373586"</f>
        <v>54112023062712163373586</v>
      </c>
      <c r="C1464" s="9" t="s">
        <v>13</v>
      </c>
      <c r="D1464" s="9" t="str">
        <f>"温金婷"</f>
        <v>温金婷</v>
      </c>
    </row>
    <row r="1465" spans="1:4" ht="34.5" customHeight="1">
      <c r="A1465" s="8">
        <v>1463</v>
      </c>
      <c r="B1465" s="9" t="str">
        <f>"54112023062616345469756"</f>
        <v>54112023062616345469756</v>
      </c>
      <c r="C1465" s="9" t="s">
        <v>13</v>
      </c>
      <c r="D1465" s="9" t="str">
        <f>"吴淑萍"</f>
        <v>吴淑萍</v>
      </c>
    </row>
    <row r="1466" spans="1:4" ht="34.5" customHeight="1">
      <c r="A1466" s="8">
        <v>1464</v>
      </c>
      <c r="B1466" s="9" t="str">
        <f>"54112023062722504676235"</f>
        <v>54112023062722504676235</v>
      </c>
      <c r="C1466" s="9" t="s">
        <v>13</v>
      </c>
      <c r="D1466" s="9" t="str">
        <f>"陈龙燕"</f>
        <v>陈龙燕</v>
      </c>
    </row>
    <row r="1467" spans="1:4" ht="34.5" customHeight="1">
      <c r="A1467" s="8">
        <v>1465</v>
      </c>
      <c r="B1467" s="9" t="str">
        <f>"54112023062621453371304"</f>
        <v>54112023062621453371304</v>
      </c>
      <c r="C1467" s="9" t="s">
        <v>13</v>
      </c>
      <c r="D1467" s="9" t="str">
        <f>"林道远"</f>
        <v>林道远</v>
      </c>
    </row>
    <row r="1468" spans="1:4" ht="34.5" customHeight="1">
      <c r="A1468" s="8">
        <v>1466</v>
      </c>
      <c r="B1468" s="9" t="str">
        <f>"54112023062809465276929"</f>
        <v>54112023062809465276929</v>
      </c>
      <c r="C1468" s="9" t="s">
        <v>13</v>
      </c>
      <c r="D1468" s="9" t="str">
        <f>"邢孔芸"</f>
        <v>邢孔芸</v>
      </c>
    </row>
    <row r="1469" spans="1:4" ht="34.5" customHeight="1">
      <c r="A1469" s="8">
        <v>1467</v>
      </c>
      <c r="B1469" s="9" t="str">
        <f>"54112023062809080376736"</f>
        <v>54112023062809080376736</v>
      </c>
      <c r="C1469" s="9" t="s">
        <v>13</v>
      </c>
      <c r="D1469" s="9" t="str">
        <f>"杨曦"</f>
        <v>杨曦</v>
      </c>
    </row>
    <row r="1470" spans="1:4" ht="34.5" customHeight="1">
      <c r="A1470" s="8">
        <v>1468</v>
      </c>
      <c r="B1470" s="9" t="str">
        <f>"54112023062809524476958"</f>
        <v>54112023062809524476958</v>
      </c>
      <c r="C1470" s="9" t="s">
        <v>13</v>
      </c>
      <c r="D1470" s="9" t="str">
        <f>"邢莉莉"</f>
        <v>邢莉莉</v>
      </c>
    </row>
    <row r="1471" spans="1:4" ht="34.5" customHeight="1">
      <c r="A1471" s="8">
        <v>1469</v>
      </c>
      <c r="B1471" s="9" t="str">
        <f>"54112023062810432477262"</f>
        <v>54112023062810432477262</v>
      </c>
      <c r="C1471" s="9" t="s">
        <v>13</v>
      </c>
      <c r="D1471" s="9" t="str">
        <f>"王华汉"</f>
        <v>王华汉</v>
      </c>
    </row>
    <row r="1472" spans="1:4" ht="34.5" customHeight="1">
      <c r="A1472" s="8">
        <v>1470</v>
      </c>
      <c r="B1472" s="9" t="str">
        <f>"54112023062720500175787"</f>
        <v>54112023062720500175787</v>
      </c>
      <c r="C1472" s="9" t="s">
        <v>13</v>
      </c>
      <c r="D1472" s="9" t="str">
        <f>"王晓梅"</f>
        <v>王晓梅</v>
      </c>
    </row>
    <row r="1473" spans="1:4" ht="34.5" customHeight="1">
      <c r="A1473" s="8">
        <v>1471</v>
      </c>
      <c r="B1473" s="9" t="str">
        <f>"54112023062813273678004"</f>
        <v>54112023062813273678004</v>
      </c>
      <c r="C1473" s="9" t="s">
        <v>13</v>
      </c>
      <c r="D1473" s="9" t="str">
        <f>"万梅卿"</f>
        <v>万梅卿</v>
      </c>
    </row>
    <row r="1474" spans="1:4" ht="34.5" customHeight="1">
      <c r="A1474" s="8">
        <v>1472</v>
      </c>
      <c r="B1474" s="9" t="str">
        <f>"54112023062808004776503"</f>
        <v>54112023062808004776503</v>
      </c>
      <c r="C1474" s="9" t="s">
        <v>13</v>
      </c>
      <c r="D1474" s="9" t="str">
        <f>"李建冰"</f>
        <v>李建冰</v>
      </c>
    </row>
    <row r="1475" spans="1:4" ht="34.5" customHeight="1">
      <c r="A1475" s="8">
        <v>1473</v>
      </c>
      <c r="B1475" s="9" t="str">
        <f>"54112023062611294867807"</f>
        <v>54112023062611294867807</v>
      </c>
      <c r="C1475" s="9" t="s">
        <v>13</v>
      </c>
      <c r="D1475" s="9" t="str">
        <f>"韦梦爱"</f>
        <v>韦梦爱</v>
      </c>
    </row>
    <row r="1476" spans="1:4" ht="34.5" customHeight="1">
      <c r="A1476" s="8">
        <v>1474</v>
      </c>
      <c r="B1476" s="9" t="str">
        <f>"54112023062819002579313"</f>
        <v>54112023062819002579313</v>
      </c>
      <c r="C1476" s="9" t="s">
        <v>13</v>
      </c>
      <c r="D1476" s="9" t="str">
        <f>"李静"</f>
        <v>李静</v>
      </c>
    </row>
    <row r="1477" spans="1:4" ht="34.5" customHeight="1">
      <c r="A1477" s="8">
        <v>1475</v>
      </c>
      <c r="B1477" s="9" t="str">
        <f>"54112023062821452779903"</f>
        <v>54112023062821452779903</v>
      </c>
      <c r="C1477" s="9" t="s">
        <v>13</v>
      </c>
      <c r="D1477" s="9" t="str">
        <f>"陈玉兰"</f>
        <v>陈玉兰</v>
      </c>
    </row>
    <row r="1478" spans="1:4" ht="34.5" customHeight="1">
      <c r="A1478" s="8">
        <v>1476</v>
      </c>
      <c r="B1478" s="9" t="str">
        <f>"54112023062822093380012"</f>
        <v>54112023062822093380012</v>
      </c>
      <c r="C1478" s="9" t="s">
        <v>13</v>
      </c>
      <c r="D1478" s="9" t="str">
        <f>"陈同宽"</f>
        <v>陈同宽</v>
      </c>
    </row>
    <row r="1479" spans="1:4" ht="34.5" customHeight="1">
      <c r="A1479" s="8">
        <v>1477</v>
      </c>
      <c r="B1479" s="9" t="str">
        <f>"54112023062823174680246"</f>
        <v>54112023062823174680246</v>
      </c>
      <c r="C1479" s="9" t="s">
        <v>13</v>
      </c>
      <c r="D1479" s="9" t="str">
        <f>"王军欢"</f>
        <v>王军欢</v>
      </c>
    </row>
    <row r="1480" spans="1:4" ht="34.5" customHeight="1">
      <c r="A1480" s="8">
        <v>1478</v>
      </c>
      <c r="B1480" s="9" t="str">
        <f>"54112023062909385881117"</f>
        <v>54112023062909385881117</v>
      </c>
      <c r="C1480" s="9" t="s">
        <v>13</v>
      </c>
      <c r="D1480" s="9" t="str">
        <f>"韩晓婧"</f>
        <v>韩晓婧</v>
      </c>
    </row>
    <row r="1481" spans="1:4" ht="34.5" customHeight="1">
      <c r="A1481" s="8">
        <v>1479</v>
      </c>
      <c r="B1481" s="9" t="str">
        <f>"54112023062910162881493"</f>
        <v>54112023062910162881493</v>
      </c>
      <c r="C1481" s="9" t="s">
        <v>13</v>
      </c>
      <c r="D1481" s="9" t="str">
        <f>"郭惠锦"</f>
        <v>郭惠锦</v>
      </c>
    </row>
    <row r="1482" spans="1:4" ht="34.5" customHeight="1">
      <c r="A1482" s="8">
        <v>1480</v>
      </c>
      <c r="B1482" s="9" t="str">
        <f>"54112023062910423881756"</f>
        <v>54112023062910423881756</v>
      </c>
      <c r="C1482" s="9" t="s">
        <v>13</v>
      </c>
      <c r="D1482" s="9" t="str">
        <f>"吴宏亮"</f>
        <v>吴宏亮</v>
      </c>
    </row>
    <row r="1483" spans="1:4" ht="34.5" customHeight="1">
      <c r="A1483" s="8">
        <v>1481</v>
      </c>
      <c r="B1483" s="9" t="str">
        <f>"54112023062910554581857"</f>
        <v>54112023062910554581857</v>
      </c>
      <c r="C1483" s="9" t="s">
        <v>13</v>
      </c>
      <c r="D1483" s="9" t="str">
        <f>"刘亚珍"</f>
        <v>刘亚珍</v>
      </c>
    </row>
    <row r="1484" spans="1:4" ht="34.5" customHeight="1">
      <c r="A1484" s="8">
        <v>1482</v>
      </c>
      <c r="B1484" s="9" t="str">
        <f>"54112023062910591981893"</f>
        <v>54112023062910591981893</v>
      </c>
      <c r="C1484" s="9" t="s">
        <v>13</v>
      </c>
      <c r="D1484" s="9" t="str">
        <f>"胡欣雨"</f>
        <v>胡欣雨</v>
      </c>
    </row>
    <row r="1485" spans="1:4" ht="34.5" customHeight="1">
      <c r="A1485" s="8">
        <v>1483</v>
      </c>
      <c r="B1485" s="9" t="str">
        <f>"54112023062910574081873"</f>
        <v>54112023062910574081873</v>
      </c>
      <c r="C1485" s="9" t="s">
        <v>13</v>
      </c>
      <c r="D1485" s="9" t="str">
        <f>"孙静"</f>
        <v>孙静</v>
      </c>
    </row>
    <row r="1486" spans="1:4" ht="34.5" customHeight="1">
      <c r="A1486" s="8">
        <v>1484</v>
      </c>
      <c r="B1486" s="9" t="str">
        <f>"54112023062911404982192"</f>
        <v>54112023062911404982192</v>
      </c>
      <c r="C1486" s="9" t="s">
        <v>13</v>
      </c>
      <c r="D1486" s="9" t="str">
        <f>"王海珠"</f>
        <v>王海珠</v>
      </c>
    </row>
    <row r="1487" spans="1:4" ht="34.5" customHeight="1">
      <c r="A1487" s="8">
        <v>1485</v>
      </c>
      <c r="B1487" s="9" t="str">
        <f>"54112023062911073781984"</f>
        <v>54112023062911073781984</v>
      </c>
      <c r="C1487" s="9" t="s">
        <v>13</v>
      </c>
      <c r="D1487" s="9" t="str">
        <f>"麦佳宜"</f>
        <v>麦佳宜</v>
      </c>
    </row>
    <row r="1488" spans="1:4" ht="34.5" customHeight="1">
      <c r="A1488" s="8">
        <v>1486</v>
      </c>
      <c r="B1488" s="9" t="str">
        <f>"54112023062912145682439"</f>
        <v>54112023062912145682439</v>
      </c>
      <c r="C1488" s="9" t="s">
        <v>13</v>
      </c>
      <c r="D1488" s="9" t="str">
        <f>"李小雪"</f>
        <v>李小雪</v>
      </c>
    </row>
    <row r="1489" spans="1:4" ht="34.5" customHeight="1">
      <c r="A1489" s="8">
        <v>1487</v>
      </c>
      <c r="B1489" s="9" t="str">
        <f>"54112023062816351478793"</f>
        <v>54112023062816351478793</v>
      </c>
      <c r="C1489" s="9" t="s">
        <v>13</v>
      </c>
      <c r="D1489" s="9" t="str">
        <f>"狄晓荣"</f>
        <v>狄晓荣</v>
      </c>
    </row>
    <row r="1490" spans="1:4" ht="34.5" customHeight="1">
      <c r="A1490" s="8">
        <v>1488</v>
      </c>
      <c r="B1490" s="9" t="str">
        <f>"54112023062913495082907"</f>
        <v>54112023062913495082907</v>
      </c>
      <c r="C1490" s="9" t="s">
        <v>13</v>
      </c>
      <c r="D1490" s="9" t="str">
        <f>"陈荣烹"</f>
        <v>陈荣烹</v>
      </c>
    </row>
    <row r="1491" spans="1:4" ht="34.5" customHeight="1">
      <c r="A1491" s="8">
        <v>1489</v>
      </c>
      <c r="B1491" s="9" t="str">
        <f>"54112023062915244783436"</f>
        <v>54112023062915244783436</v>
      </c>
      <c r="C1491" s="9" t="s">
        <v>13</v>
      </c>
      <c r="D1491" s="9" t="str">
        <f>"郑史冰"</f>
        <v>郑史冰</v>
      </c>
    </row>
    <row r="1492" spans="1:4" ht="34.5" customHeight="1">
      <c r="A1492" s="8">
        <v>1490</v>
      </c>
      <c r="B1492" s="9" t="str">
        <f>"54112023062812570177915"</f>
        <v>54112023062812570177915</v>
      </c>
      <c r="C1492" s="9" t="s">
        <v>13</v>
      </c>
      <c r="D1492" s="9" t="str">
        <f>"李琪琪"</f>
        <v>李琪琪</v>
      </c>
    </row>
    <row r="1493" spans="1:4" ht="34.5" customHeight="1">
      <c r="A1493" s="8">
        <v>1491</v>
      </c>
      <c r="B1493" s="9" t="str">
        <f>"54112023062916202483849"</f>
        <v>54112023062916202483849</v>
      </c>
      <c r="C1493" s="9" t="s">
        <v>13</v>
      </c>
      <c r="D1493" s="9" t="str">
        <f>"祁辅智"</f>
        <v>祁辅智</v>
      </c>
    </row>
    <row r="1494" spans="1:4" ht="34.5" customHeight="1">
      <c r="A1494" s="8">
        <v>1492</v>
      </c>
      <c r="B1494" s="9" t="str">
        <f>"54112023062917035684155"</f>
        <v>54112023062917035684155</v>
      </c>
      <c r="C1494" s="9" t="s">
        <v>13</v>
      </c>
      <c r="D1494" s="9" t="str">
        <f>"蔡顺敏"</f>
        <v>蔡顺敏</v>
      </c>
    </row>
    <row r="1495" spans="1:4" ht="34.5" customHeight="1">
      <c r="A1495" s="8">
        <v>1493</v>
      </c>
      <c r="B1495" s="9" t="str">
        <f>"54112023062921090585450"</f>
        <v>54112023062921090585450</v>
      </c>
      <c r="C1495" s="9" t="s">
        <v>13</v>
      </c>
      <c r="D1495" s="9" t="str">
        <f>"陈凌慧"</f>
        <v>陈凌慧</v>
      </c>
    </row>
    <row r="1496" spans="1:4" ht="34.5" customHeight="1">
      <c r="A1496" s="8">
        <v>1494</v>
      </c>
      <c r="B1496" s="9" t="str">
        <f>"54112023062522380664833"</f>
        <v>54112023062522380664833</v>
      </c>
      <c r="C1496" s="9" t="s">
        <v>13</v>
      </c>
      <c r="D1496" s="9" t="str">
        <f>"黄有莲"</f>
        <v>黄有莲</v>
      </c>
    </row>
    <row r="1497" spans="1:4" ht="34.5" customHeight="1">
      <c r="A1497" s="8">
        <v>1495</v>
      </c>
      <c r="B1497" s="9" t="str">
        <f>"54112023062922510986104"</f>
        <v>54112023062922510986104</v>
      </c>
      <c r="C1497" s="9" t="s">
        <v>13</v>
      </c>
      <c r="D1497" s="9" t="str">
        <f>"林丽芳"</f>
        <v>林丽芳</v>
      </c>
    </row>
    <row r="1498" spans="1:4" ht="34.5" customHeight="1">
      <c r="A1498" s="8">
        <v>1496</v>
      </c>
      <c r="B1498" s="9" t="str">
        <f>"54112023062912452382605"</f>
        <v>54112023062912452382605</v>
      </c>
      <c r="C1498" s="9" t="s">
        <v>13</v>
      </c>
      <c r="D1498" s="9" t="str">
        <f>"郑珍妮"</f>
        <v>郑珍妮</v>
      </c>
    </row>
    <row r="1499" spans="1:4" ht="34.5" customHeight="1">
      <c r="A1499" s="8">
        <v>1497</v>
      </c>
      <c r="B1499" s="9" t="str">
        <f>"54112023062923343786291"</f>
        <v>54112023062923343786291</v>
      </c>
      <c r="C1499" s="9" t="s">
        <v>13</v>
      </c>
      <c r="D1499" s="9" t="str">
        <f>"苏高玲"</f>
        <v>苏高玲</v>
      </c>
    </row>
    <row r="1500" spans="1:4" ht="34.5" customHeight="1">
      <c r="A1500" s="8">
        <v>1498</v>
      </c>
      <c r="B1500" s="9" t="str">
        <f>"54112023062923144986214"</f>
        <v>54112023062923144986214</v>
      </c>
      <c r="C1500" s="9" t="s">
        <v>13</v>
      </c>
      <c r="D1500" s="9" t="str">
        <f>"张庆玫"</f>
        <v>张庆玫</v>
      </c>
    </row>
    <row r="1501" spans="1:4" ht="34.5" customHeight="1">
      <c r="A1501" s="8">
        <v>1499</v>
      </c>
      <c r="B1501" s="9" t="str">
        <f>"54112023062923052786168"</f>
        <v>54112023062923052786168</v>
      </c>
      <c r="C1501" s="9" t="s">
        <v>13</v>
      </c>
      <c r="D1501" s="9" t="str">
        <f>"郭金萍"</f>
        <v>郭金萍</v>
      </c>
    </row>
    <row r="1502" spans="1:4" ht="34.5" customHeight="1">
      <c r="A1502" s="8">
        <v>1500</v>
      </c>
      <c r="B1502" s="9" t="str">
        <f>"54112023062909294081022"</f>
        <v>54112023062909294081022</v>
      </c>
      <c r="C1502" s="9" t="s">
        <v>13</v>
      </c>
      <c r="D1502" s="9" t="str">
        <f>"苏华志"</f>
        <v>苏华志</v>
      </c>
    </row>
    <row r="1503" spans="1:4" ht="34.5" customHeight="1">
      <c r="A1503" s="8">
        <v>1501</v>
      </c>
      <c r="B1503" s="9" t="str">
        <f>"54112023062913173382767"</f>
        <v>54112023062913173382767</v>
      </c>
      <c r="C1503" s="9" t="s">
        <v>13</v>
      </c>
      <c r="D1503" s="9" t="str">
        <f>"周莉"</f>
        <v>周莉</v>
      </c>
    </row>
    <row r="1504" spans="1:4" ht="34.5" customHeight="1">
      <c r="A1504" s="8">
        <v>1502</v>
      </c>
      <c r="B1504" s="9" t="str">
        <f>"54112023062823035380210"</f>
        <v>54112023062823035380210</v>
      </c>
      <c r="C1504" s="9" t="s">
        <v>13</v>
      </c>
      <c r="D1504" s="9" t="str">
        <f>"卢亮霞"</f>
        <v>卢亮霞</v>
      </c>
    </row>
    <row r="1505" spans="1:4" ht="34.5" customHeight="1">
      <c r="A1505" s="8">
        <v>1503</v>
      </c>
      <c r="B1505" s="9" t="str">
        <f>"54112023063012243488295"</f>
        <v>54112023063012243488295</v>
      </c>
      <c r="C1505" s="9" t="s">
        <v>13</v>
      </c>
      <c r="D1505" s="9" t="str">
        <f>"梅秀兰"</f>
        <v>梅秀兰</v>
      </c>
    </row>
    <row r="1506" spans="1:4" ht="34.5" customHeight="1">
      <c r="A1506" s="8">
        <v>1504</v>
      </c>
      <c r="B1506" s="9" t="str">
        <f>"54112023062521251464512"</f>
        <v>54112023062521251464512</v>
      </c>
      <c r="C1506" s="9" t="s">
        <v>13</v>
      </c>
      <c r="D1506" s="9" t="str">
        <f>"李平成"</f>
        <v>李平成</v>
      </c>
    </row>
    <row r="1507" spans="1:4" ht="34.5" customHeight="1">
      <c r="A1507" s="8">
        <v>1505</v>
      </c>
      <c r="B1507" s="9" t="str">
        <f>"54112023063014132688925"</f>
        <v>54112023063014132688925</v>
      </c>
      <c r="C1507" s="9" t="s">
        <v>13</v>
      </c>
      <c r="D1507" s="9" t="str">
        <f>"邓依"</f>
        <v>邓依</v>
      </c>
    </row>
    <row r="1508" spans="1:4" ht="34.5" customHeight="1">
      <c r="A1508" s="8">
        <v>1506</v>
      </c>
      <c r="B1508" s="9" t="str">
        <f>"54112023063014522389197"</f>
        <v>54112023063014522389197</v>
      </c>
      <c r="C1508" s="9" t="s">
        <v>13</v>
      </c>
      <c r="D1508" s="9" t="str">
        <f>"文新芬"</f>
        <v>文新芬</v>
      </c>
    </row>
    <row r="1509" spans="1:4" ht="34.5" customHeight="1">
      <c r="A1509" s="8">
        <v>1507</v>
      </c>
      <c r="B1509" s="9" t="str">
        <f>"54112023063009450787242"</f>
        <v>54112023063009450787242</v>
      </c>
      <c r="C1509" s="9" t="s">
        <v>13</v>
      </c>
      <c r="D1509" s="9" t="str">
        <f>"翁敏"</f>
        <v>翁敏</v>
      </c>
    </row>
    <row r="1510" spans="1:4" ht="34.5" customHeight="1">
      <c r="A1510" s="8">
        <v>1508</v>
      </c>
      <c r="B1510" s="9" t="str">
        <f>"54112023063016461589912"</f>
        <v>54112023063016461589912</v>
      </c>
      <c r="C1510" s="9" t="s">
        <v>13</v>
      </c>
      <c r="D1510" s="9" t="str">
        <f>"何芳婷"</f>
        <v>何芳婷</v>
      </c>
    </row>
    <row r="1511" spans="1:4" ht="34.5" customHeight="1">
      <c r="A1511" s="8">
        <v>1509</v>
      </c>
      <c r="B1511" s="9" t="str">
        <f>"54112023063017203989990"</f>
        <v>54112023063017203989990</v>
      </c>
      <c r="C1511" s="9" t="s">
        <v>13</v>
      </c>
      <c r="D1511" s="9" t="str">
        <f>"邱雪"</f>
        <v>邱雪</v>
      </c>
    </row>
    <row r="1512" spans="1:4" ht="34.5" customHeight="1">
      <c r="A1512" s="8">
        <v>1510</v>
      </c>
      <c r="B1512" s="9" t="str">
        <f>"54112023063009510787296"</f>
        <v>54112023063009510787296</v>
      </c>
      <c r="C1512" s="9" t="s">
        <v>13</v>
      </c>
      <c r="D1512" s="9" t="str">
        <f>"秦风娟"</f>
        <v>秦风娟</v>
      </c>
    </row>
    <row r="1513" spans="1:4" ht="34.5" customHeight="1">
      <c r="A1513" s="8">
        <v>1511</v>
      </c>
      <c r="B1513" s="9" t="str">
        <f>"54112023062617190670027"</f>
        <v>54112023062617190670027</v>
      </c>
      <c r="C1513" s="9" t="s">
        <v>13</v>
      </c>
      <c r="D1513" s="9" t="str">
        <f>"雷惠敏"</f>
        <v>雷惠敏</v>
      </c>
    </row>
    <row r="1514" spans="1:4" ht="34.5" customHeight="1">
      <c r="A1514" s="8">
        <v>1512</v>
      </c>
      <c r="B1514" s="9" t="str">
        <f>"54112023063021063490442"</f>
        <v>54112023063021063490442</v>
      </c>
      <c r="C1514" s="9" t="s">
        <v>13</v>
      </c>
      <c r="D1514" s="9" t="str">
        <f>"姚秀雯"</f>
        <v>姚秀雯</v>
      </c>
    </row>
    <row r="1515" spans="1:4" ht="34.5" customHeight="1">
      <c r="A1515" s="8">
        <v>1513</v>
      </c>
      <c r="B1515" s="9" t="str">
        <f>"54112023063021405690512"</f>
        <v>54112023063021405690512</v>
      </c>
      <c r="C1515" s="9" t="s">
        <v>13</v>
      </c>
      <c r="D1515" s="9" t="str">
        <f>"吴春怡"</f>
        <v>吴春怡</v>
      </c>
    </row>
    <row r="1516" spans="1:4" ht="34.5" customHeight="1">
      <c r="A1516" s="8">
        <v>1514</v>
      </c>
      <c r="B1516" s="9" t="str">
        <f>"54112023070112143991343"</f>
        <v>54112023070112143991343</v>
      </c>
      <c r="C1516" s="9" t="s">
        <v>13</v>
      </c>
      <c r="D1516" s="9" t="str">
        <f>"吴桂香"</f>
        <v>吴桂香</v>
      </c>
    </row>
    <row r="1517" spans="1:4" ht="34.5" customHeight="1">
      <c r="A1517" s="8">
        <v>1515</v>
      </c>
      <c r="B1517" s="9" t="str">
        <f>"54112023062611384167881"</f>
        <v>54112023062611384167881</v>
      </c>
      <c r="C1517" s="9" t="s">
        <v>13</v>
      </c>
      <c r="D1517" s="9" t="str">
        <f>"吴雯"</f>
        <v>吴雯</v>
      </c>
    </row>
    <row r="1518" spans="1:4" ht="34.5" customHeight="1">
      <c r="A1518" s="8">
        <v>1516</v>
      </c>
      <c r="B1518" s="9" t="str">
        <f>"54112023070121293492436"</f>
        <v>54112023070121293492436</v>
      </c>
      <c r="C1518" s="9" t="s">
        <v>13</v>
      </c>
      <c r="D1518" s="9" t="str">
        <f>"李顺美"</f>
        <v>李顺美</v>
      </c>
    </row>
    <row r="1519" spans="1:4" ht="34.5" customHeight="1">
      <c r="A1519" s="8">
        <v>1517</v>
      </c>
      <c r="B1519" s="9" t="str">
        <f>"54112023070121500592483"</f>
        <v>54112023070121500592483</v>
      </c>
      <c r="C1519" s="9" t="s">
        <v>13</v>
      </c>
      <c r="D1519" s="9" t="str">
        <f>"裴小玲"</f>
        <v>裴小玲</v>
      </c>
    </row>
    <row r="1520" spans="1:4" ht="34.5" customHeight="1">
      <c r="A1520" s="8">
        <v>1518</v>
      </c>
      <c r="B1520" s="9" t="str">
        <f>"54112023070122090592523"</f>
        <v>54112023070122090592523</v>
      </c>
      <c r="C1520" s="9" t="s">
        <v>13</v>
      </c>
      <c r="D1520" s="9" t="str">
        <f>"曾惕"</f>
        <v>曾惕</v>
      </c>
    </row>
    <row r="1521" spans="1:4" ht="34.5" customHeight="1">
      <c r="A1521" s="8">
        <v>1519</v>
      </c>
      <c r="B1521" s="9" t="str">
        <f>"54112023070221033094677"</f>
        <v>54112023070221033094677</v>
      </c>
      <c r="C1521" s="9" t="s">
        <v>13</v>
      </c>
      <c r="D1521" s="9" t="str">
        <f>"吴呈舍"</f>
        <v>吴呈舍</v>
      </c>
    </row>
    <row r="1522" spans="1:4" ht="34.5" customHeight="1">
      <c r="A1522" s="8">
        <v>1520</v>
      </c>
      <c r="B1522" s="9" t="str">
        <f>"54112023070222143594898"</f>
        <v>54112023070222143594898</v>
      </c>
      <c r="C1522" s="9" t="s">
        <v>13</v>
      </c>
      <c r="D1522" s="9" t="str">
        <f>"李先先"</f>
        <v>李先先</v>
      </c>
    </row>
    <row r="1523" spans="1:4" ht="34.5" customHeight="1">
      <c r="A1523" s="8">
        <v>1521</v>
      </c>
      <c r="B1523" s="9" t="str">
        <f>"54112023070308231895305"</f>
        <v>54112023070308231895305</v>
      </c>
      <c r="C1523" s="9" t="s">
        <v>13</v>
      </c>
      <c r="D1523" s="9" t="str">
        <f>"刘敏"</f>
        <v>刘敏</v>
      </c>
    </row>
    <row r="1524" spans="1:4" ht="34.5" customHeight="1">
      <c r="A1524" s="8">
        <v>1522</v>
      </c>
      <c r="B1524" s="9" t="str">
        <f>"54112023070309412895887"</f>
        <v>54112023070309412895887</v>
      </c>
      <c r="C1524" s="9" t="s">
        <v>13</v>
      </c>
      <c r="D1524" s="9" t="str">
        <f>"卢苹"</f>
        <v>卢苹</v>
      </c>
    </row>
    <row r="1525" spans="1:4" ht="34.5" customHeight="1">
      <c r="A1525" s="8">
        <v>1523</v>
      </c>
      <c r="B1525" s="9" t="str">
        <f>"54112023070311021296542"</f>
        <v>54112023070311021296542</v>
      </c>
      <c r="C1525" s="9" t="s">
        <v>13</v>
      </c>
      <c r="D1525" s="9" t="str">
        <f>"梁对子"</f>
        <v>梁对子</v>
      </c>
    </row>
    <row r="1526" spans="1:4" ht="34.5" customHeight="1">
      <c r="A1526" s="8">
        <v>1524</v>
      </c>
      <c r="B1526" s="9" t="str">
        <f>"54112023070112025591327"</f>
        <v>54112023070112025591327</v>
      </c>
      <c r="C1526" s="9" t="s">
        <v>13</v>
      </c>
      <c r="D1526" s="9" t="str">
        <f>"王娜"</f>
        <v>王娜</v>
      </c>
    </row>
    <row r="1527" spans="1:4" ht="34.5" customHeight="1">
      <c r="A1527" s="8">
        <v>1525</v>
      </c>
      <c r="B1527" s="9" t="str">
        <f>"54112023070311513796851"</f>
        <v>54112023070311513796851</v>
      </c>
      <c r="C1527" s="9" t="s">
        <v>13</v>
      </c>
      <c r="D1527" s="9" t="str">
        <f>"羊有菊"</f>
        <v>羊有菊</v>
      </c>
    </row>
    <row r="1528" spans="1:4" ht="34.5" customHeight="1">
      <c r="A1528" s="8">
        <v>1526</v>
      </c>
      <c r="B1528" s="9" t="str">
        <f>"54112023070312394297126"</f>
        <v>54112023070312394297126</v>
      </c>
      <c r="C1528" s="9" t="s">
        <v>13</v>
      </c>
      <c r="D1528" s="9" t="str">
        <f>"符雅雲"</f>
        <v>符雅雲</v>
      </c>
    </row>
    <row r="1529" spans="1:4" ht="34.5" customHeight="1">
      <c r="A1529" s="8">
        <v>1527</v>
      </c>
      <c r="B1529" s="9" t="str">
        <f>"54112023070313111397322"</f>
        <v>54112023070313111397322</v>
      </c>
      <c r="C1529" s="9" t="s">
        <v>13</v>
      </c>
      <c r="D1529" s="9" t="str">
        <f>"周林琳"</f>
        <v>周林琳</v>
      </c>
    </row>
    <row r="1530" spans="1:4" ht="34.5" customHeight="1">
      <c r="A1530" s="8">
        <v>1528</v>
      </c>
      <c r="B1530" s="9" t="str">
        <f>"54112023070313190697368"</f>
        <v>54112023070313190697368</v>
      </c>
      <c r="C1530" s="9" t="s">
        <v>13</v>
      </c>
      <c r="D1530" s="9" t="str">
        <f>"裴威侃"</f>
        <v>裴威侃</v>
      </c>
    </row>
    <row r="1531" spans="1:4" ht="34.5" customHeight="1">
      <c r="A1531" s="8">
        <v>1529</v>
      </c>
      <c r="B1531" s="9" t="str">
        <f>"54112023062810314577194"</f>
        <v>54112023062810314577194</v>
      </c>
      <c r="C1531" s="9" t="s">
        <v>13</v>
      </c>
      <c r="D1531" s="9" t="str">
        <f>"连蕾"</f>
        <v>连蕾</v>
      </c>
    </row>
    <row r="1532" spans="1:4" ht="34.5" customHeight="1">
      <c r="A1532" s="8">
        <v>1530</v>
      </c>
      <c r="B1532" s="9" t="str">
        <f>"54112023070309474395939"</f>
        <v>54112023070309474395939</v>
      </c>
      <c r="C1532" s="9" t="s">
        <v>13</v>
      </c>
      <c r="D1532" s="9" t="str">
        <f>"王艺"</f>
        <v>王艺</v>
      </c>
    </row>
    <row r="1533" spans="1:4" ht="34.5" customHeight="1">
      <c r="A1533" s="8">
        <v>1531</v>
      </c>
      <c r="B1533" s="9" t="str">
        <f>"54112023070314425597687"</f>
        <v>54112023070314425597687</v>
      </c>
      <c r="C1533" s="9" t="s">
        <v>13</v>
      </c>
      <c r="D1533" s="9" t="str">
        <f>"陈海斌"</f>
        <v>陈海斌</v>
      </c>
    </row>
    <row r="1534" spans="1:4" ht="34.5" customHeight="1">
      <c r="A1534" s="8">
        <v>1532</v>
      </c>
      <c r="B1534" s="9" t="str">
        <f>"54112023062808031976509"</f>
        <v>54112023062808031976509</v>
      </c>
      <c r="C1534" s="9" t="s">
        <v>13</v>
      </c>
      <c r="D1534" s="9" t="str">
        <f>"庄耿敏"</f>
        <v>庄耿敏</v>
      </c>
    </row>
    <row r="1535" spans="1:4" ht="34.5" customHeight="1">
      <c r="A1535" s="8">
        <v>1533</v>
      </c>
      <c r="B1535" s="9" t="str">
        <f>"54112023070311434296806"</f>
        <v>54112023070311434296806</v>
      </c>
      <c r="C1535" s="9" t="s">
        <v>13</v>
      </c>
      <c r="D1535" s="9" t="str">
        <f>"陈丽君"</f>
        <v>陈丽君</v>
      </c>
    </row>
    <row r="1536" spans="1:4" ht="34.5" customHeight="1">
      <c r="A1536" s="8">
        <v>1534</v>
      </c>
      <c r="B1536" s="9" t="str">
        <f>"54112023070316241498300"</f>
        <v>54112023070316241498300</v>
      </c>
      <c r="C1536" s="9" t="s">
        <v>13</v>
      </c>
      <c r="D1536" s="9" t="str">
        <f>"马青青"</f>
        <v>马青青</v>
      </c>
    </row>
    <row r="1537" spans="1:4" ht="34.5" customHeight="1">
      <c r="A1537" s="8">
        <v>1535</v>
      </c>
      <c r="B1537" s="9" t="str">
        <f>"54112023070318020498798"</f>
        <v>54112023070318020498798</v>
      </c>
      <c r="C1537" s="9" t="s">
        <v>13</v>
      </c>
      <c r="D1537" s="9" t="str">
        <f>"颜跃菊"</f>
        <v>颜跃菊</v>
      </c>
    </row>
    <row r="1538" spans="1:4" ht="34.5" customHeight="1">
      <c r="A1538" s="8">
        <v>1536</v>
      </c>
      <c r="B1538" s="9" t="str">
        <f>"54112023070317274798674"</f>
        <v>54112023070317274798674</v>
      </c>
      <c r="C1538" s="9" t="s">
        <v>13</v>
      </c>
      <c r="D1538" s="9" t="str">
        <f>"陈柳惠"</f>
        <v>陈柳惠</v>
      </c>
    </row>
    <row r="1539" spans="1:4" ht="34.5" customHeight="1">
      <c r="A1539" s="8">
        <v>1537</v>
      </c>
      <c r="B1539" s="9" t="str">
        <f>"54112023070319113499045"</f>
        <v>54112023070319113499045</v>
      </c>
      <c r="C1539" s="9" t="s">
        <v>13</v>
      </c>
      <c r="D1539" s="9" t="str">
        <f>"林聪"</f>
        <v>林聪</v>
      </c>
    </row>
    <row r="1540" spans="1:4" ht="34.5" customHeight="1">
      <c r="A1540" s="8">
        <v>1538</v>
      </c>
      <c r="B1540" s="9" t="str">
        <f>"54112023070315102197849"</f>
        <v>54112023070315102197849</v>
      </c>
      <c r="C1540" s="9" t="s">
        <v>13</v>
      </c>
      <c r="D1540" s="9" t="str">
        <f>"覃梦诗"</f>
        <v>覃梦诗</v>
      </c>
    </row>
    <row r="1541" spans="1:4" ht="34.5" customHeight="1">
      <c r="A1541" s="8">
        <v>1539</v>
      </c>
      <c r="B1541" s="9" t="str">
        <f>"54112023070319025399017"</f>
        <v>54112023070319025399017</v>
      </c>
      <c r="C1541" s="9" t="s">
        <v>13</v>
      </c>
      <c r="D1541" s="9" t="str">
        <f>"林洪妃"</f>
        <v>林洪妃</v>
      </c>
    </row>
    <row r="1542" spans="1:4" ht="34.5" customHeight="1">
      <c r="A1542" s="8">
        <v>1540</v>
      </c>
      <c r="B1542" s="9" t="str">
        <f>"54112023062509430360235"</f>
        <v>54112023062509430360235</v>
      </c>
      <c r="C1542" s="9" t="s">
        <v>13</v>
      </c>
      <c r="D1542" s="9" t="str">
        <f>"邱雪莲"</f>
        <v>邱雪莲</v>
      </c>
    </row>
    <row r="1543" spans="1:4" ht="34.5" customHeight="1">
      <c r="A1543" s="8">
        <v>1541</v>
      </c>
      <c r="B1543" s="9" t="str">
        <f>"54112023062719135175478"</f>
        <v>54112023062719135175478</v>
      </c>
      <c r="C1543" s="9" t="s">
        <v>13</v>
      </c>
      <c r="D1543" s="9" t="str">
        <f>"王灵巧"</f>
        <v>王灵巧</v>
      </c>
    </row>
    <row r="1544" spans="1:4" ht="34.5" customHeight="1">
      <c r="A1544" s="8">
        <v>1542</v>
      </c>
      <c r="B1544" s="9" t="str">
        <f>"54112023070322102099893"</f>
        <v>54112023070322102099893</v>
      </c>
      <c r="C1544" s="9" t="s">
        <v>13</v>
      </c>
      <c r="D1544" s="9" t="str">
        <f>"林日冉"</f>
        <v>林日冉</v>
      </c>
    </row>
    <row r="1545" spans="1:4" ht="34.5" customHeight="1">
      <c r="A1545" s="8">
        <v>1543</v>
      </c>
      <c r="B1545" s="9" t="str">
        <f>"54112023062719251575507"</f>
        <v>54112023062719251575507</v>
      </c>
      <c r="C1545" s="9" t="s">
        <v>13</v>
      </c>
      <c r="D1545" s="9" t="str">
        <f>"吴济慧"</f>
        <v>吴济慧</v>
      </c>
    </row>
    <row r="1546" spans="1:4" ht="34.5" customHeight="1">
      <c r="A1546" s="8">
        <v>1544</v>
      </c>
      <c r="B1546" s="9" t="str">
        <f>"541120230704104553101249"</f>
        <v>541120230704104553101249</v>
      </c>
      <c r="C1546" s="9" t="s">
        <v>13</v>
      </c>
      <c r="D1546" s="9" t="str">
        <f>"童东"</f>
        <v>童东</v>
      </c>
    </row>
    <row r="1547" spans="1:4" ht="34.5" customHeight="1">
      <c r="A1547" s="8">
        <v>1545</v>
      </c>
      <c r="B1547" s="9" t="str">
        <f>"541120230704105234101289"</f>
        <v>541120230704105234101289</v>
      </c>
      <c r="C1547" s="9" t="s">
        <v>13</v>
      </c>
      <c r="D1547" s="9" t="str">
        <f>"吴玉云"</f>
        <v>吴玉云</v>
      </c>
    </row>
    <row r="1548" spans="1:4" ht="34.5" customHeight="1">
      <c r="A1548" s="8">
        <v>1546</v>
      </c>
      <c r="B1548" s="9" t="str">
        <f>"54112023062510205660589"</f>
        <v>54112023062510205660589</v>
      </c>
      <c r="C1548" s="9" t="s">
        <v>14</v>
      </c>
      <c r="D1548" s="9" t="str">
        <f>"黄亚媛"</f>
        <v>黄亚媛</v>
      </c>
    </row>
    <row r="1549" spans="1:4" ht="34.5" customHeight="1">
      <c r="A1549" s="8">
        <v>1547</v>
      </c>
      <c r="B1549" s="9" t="str">
        <f>"54112023062511005160877"</f>
        <v>54112023062511005160877</v>
      </c>
      <c r="C1549" s="9" t="s">
        <v>14</v>
      </c>
      <c r="D1549" s="9" t="str">
        <f>"王惠敏"</f>
        <v>王惠敏</v>
      </c>
    </row>
    <row r="1550" spans="1:4" ht="34.5" customHeight="1">
      <c r="A1550" s="8">
        <v>1548</v>
      </c>
      <c r="B1550" s="9" t="str">
        <f>"54112023062511294661080"</f>
        <v>54112023062511294661080</v>
      </c>
      <c r="C1550" s="9" t="s">
        <v>14</v>
      </c>
      <c r="D1550" s="9" t="str">
        <f>"梁石慧"</f>
        <v>梁石慧</v>
      </c>
    </row>
    <row r="1551" spans="1:4" ht="34.5" customHeight="1">
      <c r="A1551" s="8">
        <v>1549</v>
      </c>
      <c r="B1551" s="9" t="str">
        <f>"54112023062511392061143"</f>
        <v>54112023062511392061143</v>
      </c>
      <c r="C1551" s="9" t="s">
        <v>14</v>
      </c>
      <c r="D1551" s="9" t="str">
        <f>"麦小琴"</f>
        <v>麦小琴</v>
      </c>
    </row>
    <row r="1552" spans="1:4" ht="34.5" customHeight="1">
      <c r="A1552" s="8">
        <v>1550</v>
      </c>
      <c r="B1552" s="9" t="str">
        <f>"54112023062512243761900"</f>
        <v>54112023062512243761900</v>
      </c>
      <c r="C1552" s="9" t="s">
        <v>14</v>
      </c>
      <c r="D1552" s="9" t="str">
        <f>"郭红杏"</f>
        <v>郭红杏</v>
      </c>
    </row>
    <row r="1553" spans="1:4" ht="34.5" customHeight="1">
      <c r="A1553" s="8">
        <v>1551</v>
      </c>
      <c r="B1553" s="9" t="str">
        <f>"54112023062513104062174"</f>
        <v>54112023062513104062174</v>
      </c>
      <c r="C1553" s="9" t="s">
        <v>14</v>
      </c>
      <c r="D1553" s="9" t="str">
        <f>"蒋亦媛"</f>
        <v>蒋亦媛</v>
      </c>
    </row>
    <row r="1554" spans="1:4" ht="34.5" customHeight="1">
      <c r="A1554" s="8">
        <v>1552</v>
      </c>
      <c r="B1554" s="9" t="str">
        <f>"54112023062512541962092"</f>
        <v>54112023062512541962092</v>
      </c>
      <c r="C1554" s="9" t="s">
        <v>14</v>
      </c>
      <c r="D1554" s="9" t="str">
        <f>"曾小慧"</f>
        <v>曾小慧</v>
      </c>
    </row>
    <row r="1555" spans="1:4" ht="34.5" customHeight="1">
      <c r="A1555" s="8">
        <v>1553</v>
      </c>
      <c r="B1555" s="9" t="str">
        <f>"54112023062509504360303"</f>
        <v>54112023062509504360303</v>
      </c>
      <c r="C1555" s="9" t="s">
        <v>14</v>
      </c>
      <c r="D1555" s="9" t="str">
        <f>"潘孝德"</f>
        <v>潘孝德</v>
      </c>
    </row>
    <row r="1556" spans="1:4" ht="34.5" customHeight="1">
      <c r="A1556" s="8">
        <v>1554</v>
      </c>
      <c r="B1556" s="9" t="str">
        <f>"54112023062517451063608"</f>
        <v>54112023062517451063608</v>
      </c>
      <c r="C1556" s="9" t="s">
        <v>14</v>
      </c>
      <c r="D1556" s="9" t="str">
        <f>"黎学莉"</f>
        <v>黎学莉</v>
      </c>
    </row>
    <row r="1557" spans="1:4" ht="34.5" customHeight="1">
      <c r="A1557" s="8">
        <v>1555</v>
      </c>
      <c r="B1557" s="9" t="str">
        <f>"54112023062522583564901"</f>
        <v>54112023062522583564901</v>
      </c>
      <c r="C1557" s="9" t="s">
        <v>14</v>
      </c>
      <c r="D1557" s="9" t="str">
        <f>"刘焕冬"</f>
        <v>刘焕冬</v>
      </c>
    </row>
    <row r="1558" spans="1:4" ht="34.5" customHeight="1">
      <c r="A1558" s="8">
        <v>1556</v>
      </c>
      <c r="B1558" s="9" t="str">
        <f>"54112023062609115165769"</f>
        <v>54112023062609115165769</v>
      </c>
      <c r="C1558" s="9" t="s">
        <v>14</v>
      </c>
      <c r="D1558" s="9" t="str">
        <f>"何福花"</f>
        <v>何福花</v>
      </c>
    </row>
    <row r="1559" spans="1:4" ht="34.5" customHeight="1">
      <c r="A1559" s="8">
        <v>1557</v>
      </c>
      <c r="B1559" s="9" t="str">
        <f>"54112023062610064566695"</f>
        <v>54112023062610064566695</v>
      </c>
      <c r="C1559" s="9" t="s">
        <v>14</v>
      </c>
      <c r="D1559" s="9" t="str">
        <f>"邢惠清"</f>
        <v>邢惠清</v>
      </c>
    </row>
    <row r="1560" spans="1:4" ht="34.5" customHeight="1">
      <c r="A1560" s="8">
        <v>1558</v>
      </c>
      <c r="B1560" s="9" t="str">
        <f>"54112023062608152865328"</f>
        <v>54112023062608152865328</v>
      </c>
      <c r="C1560" s="9" t="s">
        <v>14</v>
      </c>
      <c r="D1560" s="9" t="str">
        <f>"黎木养"</f>
        <v>黎木养</v>
      </c>
    </row>
    <row r="1561" spans="1:4" ht="34.5" customHeight="1">
      <c r="A1561" s="8">
        <v>1559</v>
      </c>
      <c r="B1561" s="9" t="str">
        <f>"54112023062608060265303"</f>
        <v>54112023062608060265303</v>
      </c>
      <c r="C1561" s="9" t="s">
        <v>14</v>
      </c>
      <c r="D1561" s="9" t="str">
        <f>"符卓翠"</f>
        <v>符卓翠</v>
      </c>
    </row>
    <row r="1562" spans="1:4" ht="34.5" customHeight="1">
      <c r="A1562" s="8">
        <v>1560</v>
      </c>
      <c r="B1562" s="9" t="str">
        <f>"54112023062617284670098"</f>
        <v>54112023062617284670098</v>
      </c>
      <c r="C1562" s="9" t="s">
        <v>14</v>
      </c>
      <c r="D1562" s="9" t="str">
        <f>"徐薇"</f>
        <v>徐薇</v>
      </c>
    </row>
    <row r="1563" spans="1:4" ht="34.5" customHeight="1">
      <c r="A1563" s="8">
        <v>1561</v>
      </c>
      <c r="B1563" s="9" t="str">
        <f>"54112023062618271070369"</f>
        <v>54112023062618271070369</v>
      </c>
      <c r="C1563" s="9" t="s">
        <v>14</v>
      </c>
      <c r="D1563" s="9" t="str">
        <f>"赵彩伶"</f>
        <v>赵彩伶</v>
      </c>
    </row>
    <row r="1564" spans="1:4" ht="34.5" customHeight="1">
      <c r="A1564" s="8">
        <v>1562</v>
      </c>
      <c r="B1564" s="9" t="str">
        <f>"54112023062621032371099"</f>
        <v>54112023062621032371099</v>
      </c>
      <c r="C1564" s="9" t="s">
        <v>14</v>
      </c>
      <c r="D1564" s="9" t="str">
        <f>"张旭秀"</f>
        <v>张旭秀</v>
      </c>
    </row>
    <row r="1565" spans="1:4" ht="34.5" customHeight="1">
      <c r="A1565" s="8">
        <v>1563</v>
      </c>
      <c r="B1565" s="9" t="str">
        <f>"54112023062622133271447"</f>
        <v>54112023062622133271447</v>
      </c>
      <c r="C1565" s="9" t="s">
        <v>14</v>
      </c>
      <c r="D1565" s="9" t="str">
        <f>"袁萍"</f>
        <v>袁萍</v>
      </c>
    </row>
    <row r="1566" spans="1:4" ht="34.5" customHeight="1">
      <c r="A1566" s="8">
        <v>1564</v>
      </c>
      <c r="B1566" s="9" t="str">
        <f>"54112023062523061364926"</f>
        <v>54112023062523061364926</v>
      </c>
      <c r="C1566" s="9" t="s">
        <v>14</v>
      </c>
      <c r="D1566" s="9" t="str">
        <f>"王莹莹"</f>
        <v>王莹莹</v>
      </c>
    </row>
    <row r="1567" spans="1:4" ht="34.5" customHeight="1">
      <c r="A1567" s="8">
        <v>1565</v>
      </c>
      <c r="B1567" s="9" t="str">
        <f>"54112023062623442671761"</f>
        <v>54112023062623442671761</v>
      </c>
      <c r="C1567" s="9" t="s">
        <v>14</v>
      </c>
      <c r="D1567" s="9" t="str">
        <f>"王娜"</f>
        <v>王娜</v>
      </c>
    </row>
    <row r="1568" spans="1:4" ht="34.5" customHeight="1">
      <c r="A1568" s="8">
        <v>1566</v>
      </c>
      <c r="B1568" s="9" t="str">
        <f>"54112023062710370273112"</f>
        <v>54112023062710370273112</v>
      </c>
      <c r="C1568" s="9" t="s">
        <v>14</v>
      </c>
      <c r="D1568" s="9" t="str">
        <f>"周美君"</f>
        <v>周美君</v>
      </c>
    </row>
    <row r="1569" spans="1:4" ht="34.5" customHeight="1">
      <c r="A1569" s="8">
        <v>1567</v>
      </c>
      <c r="B1569" s="9" t="str">
        <f>"54112023062621545871351"</f>
        <v>54112023062621545871351</v>
      </c>
      <c r="C1569" s="9" t="s">
        <v>14</v>
      </c>
      <c r="D1569" s="9" t="str">
        <f>"吴多珍"</f>
        <v>吴多珍</v>
      </c>
    </row>
    <row r="1570" spans="1:4" ht="34.5" customHeight="1">
      <c r="A1570" s="8">
        <v>1568</v>
      </c>
      <c r="B1570" s="9" t="str">
        <f>"54112023062710504373206"</f>
        <v>54112023062710504373206</v>
      </c>
      <c r="C1570" s="9" t="s">
        <v>14</v>
      </c>
      <c r="D1570" s="9" t="str">
        <f>"蔡桂花"</f>
        <v>蔡桂花</v>
      </c>
    </row>
    <row r="1571" spans="1:4" ht="34.5" customHeight="1">
      <c r="A1571" s="8">
        <v>1569</v>
      </c>
      <c r="B1571" s="9" t="str">
        <f>"54112023062710040072606"</f>
        <v>54112023062710040072606</v>
      </c>
      <c r="C1571" s="9" t="s">
        <v>14</v>
      </c>
      <c r="D1571" s="9" t="str">
        <f>"郑家善"</f>
        <v>郑家善</v>
      </c>
    </row>
    <row r="1572" spans="1:4" ht="34.5" customHeight="1">
      <c r="A1572" s="8">
        <v>1570</v>
      </c>
      <c r="B1572" s="9" t="str">
        <f>"54112023062709513672527"</f>
        <v>54112023062709513672527</v>
      </c>
      <c r="C1572" s="9" t="s">
        <v>14</v>
      </c>
      <c r="D1572" s="9" t="str">
        <f>"张雪丽"</f>
        <v>张雪丽</v>
      </c>
    </row>
    <row r="1573" spans="1:4" ht="34.5" customHeight="1">
      <c r="A1573" s="8">
        <v>1571</v>
      </c>
      <c r="B1573" s="9" t="str">
        <f>"54112023062623333171742"</f>
        <v>54112023062623333171742</v>
      </c>
      <c r="C1573" s="9" t="s">
        <v>14</v>
      </c>
      <c r="D1573" s="9" t="str">
        <f>"黄小钊"</f>
        <v>黄小钊</v>
      </c>
    </row>
    <row r="1574" spans="1:4" ht="34.5" customHeight="1">
      <c r="A1574" s="8">
        <v>1572</v>
      </c>
      <c r="B1574" s="9" t="str">
        <f>"54112023062614312268868"</f>
        <v>54112023062614312268868</v>
      </c>
      <c r="C1574" s="9" t="s">
        <v>14</v>
      </c>
      <c r="D1574" s="9" t="str">
        <f>"黄芬"</f>
        <v>黄芬</v>
      </c>
    </row>
    <row r="1575" spans="1:4" ht="34.5" customHeight="1">
      <c r="A1575" s="8">
        <v>1573</v>
      </c>
      <c r="B1575" s="9" t="str">
        <f>"54112023062615145269155"</f>
        <v>54112023062615145269155</v>
      </c>
      <c r="C1575" s="9" t="s">
        <v>14</v>
      </c>
      <c r="D1575" s="9" t="str">
        <f>"唐小杏"</f>
        <v>唐小杏</v>
      </c>
    </row>
    <row r="1576" spans="1:4" ht="34.5" customHeight="1">
      <c r="A1576" s="8">
        <v>1574</v>
      </c>
      <c r="B1576" s="9" t="str">
        <f>"54112023062719081975461"</f>
        <v>54112023062719081975461</v>
      </c>
      <c r="C1576" s="9" t="s">
        <v>14</v>
      </c>
      <c r="D1576" s="9" t="str">
        <f>"叶妍妍"</f>
        <v>叶妍妍</v>
      </c>
    </row>
    <row r="1577" spans="1:4" ht="34.5" customHeight="1">
      <c r="A1577" s="8">
        <v>1575</v>
      </c>
      <c r="B1577" s="9" t="str">
        <f>"54112023062718582275426"</f>
        <v>54112023062718582275426</v>
      </c>
      <c r="C1577" s="9" t="s">
        <v>14</v>
      </c>
      <c r="D1577" s="9" t="str">
        <f>"陈祚淀"</f>
        <v>陈祚淀</v>
      </c>
    </row>
    <row r="1578" spans="1:4" ht="34.5" customHeight="1">
      <c r="A1578" s="8">
        <v>1576</v>
      </c>
      <c r="B1578" s="9" t="str">
        <f>"54112023062718481275395"</f>
        <v>54112023062718481275395</v>
      </c>
      <c r="C1578" s="9" t="s">
        <v>14</v>
      </c>
      <c r="D1578" s="9" t="str">
        <f>"吴彩红"</f>
        <v>吴彩红</v>
      </c>
    </row>
    <row r="1579" spans="1:4" ht="34.5" customHeight="1">
      <c r="A1579" s="8">
        <v>1577</v>
      </c>
      <c r="B1579" s="9" t="str">
        <f>"54112023062720553075806"</f>
        <v>54112023062720553075806</v>
      </c>
      <c r="C1579" s="9" t="s">
        <v>14</v>
      </c>
      <c r="D1579" s="9" t="str">
        <f>"吴清存"</f>
        <v>吴清存</v>
      </c>
    </row>
    <row r="1580" spans="1:4" ht="34.5" customHeight="1">
      <c r="A1580" s="8">
        <v>1578</v>
      </c>
      <c r="B1580" s="9" t="str">
        <f>"54112023062807394676474"</f>
        <v>54112023062807394676474</v>
      </c>
      <c r="C1580" s="9" t="s">
        <v>14</v>
      </c>
      <c r="D1580" s="9" t="str">
        <f>"唐涛"</f>
        <v>唐涛</v>
      </c>
    </row>
    <row r="1581" spans="1:4" ht="34.5" customHeight="1">
      <c r="A1581" s="8">
        <v>1579</v>
      </c>
      <c r="B1581" s="9" t="str">
        <f>"54112023062510291160655"</f>
        <v>54112023062510291160655</v>
      </c>
      <c r="C1581" s="9" t="s">
        <v>14</v>
      </c>
      <c r="D1581" s="9" t="str">
        <f>"刘晓霜"</f>
        <v>刘晓霜</v>
      </c>
    </row>
    <row r="1582" spans="1:4" ht="34.5" customHeight="1">
      <c r="A1582" s="8">
        <v>1580</v>
      </c>
      <c r="B1582" s="9" t="str">
        <f>"54112023062810390677229"</f>
        <v>54112023062810390677229</v>
      </c>
      <c r="C1582" s="9" t="s">
        <v>14</v>
      </c>
      <c r="D1582" s="9" t="str">
        <f>"李欣"</f>
        <v>李欣</v>
      </c>
    </row>
    <row r="1583" spans="1:4" ht="34.5" customHeight="1">
      <c r="A1583" s="8">
        <v>1581</v>
      </c>
      <c r="B1583" s="9" t="str">
        <f>"54112023062814541978285"</f>
        <v>54112023062814541978285</v>
      </c>
      <c r="C1583" s="9" t="s">
        <v>14</v>
      </c>
      <c r="D1583" s="9" t="str">
        <f>"林小夏"</f>
        <v>林小夏</v>
      </c>
    </row>
    <row r="1584" spans="1:4" ht="34.5" customHeight="1">
      <c r="A1584" s="8">
        <v>1582</v>
      </c>
      <c r="B1584" s="9" t="str">
        <f>"54112023062810373677217"</f>
        <v>54112023062810373677217</v>
      </c>
      <c r="C1584" s="9" t="s">
        <v>14</v>
      </c>
      <c r="D1584" s="9" t="str">
        <f>"林仙慧"</f>
        <v>林仙慧</v>
      </c>
    </row>
    <row r="1585" spans="1:4" ht="34.5" customHeight="1">
      <c r="A1585" s="8">
        <v>1583</v>
      </c>
      <c r="B1585" s="9" t="str">
        <f>"54112023062810455177280"</f>
        <v>54112023062810455177280</v>
      </c>
      <c r="C1585" s="9" t="s">
        <v>14</v>
      </c>
      <c r="D1585" s="9" t="str">
        <f>"林芳金"</f>
        <v>林芳金</v>
      </c>
    </row>
    <row r="1586" spans="1:4" ht="34.5" customHeight="1">
      <c r="A1586" s="8">
        <v>1584</v>
      </c>
      <c r="B1586" s="9" t="str">
        <f>"54112023062815215578422"</f>
        <v>54112023062815215578422</v>
      </c>
      <c r="C1586" s="9" t="s">
        <v>14</v>
      </c>
      <c r="D1586" s="9" t="str">
        <f>"王金丹"</f>
        <v>王金丹</v>
      </c>
    </row>
    <row r="1587" spans="1:4" ht="34.5" customHeight="1">
      <c r="A1587" s="8">
        <v>1585</v>
      </c>
      <c r="B1587" s="9" t="str">
        <f>"54112023062816012078634"</f>
        <v>54112023062816012078634</v>
      </c>
      <c r="C1587" s="9" t="s">
        <v>14</v>
      </c>
      <c r="D1587" s="9" t="str">
        <f>"吴倩雯"</f>
        <v>吴倩雯</v>
      </c>
    </row>
    <row r="1588" spans="1:4" ht="34.5" customHeight="1">
      <c r="A1588" s="8">
        <v>1586</v>
      </c>
      <c r="B1588" s="9" t="str">
        <f>"54112023062816300578767"</f>
        <v>54112023062816300578767</v>
      </c>
      <c r="C1588" s="9" t="s">
        <v>14</v>
      </c>
      <c r="D1588" s="9" t="str">
        <f>"曹杨琪"</f>
        <v>曹杨琪</v>
      </c>
    </row>
    <row r="1589" spans="1:4" ht="34.5" customHeight="1">
      <c r="A1589" s="8">
        <v>1587</v>
      </c>
      <c r="B1589" s="9" t="str">
        <f>"54112023062811501177614"</f>
        <v>54112023062811501177614</v>
      </c>
      <c r="C1589" s="9" t="s">
        <v>14</v>
      </c>
      <c r="D1589" s="9" t="str">
        <f>"文陈华"</f>
        <v>文陈华</v>
      </c>
    </row>
    <row r="1590" spans="1:4" ht="34.5" customHeight="1">
      <c r="A1590" s="8">
        <v>1588</v>
      </c>
      <c r="B1590" s="9" t="str">
        <f>"54112023062816472578840"</f>
        <v>54112023062816472578840</v>
      </c>
      <c r="C1590" s="9" t="s">
        <v>14</v>
      </c>
      <c r="D1590" s="9" t="str">
        <f>"李智明"</f>
        <v>李智明</v>
      </c>
    </row>
    <row r="1591" spans="1:4" ht="34.5" customHeight="1">
      <c r="A1591" s="8">
        <v>1589</v>
      </c>
      <c r="B1591" s="9" t="str">
        <f>"54112023062718414375380"</f>
        <v>54112023062718414375380</v>
      </c>
      <c r="C1591" s="9" t="s">
        <v>14</v>
      </c>
      <c r="D1591" s="9" t="str">
        <f>"符霞"</f>
        <v>符霞</v>
      </c>
    </row>
    <row r="1592" spans="1:4" ht="34.5" customHeight="1">
      <c r="A1592" s="8">
        <v>1590</v>
      </c>
      <c r="B1592" s="9" t="str">
        <f>"54112023062518054963687"</f>
        <v>54112023062518054963687</v>
      </c>
      <c r="C1592" s="9" t="s">
        <v>14</v>
      </c>
      <c r="D1592" s="9" t="str">
        <f>"刘莹"</f>
        <v>刘莹</v>
      </c>
    </row>
    <row r="1593" spans="1:4" ht="34.5" customHeight="1">
      <c r="A1593" s="8">
        <v>1591</v>
      </c>
      <c r="B1593" s="9" t="str">
        <f>"54112023062818542179299"</f>
        <v>54112023062818542179299</v>
      </c>
      <c r="C1593" s="9" t="s">
        <v>14</v>
      </c>
      <c r="D1593" s="9" t="str">
        <f>"苏家露"</f>
        <v>苏家露</v>
      </c>
    </row>
    <row r="1594" spans="1:4" ht="34.5" customHeight="1">
      <c r="A1594" s="8">
        <v>1592</v>
      </c>
      <c r="B1594" s="9" t="str">
        <f>"54112023062818335679237"</f>
        <v>54112023062818335679237</v>
      </c>
      <c r="C1594" s="9" t="s">
        <v>14</v>
      </c>
      <c r="D1594" s="9" t="str">
        <f>"赵日梅"</f>
        <v>赵日梅</v>
      </c>
    </row>
    <row r="1595" spans="1:4" ht="34.5" customHeight="1">
      <c r="A1595" s="8">
        <v>1593</v>
      </c>
      <c r="B1595" s="9" t="str">
        <f>"54112023062821435779895"</f>
        <v>54112023062821435779895</v>
      </c>
      <c r="C1595" s="9" t="s">
        <v>14</v>
      </c>
      <c r="D1595" s="9" t="str">
        <f>"林妮"</f>
        <v>林妮</v>
      </c>
    </row>
    <row r="1596" spans="1:4" ht="34.5" customHeight="1">
      <c r="A1596" s="8">
        <v>1594</v>
      </c>
      <c r="B1596" s="9" t="str">
        <f>"54112023062823031180207"</f>
        <v>54112023062823031180207</v>
      </c>
      <c r="C1596" s="9" t="s">
        <v>14</v>
      </c>
      <c r="D1596" s="9" t="str">
        <f>"吴宏宇"</f>
        <v>吴宏宇</v>
      </c>
    </row>
    <row r="1597" spans="1:4" ht="34.5" customHeight="1">
      <c r="A1597" s="8">
        <v>1595</v>
      </c>
      <c r="B1597" s="9" t="str">
        <f>"54112023062521210464499"</f>
        <v>54112023062521210464499</v>
      </c>
      <c r="C1597" s="9" t="s">
        <v>14</v>
      </c>
      <c r="D1597" s="9" t="str">
        <f>"石长星"</f>
        <v>石长星</v>
      </c>
    </row>
    <row r="1598" spans="1:4" ht="34.5" customHeight="1">
      <c r="A1598" s="8">
        <v>1596</v>
      </c>
      <c r="B1598" s="9" t="str">
        <f>"54112023062818210079187"</f>
        <v>54112023062818210079187</v>
      </c>
      <c r="C1598" s="9" t="s">
        <v>14</v>
      </c>
      <c r="D1598" s="9" t="str">
        <f>"黄秋月"</f>
        <v>黄秋月</v>
      </c>
    </row>
    <row r="1599" spans="1:4" ht="34.5" customHeight="1">
      <c r="A1599" s="8">
        <v>1597</v>
      </c>
      <c r="B1599" s="9" t="str">
        <f>"54112023062709315772407"</f>
        <v>54112023062709315772407</v>
      </c>
      <c r="C1599" s="9" t="s">
        <v>14</v>
      </c>
      <c r="D1599" s="9" t="str">
        <f>"邢潇斤"</f>
        <v>邢潇斤</v>
      </c>
    </row>
    <row r="1600" spans="1:4" ht="34.5" customHeight="1">
      <c r="A1600" s="8">
        <v>1598</v>
      </c>
      <c r="B1600" s="9" t="str">
        <f>"54112023062517151863499"</f>
        <v>54112023062517151863499</v>
      </c>
      <c r="C1600" s="9" t="s">
        <v>14</v>
      </c>
      <c r="D1600" s="9" t="str">
        <f>"李廷轲"</f>
        <v>李廷轲</v>
      </c>
    </row>
    <row r="1601" spans="1:4" ht="34.5" customHeight="1">
      <c r="A1601" s="8">
        <v>1599</v>
      </c>
      <c r="B1601" s="9" t="str">
        <f>"54112023062918175784526"</f>
        <v>54112023062918175784526</v>
      </c>
      <c r="C1601" s="9" t="s">
        <v>14</v>
      </c>
      <c r="D1601" s="9" t="str">
        <f>"李秀妹"</f>
        <v>李秀妹</v>
      </c>
    </row>
    <row r="1602" spans="1:4" ht="34.5" customHeight="1">
      <c r="A1602" s="8">
        <v>1600</v>
      </c>
      <c r="B1602" s="9" t="str">
        <f>"54112023062520515964336"</f>
        <v>54112023062520515964336</v>
      </c>
      <c r="C1602" s="9" t="s">
        <v>14</v>
      </c>
      <c r="D1602" s="9" t="str">
        <f>"林师蔚"</f>
        <v>林师蔚</v>
      </c>
    </row>
    <row r="1603" spans="1:4" ht="34.5" customHeight="1">
      <c r="A1603" s="8">
        <v>1601</v>
      </c>
      <c r="B1603" s="9" t="str">
        <f>"54112023063008255786783"</f>
        <v>54112023063008255786783</v>
      </c>
      <c r="C1603" s="9" t="s">
        <v>14</v>
      </c>
      <c r="D1603" s="9" t="str">
        <f>"符家浩"</f>
        <v>符家浩</v>
      </c>
    </row>
    <row r="1604" spans="1:4" ht="34.5" customHeight="1">
      <c r="A1604" s="8">
        <v>1602</v>
      </c>
      <c r="B1604" s="9" t="str">
        <f>"54112023063020151790342"</f>
        <v>54112023063020151790342</v>
      </c>
      <c r="C1604" s="9" t="s">
        <v>14</v>
      </c>
      <c r="D1604" s="9" t="str">
        <f>"王筱"</f>
        <v>王筱</v>
      </c>
    </row>
    <row r="1605" spans="1:4" ht="34.5" customHeight="1">
      <c r="A1605" s="8">
        <v>1603</v>
      </c>
      <c r="B1605" s="9" t="str">
        <f>"54112023063023510190733"</f>
        <v>54112023063023510190733</v>
      </c>
      <c r="C1605" s="9" t="s">
        <v>14</v>
      </c>
      <c r="D1605" s="9" t="str">
        <f>"陈菁菁"</f>
        <v>陈菁菁</v>
      </c>
    </row>
    <row r="1606" spans="1:4" ht="34.5" customHeight="1">
      <c r="A1606" s="8">
        <v>1604</v>
      </c>
      <c r="B1606" s="9" t="str">
        <f>"54112023070110502491154"</f>
        <v>54112023070110502491154</v>
      </c>
      <c r="C1606" s="9" t="s">
        <v>14</v>
      </c>
      <c r="D1606" s="9" t="str">
        <f>"李玉妹"</f>
        <v>李玉妹</v>
      </c>
    </row>
    <row r="1607" spans="1:4" ht="34.5" customHeight="1">
      <c r="A1607" s="8">
        <v>1605</v>
      </c>
      <c r="B1607" s="9" t="str">
        <f>"54112023062920422085272"</f>
        <v>54112023062920422085272</v>
      </c>
      <c r="C1607" s="9" t="s">
        <v>14</v>
      </c>
      <c r="D1607" s="9" t="str">
        <f>"李博蕃"</f>
        <v>李博蕃</v>
      </c>
    </row>
    <row r="1608" spans="1:4" ht="34.5" customHeight="1">
      <c r="A1608" s="8">
        <v>1606</v>
      </c>
      <c r="B1608" s="9" t="str">
        <f>"54112023062518515063846"</f>
        <v>54112023062518515063846</v>
      </c>
      <c r="C1608" s="9" t="s">
        <v>14</v>
      </c>
      <c r="D1608" s="9" t="str">
        <f>"林英"</f>
        <v>林英</v>
      </c>
    </row>
    <row r="1609" spans="1:4" ht="34.5" customHeight="1">
      <c r="A1609" s="8">
        <v>1607</v>
      </c>
      <c r="B1609" s="9" t="str">
        <f>"54112023070218374494364"</f>
        <v>54112023070218374494364</v>
      </c>
      <c r="C1609" s="9" t="s">
        <v>14</v>
      </c>
      <c r="D1609" s="9" t="str">
        <f>"王榆媛"</f>
        <v>王榆媛</v>
      </c>
    </row>
    <row r="1610" spans="1:4" ht="34.5" customHeight="1">
      <c r="A1610" s="8">
        <v>1608</v>
      </c>
      <c r="B1610" s="9" t="str">
        <f>"54112023070219155294434"</f>
        <v>54112023070219155294434</v>
      </c>
      <c r="C1610" s="9" t="s">
        <v>14</v>
      </c>
      <c r="D1610" s="9" t="str">
        <f>"王朝"</f>
        <v>王朝</v>
      </c>
    </row>
    <row r="1611" spans="1:4" ht="34.5" customHeight="1">
      <c r="A1611" s="8">
        <v>1609</v>
      </c>
      <c r="B1611" s="9" t="str">
        <f>"54112023070308374395356"</f>
        <v>54112023070308374395356</v>
      </c>
      <c r="C1611" s="9" t="s">
        <v>14</v>
      </c>
      <c r="D1611" s="9" t="str">
        <f>"黄柳"</f>
        <v>黄柳</v>
      </c>
    </row>
    <row r="1612" spans="1:4" ht="34.5" customHeight="1">
      <c r="A1612" s="8">
        <v>1610</v>
      </c>
      <c r="B1612" s="9" t="str">
        <f>"54112023070308323695337"</f>
        <v>54112023070308323695337</v>
      </c>
      <c r="C1612" s="9" t="s">
        <v>14</v>
      </c>
      <c r="D1612" s="9" t="str">
        <f>"翁先洁"</f>
        <v>翁先洁</v>
      </c>
    </row>
    <row r="1613" spans="1:4" ht="34.5" customHeight="1">
      <c r="A1613" s="8">
        <v>1611</v>
      </c>
      <c r="B1613" s="9" t="str">
        <f>"54112023070307494695266"</f>
        <v>54112023070307494695266</v>
      </c>
      <c r="C1613" s="9" t="s">
        <v>14</v>
      </c>
      <c r="D1613" s="9" t="str">
        <f>"杨传丽"</f>
        <v>杨传丽</v>
      </c>
    </row>
    <row r="1614" spans="1:4" ht="34.5" customHeight="1">
      <c r="A1614" s="8">
        <v>1612</v>
      </c>
      <c r="B1614" s="9" t="str">
        <f>"54112023070310221196221"</f>
        <v>54112023070310221196221</v>
      </c>
      <c r="C1614" s="9" t="s">
        <v>14</v>
      </c>
      <c r="D1614" s="9" t="str">
        <f>"王梅"</f>
        <v>王梅</v>
      </c>
    </row>
    <row r="1615" spans="1:4" ht="34.5" customHeight="1">
      <c r="A1615" s="8">
        <v>1613</v>
      </c>
      <c r="B1615" s="9" t="str">
        <f>"54112023062709535472542"</f>
        <v>54112023062709535472542</v>
      </c>
      <c r="C1615" s="9" t="s">
        <v>14</v>
      </c>
      <c r="D1615" s="9" t="str">
        <f>"张其召"</f>
        <v>张其召</v>
      </c>
    </row>
    <row r="1616" spans="1:4" ht="34.5" customHeight="1">
      <c r="A1616" s="8">
        <v>1614</v>
      </c>
      <c r="B1616" s="9" t="str">
        <f>"54112023062620285070906"</f>
        <v>54112023062620285070906</v>
      </c>
      <c r="C1616" s="9" t="s">
        <v>14</v>
      </c>
      <c r="D1616" s="9" t="str">
        <f>"邱达勋"</f>
        <v>邱达勋</v>
      </c>
    </row>
    <row r="1617" spans="1:4" ht="34.5" customHeight="1">
      <c r="A1617" s="8">
        <v>1615</v>
      </c>
      <c r="B1617" s="9" t="str">
        <f>"54112023070310463796413"</f>
        <v>54112023070310463796413</v>
      </c>
      <c r="C1617" s="9" t="s">
        <v>14</v>
      </c>
      <c r="D1617" s="9" t="str">
        <f>"王乃威"</f>
        <v>王乃威</v>
      </c>
    </row>
    <row r="1618" spans="1:4" ht="34.5" customHeight="1">
      <c r="A1618" s="8">
        <v>1616</v>
      </c>
      <c r="B1618" s="9" t="str">
        <f>"54112023070308271295315"</f>
        <v>54112023070308271295315</v>
      </c>
      <c r="C1618" s="9" t="s">
        <v>14</v>
      </c>
      <c r="D1618" s="9" t="str">
        <f>"陈雪"</f>
        <v>陈雪</v>
      </c>
    </row>
    <row r="1619" spans="1:4" ht="34.5" customHeight="1">
      <c r="A1619" s="8">
        <v>1617</v>
      </c>
      <c r="B1619" s="9" t="str">
        <f>"54112023070312464997169"</f>
        <v>54112023070312464997169</v>
      </c>
      <c r="C1619" s="9" t="s">
        <v>14</v>
      </c>
      <c r="D1619" s="9" t="str">
        <f>"王世月"</f>
        <v>王世月</v>
      </c>
    </row>
    <row r="1620" spans="1:4" ht="34.5" customHeight="1">
      <c r="A1620" s="8">
        <v>1618</v>
      </c>
      <c r="B1620" s="9" t="str">
        <f>"54112023062618211370349"</f>
        <v>54112023062618211370349</v>
      </c>
      <c r="C1620" s="9" t="s">
        <v>14</v>
      </c>
      <c r="D1620" s="9" t="str">
        <f>"邢哪雪"</f>
        <v>邢哪雪</v>
      </c>
    </row>
    <row r="1621" spans="1:4" ht="34.5" customHeight="1">
      <c r="A1621" s="8">
        <v>1619</v>
      </c>
      <c r="B1621" s="9" t="str">
        <f>"54112023070316113498230"</f>
        <v>54112023070316113498230</v>
      </c>
      <c r="C1621" s="9" t="s">
        <v>14</v>
      </c>
      <c r="D1621" s="9" t="str">
        <f>"王佳硕"</f>
        <v>王佳硕</v>
      </c>
    </row>
    <row r="1622" spans="1:4" ht="34.5" customHeight="1">
      <c r="A1622" s="8">
        <v>1620</v>
      </c>
      <c r="B1622" s="9" t="str">
        <f>"54112023070315523298128"</f>
        <v>54112023070315523298128</v>
      </c>
      <c r="C1622" s="9" t="s">
        <v>14</v>
      </c>
      <c r="D1622" s="9" t="str">
        <f>"林心怡"</f>
        <v>林心怡</v>
      </c>
    </row>
    <row r="1623" spans="1:4" ht="34.5" customHeight="1">
      <c r="A1623" s="8">
        <v>1621</v>
      </c>
      <c r="B1623" s="9" t="str">
        <f>"54112023070321063999560"</f>
        <v>54112023070321063999560</v>
      </c>
      <c r="C1623" s="9" t="s">
        <v>14</v>
      </c>
      <c r="D1623" s="9" t="str">
        <f>"邱华南"</f>
        <v>邱华南</v>
      </c>
    </row>
    <row r="1624" spans="1:4" ht="34.5" customHeight="1">
      <c r="A1624" s="8">
        <v>1622</v>
      </c>
      <c r="B1624" s="9" t="str">
        <f>"54112023070321042399546"</f>
        <v>54112023070321042399546</v>
      </c>
      <c r="C1624" s="9" t="s">
        <v>14</v>
      </c>
      <c r="D1624" s="9" t="str">
        <f>"林彬"</f>
        <v>林彬</v>
      </c>
    </row>
    <row r="1625" spans="1:4" ht="34.5" customHeight="1">
      <c r="A1625" s="8">
        <v>1623</v>
      </c>
      <c r="B1625" s="9" t="str">
        <f>"54112023070321440299761"</f>
        <v>54112023070321440299761</v>
      </c>
      <c r="C1625" s="9" t="s">
        <v>14</v>
      </c>
      <c r="D1625" s="9" t="str">
        <f>"林敏敏"</f>
        <v>林敏敏</v>
      </c>
    </row>
    <row r="1626" spans="1:4" ht="34.5" customHeight="1">
      <c r="A1626" s="8">
        <v>1624</v>
      </c>
      <c r="B1626" s="9" t="str">
        <f>"54112023070321391099739"</f>
        <v>54112023070321391099739</v>
      </c>
      <c r="C1626" s="9" t="s">
        <v>14</v>
      </c>
      <c r="D1626" s="9" t="str">
        <f>"蔡飘飘"</f>
        <v>蔡飘飘</v>
      </c>
    </row>
    <row r="1627" spans="1:4" ht="34.5" customHeight="1">
      <c r="A1627" s="8">
        <v>1625</v>
      </c>
      <c r="B1627" s="9" t="str">
        <f>"54112023070210251293156"</f>
        <v>54112023070210251293156</v>
      </c>
      <c r="C1627" s="9" t="s">
        <v>14</v>
      </c>
      <c r="D1627" s="9" t="str">
        <f>"谢林海"</f>
        <v>谢林海</v>
      </c>
    </row>
    <row r="1628" spans="1:4" ht="34.5" customHeight="1">
      <c r="A1628" s="8">
        <v>1626</v>
      </c>
      <c r="B1628" s="9" t="str">
        <f>"54112023070321324199706"</f>
        <v>54112023070321324199706</v>
      </c>
      <c r="C1628" s="9" t="s">
        <v>14</v>
      </c>
      <c r="D1628" s="9" t="str">
        <f>"王巧婷"</f>
        <v>王巧婷</v>
      </c>
    </row>
    <row r="1629" spans="1:4" ht="34.5" customHeight="1">
      <c r="A1629" s="8">
        <v>1627</v>
      </c>
      <c r="B1629" s="9" t="str">
        <f>"54112023070322050599864"</f>
        <v>54112023070322050599864</v>
      </c>
      <c r="C1629" s="9" t="s">
        <v>14</v>
      </c>
      <c r="D1629" s="9" t="str">
        <f>"王朝虹"</f>
        <v>王朝虹</v>
      </c>
    </row>
    <row r="1630" spans="1:4" ht="34.5" customHeight="1">
      <c r="A1630" s="8">
        <v>1628</v>
      </c>
      <c r="B1630" s="9" t="str">
        <f>"54112023070322011399839"</f>
        <v>54112023070322011399839</v>
      </c>
      <c r="C1630" s="9" t="s">
        <v>14</v>
      </c>
      <c r="D1630" s="9" t="str">
        <f>"黄慧颖"</f>
        <v>黄慧颖</v>
      </c>
    </row>
    <row r="1631" spans="1:4" ht="34.5" customHeight="1">
      <c r="A1631" s="8">
        <v>1629</v>
      </c>
      <c r="B1631" s="9" t="str">
        <f>"541120230703231313100153"</f>
        <v>541120230703231313100153</v>
      </c>
      <c r="C1631" s="9" t="s">
        <v>14</v>
      </c>
      <c r="D1631" s="9" t="str">
        <f>"唐燕萍"</f>
        <v>唐燕萍</v>
      </c>
    </row>
    <row r="1632" spans="1:4" ht="34.5" customHeight="1">
      <c r="A1632" s="8">
        <v>1630</v>
      </c>
      <c r="B1632" s="9" t="str">
        <f>"54112023062919364284910"</f>
        <v>54112023062919364284910</v>
      </c>
      <c r="C1632" s="9" t="s">
        <v>14</v>
      </c>
      <c r="D1632" s="9" t="str">
        <f>"梁珀玮"</f>
        <v>梁珀玮</v>
      </c>
    </row>
    <row r="1633" spans="1:4" ht="34.5" customHeight="1">
      <c r="A1633" s="8">
        <v>1631</v>
      </c>
      <c r="B1633" s="9" t="str">
        <f>"54112023070315312597998"</f>
        <v>54112023070315312597998</v>
      </c>
      <c r="C1633" s="9" t="s">
        <v>14</v>
      </c>
      <c r="D1633" s="9" t="str">
        <f>"符莲俐"</f>
        <v>符莲俐</v>
      </c>
    </row>
    <row r="1634" spans="1:4" ht="34.5" customHeight="1">
      <c r="A1634" s="8">
        <v>1632</v>
      </c>
      <c r="B1634" s="9" t="str">
        <f>"54112023070322115299907"</f>
        <v>54112023070322115299907</v>
      </c>
      <c r="C1634" s="9" t="s">
        <v>14</v>
      </c>
      <c r="D1634" s="9" t="str">
        <f>"王旺鑫"</f>
        <v>王旺鑫</v>
      </c>
    </row>
    <row r="1635" spans="1:4" ht="34.5" customHeight="1">
      <c r="A1635" s="8">
        <v>1633</v>
      </c>
      <c r="B1635" s="9" t="str">
        <f>"541120230704024621100417"</f>
        <v>541120230704024621100417</v>
      </c>
      <c r="C1635" s="9" t="s">
        <v>14</v>
      </c>
      <c r="D1635" s="9" t="str">
        <f>"刘恩辰"</f>
        <v>刘恩辰</v>
      </c>
    </row>
    <row r="1636" spans="1:4" ht="34.5" customHeight="1">
      <c r="A1636" s="8">
        <v>1634</v>
      </c>
      <c r="B1636" s="9" t="str">
        <f>"54112023070318363598925"</f>
        <v>54112023070318363598925</v>
      </c>
      <c r="C1636" s="9" t="s">
        <v>14</v>
      </c>
      <c r="D1636" s="9" t="str">
        <f>"苏永琪"</f>
        <v>苏永琪</v>
      </c>
    </row>
    <row r="1637" spans="1:4" ht="34.5" customHeight="1">
      <c r="A1637" s="8">
        <v>1635</v>
      </c>
      <c r="B1637" s="9" t="str">
        <f>"541120230704084805100652"</f>
        <v>541120230704084805100652</v>
      </c>
      <c r="C1637" s="9" t="s">
        <v>14</v>
      </c>
      <c r="D1637" s="9" t="str">
        <f>"罗妍艾"</f>
        <v>罗妍艾</v>
      </c>
    </row>
    <row r="1638" spans="1:4" ht="34.5" customHeight="1">
      <c r="A1638" s="8">
        <v>1636</v>
      </c>
      <c r="B1638" s="9" t="str">
        <f>"541120230704101830101046"</f>
        <v>541120230704101830101046</v>
      </c>
      <c r="C1638" s="9" t="s">
        <v>14</v>
      </c>
      <c r="D1638" s="9" t="str">
        <f>"陈玉湲"</f>
        <v>陈玉湲</v>
      </c>
    </row>
    <row r="1639" spans="1:4" ht="34.5" customHeight="1">
      <c r="A1639" s="8">
        <v>1637</v>
      </c>
      <c r="B1639" s="9" t="str">
        <f>"541120230704084135100634"</f>
        <v>541120230704084135100634</v>
      </c>
      <c r="C1639" s="9" t="s">
        <v>14</v>
      </c>
      <c r="D1639" s="9" t="str">
        <f>"王鼎日"</f>
        <v>王鼎日</v>
      </c>
    </row>
    <row r="1640" spans="1:4" ht="34.5" customHeight="1">
      <c r="A1640" s="8">
        <v>1638</v>
      </c>
      <c r="B1640" s="9" t="str">
        <f>"541120230704100556101009"</f>
        <v>541120230704100556101009</v>
      </c>
      <c r="C1640" s="9" t="s">
        <v>14</v>
      </c>
      <c r="D1640" s="9" t="str">
        <f>"黄秀何"</f>
        <v>黄秀何</v>
      </c>
    </row>
    <row r="1641" spans="1:4" ht="34.5" customHeight="1">
      <c r="A1641" s="8">
        <v>1639</v>
      </c>
      <c r="B1641" s="9" t="str">
        <f>"54112023062509101859884"</f>
        <v>54112023062509101859884</v>
      </c>
      <c r="C1641" s="9" t="s">
        <v>15</v>
      </c>
      <c r="D1641" s="9" t="str">
        <f>"符乃娟"</f>
        <v>符乃娟</v>
      </c>
    </row>
    <row r="1642" spans="1:4" ht="34.5" customHeight="1">
      <c r="A1642" s="8">
        <v>1640</v>
      </c>
      <c r="B1642" s="9" t="str">
        <f>"54112023062511122660957"</f>
        <v>54112023062511122660957</v>
      </c>
      <c r="C1642" s="9" t="s">
        <v>15</v>
      </c>
      <c r="D1642" s="9" t="str">
        <f>"李娇芬"</f>
        <v>李娇芬</v>
      </c>
    </row>
    <row r="1643" spans="1:4" ht="34.5" customHeight="1">
      <c r="A1643" s="8">
        <v>1641</v>
      </c>
      <c r="B1643" s="9" t="str">
        <f>"54112023062510585760865"</f>
        <v>54112023062510585760865</v>
      </c>
      <c r="C1643" s="9" t="s">
        <v>15</v>
      </c>
      <c r="D1643" s="9" t="str">
        <f>"李梦晓"</f>
        <v>李梦晓</v>
      </c>
    </row>
    <row r="1644" spans="1:4" ht="34.5" customHeight="1">
      <c r="A1644" s="8">
        <v>1642</v>
      </c>
      <c r="B1644" s="9" t="str">
        <f>"54112023062512123261802"</f>
        <v>54112023062512123261802</v>
      </c>
      <c r="C1644" s="9" t="s">
        <v>15</v>
      </c>
      <c r="D1644" s="9" t="str">
        <f>"陈兴梁"</f>
        <v>陈兴梁</v>
      </c>
    </row>
    <row r="1645" spans="1:4" ht="34.5" customHeight="1">
      <c r="A1645" s="8">
        <v>1643</v>
      </c>
      <c r="B1645" s="9" t="str">
        <f>"54112023062512504062076"</f>
        <v>54112023062512504062076</v>
      </c>
      <c r="C1645" s="9" t="s">
        <v>15</v>
      </c>
      <c r="D1645" s="9" t="str">
        <f>"黎惠娴"</f>
        <v>黎惠娴</v>
      </c>
    </row>
    <row r="1646" spans="1:4" ht="34.5" customHeight="1">
      <c r="A1646" s="8">
        <v>1644</v>
      </c>
      <c r="B1646" s="9" t="str">
        <f>"54112023062511114860951"</f>
        <v>54112023062511114860951</v>
      </c>
      <c r="C1646" s="9" t="s">
        <v>15</v>
      </c>
      <c r="D1646" s="9" t="str">
        <f>"陈卓"</f>
        <v>陈卓</v>
      </c>
    </row>
    <row r="1647" spans="1:4" ht="34.5" customHeight="1">
      <c r="A1647" s="8">
        <v>1645</v>
      </c>
      <c r="B1647" s="9" t="str">
        <f>"54112023062515463263038"</f>
        <v>54112023062515463263038</v>
      </c>
      <c r="C1647" s="9" t="s">
        <v>15</v>
      </c>
      <c r="D1647" s="9" t="str">
        <f>"吴松金"</f>
        <v>吴松金</v>
      </c>
    </row>
    <row r="1648" spans="1:4" ht="34.5" customHeight="1">
      <c r="A1648" s="8">
        <v>1646</v>
      </c>
      <c r="B1648" s="9" t="str">
        <f>"54112023062510131260530"</f>
        <v>54112023062510131260530</v>
      </c>
      <c r="C1648" s="9" t="s">
        <v>15</v>
      </c>
      <c r="D1648" s="9" t="str">
        <f>"陈丽帆"</f>
        <v>陈丽帆</v>
      </c>
    </row>
    <row r="1649" spans="1:4" ht="34.5" customHeight="1">
      <c r="A1649" s="8">
        <v>1647</v>
      </c>
      <c r="B1649" s="9" t="str">
        <f>"54112023062517450263607"</f>
        <v>54112023062517450263607</v>
      </c>
      <c r="C1649" s="9" t="s">
        <v>15</v>
      </c>
      <c r="D1649" s="9" t="str">
        <f>"晏先丽"</f>
        <v>晏先丽</v>
      </c>
    </row>
    <row r="1650" spans="1:4" ht="34.5" customHeight="1">
      <c r="A1650" s="8">
        <v>1648</v>
      </c>
      <c r="B1650" s="9" t="str">
        <f>"54112023062517545063649"</f>
        <v>54112023062517545063649</v>
      </c>
      <c r="C1650" s="9" t="s">
        <v>15</v>
      </c>
      <c r="D1650" s="9" t="str">
        <f>"吴金贞"</f>
        <v>吴金贞</v>
      </c>
    </row>
    <row r="1651" spans="1:4" ht="34.5" customHeight="1">
      <c r="A1651" s="8">
        <v>1649</v>
      </c>
      <c r="B1651" s="9" t="str">
        <f>"54112023062510533960835"</f>
        <v>54112023062510533960835</v>
      </c>
      <c r="C1651" s="9" t="s">
        <v>15</v>
      </c>
      <c r="D1651" s="9" t="str">
        <f>"黄丽"</f>
        <v>黄丽</v>
      </c>
    </row>
    <row r="1652" spans="1:4" ht="34.5" customHeight="1">
      <c r="A1652" s="8">
        <v>1650</v>
      </c>
      <c r="B1652" s="9" t="str">
        <f>"54112023062519035663900"</f>
        <v>54112023062519035663900</v>
      </c>
      <c r="C1652" s="9" t="s">
        <v>15</v>
      </c>
      <c r="D1652" s="9" t="str">
        <f>"陈艳"</f>
        <v>陈艳</v>
      </c>
    </row>
    <row r="1653" spans="1:4" ht="34.5" customHeight="1">
      <c r="A1653" s="8">
        <v>1651</v>
      </c>
      <c r="B1653" s="9" t="str">
        <f>"54112023062518365663784"</f>
        <v>54112023062518365663784</v>
      </c>
      <c r="C1653" s="9" t="s">
        <v>15</v>
      </c>
      <c r="D1653" s="9" t="str">
        <f>"王昌海"</f>
        <v>王昌海</v>
      </c>
    </row>
    <row r="1654" spans="1:4" ht="34.5" customHeight="1">
      <c r="A1654" s="8">
        <v>1652</v>
      </c>
      <c r="B1654" s="9" t="str">
        <f>"54112023062520210564192"</f>
        <v>54112023062520210564192</v>
      </c>
      <c r="C1654" s="9" t="s">
        <v>15</v>
      </c>
      <c r="D1654" s="9" t="str">
        <f>"李彬"</f>
        <v>李彬</v>
      </c>
    </row>
    <row r="1655" spans="1:4" ht="34.5" customHeight="1">
      <c r="A1655" s="8">
        <v>1653</v>
      </c>
      <c r="B1655" s="9" t="str">
        <f>"54112023062518460363824"</f>
        <v>54112023062518460363824</v>
      </c>
      <c r="C1655" s="9" t="s">
        <v>15</v>
      </c>
      <c r="D1655" s="9" t="str">
        <f>"王慧"</f>
        <v>王慧</v>
      </c>
    </row>
    <row r="1656" spans="1:4" ht="34.5" customHeight="1">
      <c r="A1656" s="8">
        <v>1654</v>
      </c>
      <c r="B1656" s="9" t="str">
        <f>"54112023062520514164335"</f>
        <v>54112023062520514164335</v>
      </c>
      <c r="C1656" s="9" t="s">
        <v>15</v>
      </c>
      <c r="D1656" s="9" t="str">
        <f>"刘志雯"</f>
        <v>刘志雯</v>
      </c>
    </row>
    <row r="1657" spans="1:4" ht="34.5" customHeight="1">
      <c r="A1657" s="8">
        <v>1655</v>
      </c>
      <c r="B1657" s="9" t="str">
        <f>"54112023062516310163289"</f>
        <v>54112023062516310163289</v>
      </c>
      <c r="C1657" s="9" t="s">
        <v>15</v>
      </c>
      <c r="D1657" s="9" t="str">
        <f>"黄昕"</f>
        <v>黄昕</v>
      </c>
    </row>
    <row r="1658" spans="1:4" ht="34.5" customHeight="1">
      <c r="A1658" s="8">
        <v>1656</v>
      </c>
      <c r="B1658" s="9" t="str">
        <f>"54112023062522423764845"</f>
        <v>54112023062522423764845</v>
      </c>
      <c r="C1658" s="9" t="s">
        <v>15</v>
      </c>
      <c r="D1658" s="9" t="str">
        <f>"林海宁"</f>
        <v>林海宁</v>
      </c>
    </row>
    <row r="1659" spans="1:4" ht="34.5" customHeight="1">
      <c r="A1659" s="8">
        <v>1657</v>
      </c>
      <c r="B1659" s="9" t="str">
        <f>"54112023062608405265393"</f>
        <v>54112023062608405265393</v>
      </c>
      <c r="C1659" s="9" t="s">
        <v>15</v>
      </c>
      <c r="D1659" s="9" t="str">
        <f>"符慧倩"</f>
        <v>符慧倩</v>
      </c>
    </row>
    <row r="1660" spans="1:4" ht="34.5" customHeight="1">
      <c r="A1660" s="8">
        <v>1658</v>
      </c>
      <c r="B1660" s="9" t="str">
        <f>"54112023062609454666351"</f>
        <v>54112023062609454666351</v>
      </c>
      <c r="C1660" s="9" t="s">
        <v>15</v>
      </c>
      <c r="D1660" s="9" t="str">
        <f>"钱玮珊"</f>
        <v>钱玮珊</v>
      </c>
    </row>
    <row r="1661" spans="1:4" ht="34.5" customHeight="1">
      <c r="A1661" s="8">
        <v>1659</v>
      </c>
      <c r="B1661" s="9" t="str">
        <f>"54112023062611541468029"</f>
        <v>54112023062611541468029</v>
      </c>
      <c r="C1661" s="9" t="s">
        <v>15</v>
      </c>
      <c r="D1661" s="9" t="str">
        <f>"符家媚"</f>
        <v>符家媚</v>
      </c>
    </row>
    <row r="1662" spans="1:4" ht="34.5" customHeight="1">
      <c r="A1662" s="8">
        <v>1660</v>
      </c>
      <c r="B1662" s="9" t="str">
        <f>"54112023062521204664497"</f>
        <v>54112023062521204664497</v>
      </c>
      <c r="C1662" s="9" t="s">
        <v>15</v>
      </c>
      <c r="D1662" s="9" t="str">
        <f>"张淑娴"</f>
        <v>张淑娴</v>
      </c>
    </row>
    <row r="1663" spans="1:4" ht="34.5" customHeight="1">
      <c r="A1663" s="8">
        <v>1661</v>
      </c>
      <c r="B1663" s="9" t="str">
        <f>"54112023062614514669005"</f>
        <v>54112023062614514669005</v>
      </c>
      <c r="C1663" s="9" t="s">
        <v>15</v>
      </c>
      <c r="D1663" s="9" t="str">
        <f>"蔡燕琼"</f>
        <v>蔡燕琼</v>
      </c>
    </row>
    <row r="1664" spans="1:4" ht="34.5" customHeight="1">
      <c r="A1664" s="8">
        <v>1662</v>
      </c>
      <c r="B1664" s="9" t="str">
        <f>"54112023062615490569418"</f>
        <v>54112023062615490569418</v>
      </c>
      <c r="C1664" s="9" t="s">
        <v>15</v>
      </c>
      <c r="D1664" s="9" t="str">
        <f>"林慧"</f>
        <v>林慧</v>
      </c>
    </row>
    <row r="1665" spans="1:4" ht="34.5" customHeight="1">
      <c r="A1665" s="8">
        <v>1663</v>
      </c>
      <c r="B1665" s="9" t="str">
        <f>"54112023062616191169638"</f>
        <v>54112023062616191169638</v>
      </c>
      <c r="C1665" s="9" t="s">
        <v>15</v>
      </c>
      <c r="D1665" s="9" t="str">
        <f>"陈盛"</f>
        <v>陈盛</v>
      </c>
    </row>
    <row r="1666" spans="1:4" ht="34.5" customHeight="1">
      <c r="A1666" s="8">
        <v>1664</v>
      </c>
      <c r="B1666" s="9" t="str">
        <f>"54112023062616315469727"</f>
        <v>54112023062616315469727</v>
      </c>
      <c r="C1666" s="9" t="s">
        <v>15</v>
      </c>
      <c r="D1666" s="9" t="str">
        <f>"钟信念"</f>
        <v>钟信念</v>
      </c>
    </row>
    <row r="1667" spans="1:4" ht="34.5" customHeight="1">
      <c r="A1667" s="8">
        <v>1665</v>
      </c>
      <c r="B1667" s="9" t="str">
        <f>"54112023062617250370064"</f>
        <v>54112023062617250370064</v>
      </c>
      <c r="C1667" s="9" t="s">
        <v>15</v>
      </c>
      <c r="D1667" s="9" t="str">
        <f>"林朝蝶"</f>
        <v>林朝蝶</v>
      </c>
    </row>
    <row r="1668" spans="1:4" ht="34.5" customHeight="1">
      <c r="A1668" s="8">
        <v>1666</v>
      </c>
      <c r="B1668" s="9" t="str">
        <f>"54112023062611452867945"</f>
        <v>54112023062611452867945</v>
      </c>
      <c r="C1668" s="9" t="s">
        <v>15</v>
      </c>
      <c r="D1668" s="9" t="str">
        <f>"陈三妹"</f>
        <v>陈三妹</v>
      </c>
    </row>
    <row r="1669" spans="1:4" ht="34.5" customHeight="1">
      <c r="A1669" s="8">
        <v>1667</v>
      </c>
      <c r="B1669" s="9" t="str">
        <f>"54112023062510233860607"</f>
        <v>54112023062510233860607</v>
      </c>
      <c r="C1669" s="9" t="s">
        <v>15</v>
      </c>
      <c r="D1669" s="9" t="str">
        <f>"王沐波"</f>
        <v>王沐波</v>
      </c>
    </row>
    <row r="1670" spans="1:4" ht="34.5" customHeight="1">
      <c r="A1670" s="8">
        <v>1668</v>
      </c>
      <c r="B1670" s="9" t="str">
        <f>"54112023062621070871121"</f>
        <v>54112023062621070871121</v>
      </c>
      <c r="C1670" s="9" t="s">
        <v>15</v>
      </c>
      <c r="D1670" s="9" t="str">
        <f>"王媚"</f>
        <v>王媚</v>
      </c>
    </row>
    <row r="1671" spans="1:4" ht="34.5" customHeight="1">
      <c r="A1671" s="8">
        <v>1669</v>
      </c>
      <c r="B1671" s="9" t="str">
        <f>"54112023062509570560366"</f>
        <v>54112023062509570560366</v>
      </c>
      <c r="C1671" s="9" t="s">
        <v>15</v>
      </c>
      <c r="D1671" s="9" t="str">
        <f>"王乔"</f>
        <v>王乔</v>
      </c>
    </row>
    <row r="1672" spans="1:4" ht="34.5" customHeight="1">
      <c r="A1672" s="8">
        <v>1670</v>
      </c>
      <c r="B1672" s="9" t="str">
        <f>"54112023062708540272180"</f>
        <v>54112023062708540272180</v>
      </c>
      <c r="C1672" s="9" t="s">
        <v>15</v>
      </c>
      <c r="D1672" s="9" t="str">
        <f>"蔡丹"</f>
        <v>蔡丹</v>
      </c>
    </row>
    <row r="1673" spans="1:4" ht="34.5" customHeight="1">
      <c r="A1673" s="8">
        <v>1671</v>
      </c>
      <c r="B1673" s="9" t="str">
        <f>"54112023062708535072177"</f>
        <v>54112023062708535072177</v>
      </c>
      <c r="C1673" s="9" t="s">
        <v>15</v>
      </c>
      <c r="D1673" s="9" t="str">
        <f>"王和姑"</f>
        <v>王和姑</v>
      </c>
    </row>
    <row r="1674" spans="1:4" ht="34.5" customHeight="1">
      <c r="A1674" s="8">
        <v>1672</v>
      </c>
      <c r="B1674" s="9" t="str">
        <f>"54112023062611314667826"</f>
        <v>54112023062611314667826</v>
      </c>
      <c r="C1674" s="9" t="s">
        <v>15</v>
      </c>
      <c r="D1674" s="9" t="str">
        <f>"蔡程冰"</f>
        <v>蔡程冰</v>
      </c>
    </row>
    <row r="1675" spans="1:4" ht="34.5" customHeight="1">
      <c r="A1675" s="8">
        <v>1673</v>
      </c>
      <c r="B1675" s="9" t="str">
        <f>"54112023062710044272610"</f>
        <v>54112023062710044272610</v>
      </c>
      <c r="C1675" s="9" t="s">
        <v>15</v>
      </c>
      <c r="D1675" s="9" t="str">
        <f>"周启霞"</f>
        <v>周启霞</v>
      </c>
    </row>
    <row r="1676" spans="1:4" ht="34.5" customHeight="1">
      <c r="A1676" s="8">
        <v>1674</v>
      </c>
      <c r="B1676" s="9" t="str">
        <f>"54112023062713103473757"</f>
        <v>54112023062713103473757</v>
      </c>
      <c r="C1676" s="9" t="s">
        <v>15</v>
      </c>
      <c r="D1676" s="9" t="str">
        <f>"吴思荧"</f>
        <v>吴思荧</v>
      </c>
    </row>
    <row r="1677" spans="1:4" ht="34.5" customHeight="1">
      <c r="A1677" s="8">
        <v>1675</v>
      </c>
      <c r="B1677" s="9" t="str">
        <f>"54112023062610051466676"</f>
        <v>54112023062610051466676</v>
      </c>
      <c r="C1677" s="9" t="s">
        <v>15</v>
      </c>
      <c r="D1677" s="9" t="str">
        <f>"邢路"</f>
        <v>邢路</v>
      </c>
    </row>
    <row r="1678" spans="1:4" ht="34.5" customHeight="1">
      <c r="A1678" s="8">
        <v>1676</v>
      </c>
      <c r="B1678" s="9" t="str">
        <f>"54112023062716085874399"</f>
        <v>54112023062716085874399</v>
      </c>
      <c r="C1678" s="9" t="s">
        <v>15</v>
      </c>
      <c r="D1678" s="9" t="str">
        <f>"罗雅婷"</f>
        <v>罗雅婷</v>
      </c>
    </row>
    <row r="1679" spans="1:4" ht="34.5" customHeight="1">
      <c r="A1679" s="8">
        <v>1677</v>
      </c>
      <c r="B1679" s="9" t="str">
        <f>"54112023062713150773772"</f>
        <v>54112023062713150773772</v>
      </c>
      <c r="C1679" s="9" t="s">
        <v>15</v>
      </c>
      <c r="D1679" s="9" t="str">
        <f>"邱旭"</f>
        <v>邱旭</v>
      </c>
    </row>
    <row r="1680" spans="1:4" ht="34.5" customHeight="1">
      <c r="A1680" s="8">
        <v>1678</v>
      </c>
      <c r="B1680" s="9" t="str">
        <f>"54112023062612372168290"</f>
        <v>54112023062612372168290</v>
      </c>
      <c r="C1680" s="9" t="s">
        <v>15</v>
      </c>
      <c r="D1680" s="9" t="str">
        <f>"王英娃"</f>
        <v>王英娃</v>
      </c>
    </row>
    <row r="1681" spans="1:4" ht="34.5" customHeight="1">
      <c r="A1681" s="8">
        <v>1679</v>
      </c>
      <c r="B1681" s="9" t="str">
        <f>"54112023062721122275881"</f>
        <v>54112023062721122275881</v>
      </c>
      <c r="C1681" s="9" t="s">
        <v>15</v>
      </c>
      <c r="D1681" s="9" t="str">
        <f>"黎天合"</f>
        <v>黎天合</v>
      </c>
    </row>
    <row r="1682" spans="1:4" ht="34.5" customHeight="1">
      <c r="A1682" s="8">
        <v>1680</v>
      </c>
      <c r="B1682" s="9" t="str">
        <f>"54112023062713472873851"</f>
        <v>54112023062713472873851</v>
      </c>
      <c r="C1682" s="9" t="s">
        <v>15</v>
      </c>
      <c r="D1682" s="9" t="str">
        <f>"叶克静"</f>
        <v>叶克静</v>
      </c>
    </row>
    <row r="1683" spans="1:4" ht="34.5" customHeight="1">
      <c r="A1683" s="8">
        <v>1681</v>
      </c>
      <c r="B1683" s="9" t="str">
        <f>"54112023062702284371862"</f>
        <v>54112023062702284371862</v>
      </c>
      <c r="C1683" s="9" t="s">
        <v>15</v>
      </c>
      <c r="D1683" s="9" t="str">
        <f>"蔡石妹"</f>
        <v>蔡石妹</v>
      </c>
    </row>
    <row r="1684" spans="1:4" ht="34.5" customHeight="1">
      <c r="A1684" s="8">
        <v>1682</v>
      </c>
      <c r="B1684" s="9" t="str">
        <f>"54112023062801505376417"</f>
        <v>54112023062801505376417</v>
      </c>
      <c r="C1684" s="9" t="s">
        <v>15</v>
      </c>
      <c r="D1684" s="9" t="str">
        <f>"郑燕菲"</f>
        <v>郑燕菲</v>
      </c>
    </row>
    <row r="1685" spans="1:4" ht="34.5" customHeight="1">
      <c r="A1685" s="8">
        <v>1683</v>
      </c>
      <c r="B1685" s="9" t="str">
        <f>"54112023062714240073953"</f>
        <v>54112023062714240073953</v>
      </c>
      <c r="C1685" s="9" t="s">
        <v>15</v>
      </c>
      <c r="D1685" s="9" t="str">
        <f>"薛以煌"</f>
        <v>薛以煌</v>
      </c>
    </row>
    <row r="1686" spans="1:4" ht="34.5" customHeight="1">
      <c r="A1686" s="8">
        <v>1684</v>
      </c>
      <c r="B1686" s="9" t="str">
        <f>"54112023062714530574063"</f>
        <v>54112023062714530574063</v>
      </c>
      <c r="C1686" s="9" t="s">
        <v>15</v>
      </c>
      <c r="D1686" s="9" t="str">
        <f>"李宗颖"</f>
        <v>李宗颖</v>
      </c>
    </row>
    <row r="1687" spans="1:4" ht="34.5" customHeight="1">
      <c r="A1687" s="8">
        <v>1685</v>
      </c>
      <c r="B1687" s="9" t="str">
        <f>"54112023062809523276957"</f>
        <v>54112023062809523276957</v>
      </c>
      <c r="C1687" s="9" t="s">
        <v>15</v>
      </c>
      <c r="D1687" s="9" t="str">
        <f>"李瑶"</f>
        <v>李瑶</v>
      </c>
    </row>
    <row r="1688" spans="1:4" ht="34.5" customHeight="1">
      <c r="A1688" s="8">
        <v>1686</v>
      </c>
      <c r="B1688" s="9" t="str">
        <f>"54112023062709031472232"</f>
        <v>54112023062709031472232</v>
      </c>
      <c r="C1688" s="9" t="s">
        <v>15</v>
      </c>
      <c r="D1688" s="9" t="str">
        <f>"吴雪梅"</f>
        <v>吴雪梅</v>
      </c>
    </row>
    <row r="1689" spans="1:4" ht="34.5" customHeight="1">
      <c r="A1689" s="8">
        <v>1687</v>
      </c>
      <c r="B1689" s="9" t="str">
        <f>"54112023062811492477608"</f>
        <v>54112023062811492477608</v>
      </c>
      <c r="C1689" s="9" t="s">
        <v>15</v>
      </c>
      <c r="D1689" s="9" t="str">
        <f>"陈国芬"</f>
        <v>陈国芬</v>
      </c>
    </row>
    <row r="1690" spans="1:4" ht="34.5" customHeight="1">
      <c r="A1690" s="8">
        <v>1688</v>
      </c>
      <c r="B1690" s="9" t="str">
        <f>"54112023062513090762168"</f>
        <v>54112023062513090762168</v>
      </c>
      <c r="C1690" s="9" t="s">
        <v>15</v>
      </c>
      <c r="D1690" s="9" t="str">
        <f>"曹诗颖"</f>
        <v>曹诗颖</v>
      </c>
    </row>
    <row r="1691" spans="1:4" ht="34.5" customHeight="1">
      <c r="A1691" s="8">
        <v>1689</v>
      </c>
      <c r="B1691" s="9" t="str">
        <f>"54112023062715111274136"</f>
        <v>54112023062715111274136</v>
      </c>
      <c r="C1691" s="9" t="s">
        <v>15</v>
      </c>
      <c r="D1691" s="9" t="str">
        <f>"杜小燕"</f>
        <v>杜小燕</v>
      </c>
    </row>
    <row r="1692" spans="1:4" ht="34.5" customHeight="1">
      <c r="A1692" s="8">
        <v>1690</v>
      </c>
      <c r="B1692" s="9" t="str">
        <f>"54112023062821380579870"</f>
        <v>54112023062821380579870</v>
      </c>
      <c r="C1692" s="9" t="s">
        <v>15</v>
      </c>
      <c r="D1692" s="9" t="str">
        <f>"钟赛丽"</f>
        <v>钟赛丽</v>
      </c>
    </row>
    <row r="1693" spans="1:4" ht="34.5" customHeight="1">
      <c r="A1693" s="8">
        <v>1691</v>
      </c>
      <c r="B1693" s="9" t="str">
        <f>"54112023062822394480127"</f>
        <v>54112023062822394480127</v>
      </c>
      <c r="C1693" s="9" t="s">
        <v>15</v>
      </c>
      <c r="D1693" s="9" t="str">
        <f>"钟经美"</f>
        <v>钟经美</v>
      </c>
    </row>
    <row r="1694" spans="1:4" ht="34.5" customHeight="1">
      <c r="A1694" s="8">
        <v>1692</v>
      </c>
      <c r="B1694" s="9" t="str">
        <f>"54112023062909144280884"</f>
        <v>54112023062909144280884</v>
      </c>
      <c r="C1694" s="9" t="s">
        <v>15</v>
      </c>
      <c r="D1694" s="9" t="str">
        <f>"林明兰"</f>
        <v>林明兰</v>
      </c>
    </row>
    <row r="1695" spans="1:4" ht="34.5" customHeight="1">
      <c r="A1695" s="8">
        <v>1693</v>
      </c>
      <c r="B1695" s="9" t="str">
        <f>"54112023062910055781383"</f>
        <v>54112023062910055781383</v>
      </c>
      <c r="C1695" s="9" t="s">
        <v>15</v>
      </c>
      <c r="D1695" s="9" t="str">
        <f>"陈核"</f>
        <v>陈核</v>
      </c>
    </row>
    <row r="1696" spans="1:4" ht="34.5" customHeight="1">
      <c r="A1696" s="8">
        <v>1694</v>
      </c>
      <c r="B1696" s="9" t="str">
        <f>"54112023062520125064156"</f>
        <v>54112023062520125064156</v>
      </c>
      <c r="C1696" s="9" t="s">
        <v>15</v>
      </c>
      <c r="D1696" s="9" t="str">
        <f>"文威"</f>
        <v>文威</v>
      </c>
    </row>
    <row r="1697" spans="1:4" ht="34.5" customHeight="1">
      <c r="A1697" s="8">
        <v>1695</v>
      </c>
      <c r="B1697" s="9" t="str">
        <f>"54112023062917102084192"</f>
        <v>54112023062917102084192</v>
      </c>
      <c r="C1697" s="9" t="s">
        <v>15</v>
      </c>
      <c r="D1697" s="9" t="str">
        <f>"吴春玲"</f>
        <v>吴春玲</v>
      </c>
    </row>
    <row r="1698" spans="1:4" ht="34.5" customHeight="1">
      <c r="A1698" s="8">
        <v>1696</v>
      </c>
      <c r="B1698" s="9" t="str">
        <f>"54112023062917192284230"</f>
        <v>54112023062917192284230</v>
      </c>
      <c r="C1698" s="9" t="s">
        <v>15</v>
      </c>
      <c r="D1698" s="9" t="str">
        <f>"陈名丽"</f>
        <v>陈名丽</v>
      </c>
    </row>
    <row r="1699" spans="1:4" ht="34.5" customHeight="1">
      <c r="A1699" s="8">
        <v>1697</v>
      </c>
      <c r="B1699" s="9" t="str">
        <f>"54112023062619161870593"</f>
        <v>54112023062619161870593</v>
      </c>
      <c r="C1699" s="9" t="s">
        <v>15</v>
      </c>
      <c r="D1699" s="9" t="str">
        <f>"陈永婷"</f>
        <v>陈永婷</v>
      </c>
    </row>
    <row r="1700" spans="1:4" ht="34.5" customHeight="1">
      <c r="A1700" s="8">
        <v>1698</v>
      </c>
      <c r="B1700" s="9" t="str">
        <f>"54112023062921192185516"</f>
        <v>54112023062921192185516</v>
      </c>
      <c r="C1700" s="9" t="s">
        <v>15</v>
      </c>
      <c r="D1700" s="9" t="str">
        <f>"王丽珍"</f>
        <v>王丽珍</v>
      </c>
    </row>
    <row r="1701" spans="1:4" ht="34.5" customHeight="1">
      <c r="A1701" s="8">
        <v>1699</v>
      </c>
      <c r="B1701" s="9" t="str">
        <f>"54112023062811042477389"</f>
        <v>54112023062811042477389</v>
      </c>
      <c r="C1701" s="9" t="s">
        <v>15</v>
      </c>
      <c r="D1701" s="9" t="str">
        <f>"王首智"</f>
        <v>王首智</v>
      </c>
    </row>
    <row r="1702" spans="1:4" ht="34.5" customHeight="1">
      <c r="A1702" s="8">
        <v>1700</v>
      </c>
      <c r="B1702" s="9" t="str">
        <f>"54112023062920454885291"</f>
        <v>54112023062920454885291</v>
      </c>
      <c r="C1702" s="9" t="s">
        <v>15</v>
      </c>
      <c r="D1702" s="9" t="str">
        <f>"孟立君"</f>
        <v>孟立君</v>
      </c>
    </row>
    <row r="1703" spans="1:4" ht="34.5" customHeight="1">
      <c r="A1703" s="8">
        <v>1701</v>
      </c>
      <c r="B1703" s="9" t="str">
        <f>"54112023062512564962105"</f>
        <v>54112023062512564962105</v>
      </c>
      <c r="C1703" s="9" t="s">
        <v>15</v>
      </c>
      <c r="D1703" s="9" t="str">
        <f>"卢婷婷"</f>
        <v>卢婷婷</v>
      </c>
    </row>
    <row r="1704" spans="1:4" ht="34.5" customHeight="1">
      <c r="A1704" s="8">
        <v>1702</v>
      </c>
      <c r="B1704" s="9" t="str">
        <f>"54112023063010262087563"</f>
        <v>54112023063010262087563</v>
      </c>
      <c r="C1704" s="9" t="s">
        <v>15</v>
      </c>
      <c r="D1704" s="9" t="str">
        <f>"陆晓英"</f>
        <v>陆晓英</v>
      </c>
    </row>
    <row r="1705" spans="1:4" ht="34.5" customHeight="1">
      <c r="A1705" s="8">
        <v>1703</v>
      </c>
      <c r="B1705" s="9" t="str">
        <f>"54112023063011344888021"</f>
        <v>54112023063011344888021</v>
      </c>
      <c r="C1705" s="9" t="s">
        <v>15</v>
      </c>
      <c r="D1705" s="9" t="str">
        <f>"陈昌玲"</f>
        <v>陈昌玲</v>
      </c>
    </row>
    <row r="1706" spans="1:4" ht="34.5" customHeight="1">
      <c r="A1706" s="8">
        <v>1704</v>
      </c>
      <c r="B1706" s="9" t="str">
        <f>"54112023063015492189712"</f>
        <v>54112023063015492189712</v>
      </c>
      <c r="C1706" s="9" t="s">
        <v>15</v>
      </c>
      <c r="D1706" s="9" t="str">
        <f>"黄小泉"</f>
        <v>黄小泉</v>
      </c>
    </row>
    <row r="1707" spans="1:4" ht="34.5" customHeight="1">
      <c r="A1707" s="8">
        <v>1705</v>
      </c>
      <c r="B1707" s="9" t="str">
        <f>"54112023062920221885151"</f>
        <v>54112023062920221885151</v>
      </c>
      <c r="C1707" s="9" t="s">
        <v>15</v>
      </c>
      <c r="D1707" s="9" t="str">
        <f>"王媛"</f>
        <v>王媛</v>
      </c>
    </row>
    <row r="1708" spans="1:4" ht="34.5" customHeight="1">
      <c r="A1708" s="8">
        <v>1706</v>
      </c>
      <c r="B1708" s="9" t="str">
        <f>"54112023062613355568611"</f>
        <v>54112023062613355568611</v>
      </c>
      <c r="C1708" s="9" t="s">
        <v>15</v>
      </c>
      <c r="D1708" s="9" t="str">
        <f>"吴小翠"</f>
        <v>吴小翠</v>
      </c>
    </row>
    <row r="1709" spans="1:4" ht="34.5" customHeight="1">
      <c r="A1709" s="8">
        <v>1707</v>
      </c>
      <c r="B1709" s="9" t="str">
        <f>"54112023070114383891621"</f>
        <v>54112023070114383891621</v>
      </c>
      <c r="C1709" s="9" t="s">
        <v>15</v>
      </c>
      <c r="D1709" s="9" t="str">
        <f>"王瑞旧"</f>
        <v>王瑞旧</v>
      </c>
    </row>
    <row r="1710" spans="1:4" ht="34.5" customHeight="1">
      <c r="A1710" s="8">
        <v>1708</v>
      </c>
      <c r="B1710" s="9" t="str">
        <f>"54112023070211270593339"</f>
        <v>54112023070211270593339</v>
      </c>
      <c r="C1710" s="9" t="s">
        <v>15</v>
      </c>
      <c r="D1710" s="9" t="str">
        <f>"杨燕"</f>
        <v>杨燕</v>
      </c>
    </row>
    <row r="1711" spans="1:4" ht="34.5" customHeight="1">
      <c r="A1711" s="8">
        <v>1709</v>
      </c>
      <c r="B1711" s="9" t="str">
        <f>"54112023063000555686484"</f>
        <v>54112023063000555686484</v>
      </c>
      <c r="C1711" s="9" t="s">
        <v>15</v>
      </c>
      <c r="D1711" s="9" t="str">
        <f>"许国海"</f>
        <v>许国海</v>
      </c>
    </row>
    <row r="1712" spans="1:4" ht="34.5" customHeight="1">
      <c r="A1712" s="8">
        <v>1710</v>
      </c>
      <c r="B1712" s="9" t="str">
        <f>"54112023070217471794270"</f>
        <v>54112023070217471794270</v>
      </c>
      <c r="C1712" s="9" t="s">
        <v>15</v>
      </c>
      <c r="D1712" s="9" t="str">
        <f>"黄银晖"</f>
        <v>黄银晖</v>
      </c>
    </row>
    <row r="1713" spans="1:4" ht="34.5" customHeight="1">
      <c r="A1713" s="8">
        <v>1711</v>
      </c>
      <c r="B1713" s="9" t="str">
        <f>"54112023070309254995734"</f>
        <v>54112023070309254995734</v>
      </c>
      <c r="C1713" s="9" t="s">
        <v>15</v>
      </c>
      <c r="D1713" s="9" t="str">
        <f>"冯翠香"</f>
        <v>冯翠香</v>
      </c>
    </row>
    <row r="1714" spans="1:4" ht="34.5" customHeight="1">
      <c r="A1714" s="8">
        <v>1712</v>
      </c>
      <c r="B1714" s="9" t="str">
        <f>"54112023070312492997187"</f>
        <v>54112023070312492997187</v>
      </c>
      <c r="C1714" s="9" t="s">
        <v>15</v>
      </c>
      <c r="D1714" s="9" t="str">
        <f>"吴慧敏 "</f>
        <v>吴慧敏 </v>
      </c>
    </row>
    <row r="1715" spans="1:4" ht="34.5" customHeight="1">
      <c r="A1715" s="8">
        <v>1713</v>
      </c>
      <c r="B1715" s="9" t="str">
        <f>"54112023070315171997895"</f>
        <v>54112023070315171997895</v>
      </c>
      <c r="C1715" s="9" t="s">
        <v>15</v>
      </c>
      <c r="D1715" s="9" t="str">
        <f>"王美"</f>
        <v>王美</v>
      </c>
    </row>
    <row r="1716" spans="1:4" ht="34.5" customHeight="1">
      <c r="A1716" s="8">
        <v>1714</v>
      </c>
      <c r="B1716" s="9" t="str">
        <f>"54112023070311433696805"</f>
        <v>54112023070311433696805</v>
      </c>
      <c r="C1716" s="9" t="s">
        <v>15</v>
      </c>
      <c r="D1716" s="9" t="str">
        <f>"张莉莉"</f>
        <v>张莉莉</v>
      </c>
    </row>
    <row r="1717" spans="1:4" ht="34.5" customHeight="1">
      <c r="A1717" s="8">
        <v>1715</v>
      </c>
      <c r="B1717" s="9" t="str">
        <f>"54112023062516454663355"</f>
        <v>54112023062516454663355</v>
      </c>
      <c r="C1717" s="9" t="s">
        <v>15</v>
      </c>
      <c r="D1717" s="9" t="str">
        <f>"陈家伟"</f>
        <v>陈家伟</v>
      </c>
    </row>
    <row r="1718" spans="1:4" ht="34.5" customHeight="1">
      <c r="A1718" s="8">
        <v>1716</v>
      </c>
      <c r="B1718" s="9" t="str">
        <f>"54112023070316251098305"</f>
        <v>54112023070316251098305</v>
      </c>
      <c r="C1718" s="9" t="s">
        <v>15</v>
      </c>
      <c r="D1718" s="9" t="str">
        <f>"李美星"</f>
        <v>李美星</v>
      </c>
    </row>
    <row r="1719" spans="1:4" ht="34.5" customHeight="1">
      <c r="A1719" s="8">
        <v>1717</v>
      </c>
      <c r="B1719" s="9" t="str">
        <f>"54112023070320274899360"</f>
        <v>54112023070320274899360</v>
      </c>
      <c r="C1719" s="9" t="s">
        <v>15</v>
      </c>
      <c r="D1719" s="9" t="str">
        <f>"杨欣惠"</f>
        <v>杨欣惠</v>
      </c>
    </row>
    <row r="1720" spans="1:4" ht="34.5" customHeight="1">
      <c r="A1720" s="8">
        <v>1718</v>
      </c>
      <c r="B1720" s="9" t="str">
        <f>"54112023070319071499029"</f>
        <v>54112023070319071499029</v>
      </c>
      <c r="C1720" s="9" t="s">
        <v>15</v>
      </c>
      <c r="D1720" s="9" t="str">
        <f>"邢玉雅"</f>
        <v>邢玉雅</v>
      </c>
    </row>
    <row r="1721" spans="1:4" ht="34.5" customHeight="1">
      <c r="A1721" s="8">
        <v>1719</v>
      </c>
      <c r="B1721" s="9" t="str">
        <f>"54112023062609193265900"</f>
        <v>54112023062609193265900</v>
      </c>
      <c r="C1721" s="9" t="s">
        <v>15</v>
      </c>
      <c r="D1721" s="9" t="str">
        <f>"文子双"</f>
        <v>文子双</v>
      </c>
    </row>
    <row r="1722" spans="1:4" ht="34.5" customHeight="1">
      <c r="A1722" s="8">
        <v>1720</v>
      </c>
      <c r="B1722" s="9" t="str">
        <f>"541120230704010843100376"</f>
        <v>541120230704010843100376</v>
      </c>
      <c r="C1722" s="9" t="s">
        <v>15</v>
      </c>
      <c r="D1722" s="9" t="str">
        <f>"张小艺"</f>
        <v>张小艺</v>
      </c>
    </row>
    <row r="1723" spans="1:4" ht="34.5" customHeight="1">
      <c r="A1723" s="8">
        <v>1721</v>
      </c>
      <c r="B1723" s="9" t="str">
        <f>"54112023070214040193731"</f>
        <v>54112023070214040193731</v>
      </c>
      <c r="C1723" s="9" t="s">
        <v>15</v>
      </c>
      <c r="D1723" s="9" t="str">
        <f>"黎清"</f>
        <v>黎清</v>
      </c>
    </row>
    <row r="1724" spans="1:4" ht="34.5" customHeight="1">
      <c r="A1724" s="8">
        <v>1722</v>
      </c>
      <c r="B1724" s="9" t="str">
        <f>"541120230704094521100942"</f>
        <v>541120230704094521100942</v>
      </c>
      <c r="C1724" s="9" t="s">
        <v>15</v>
      </c>
      <c r="D1724" s="9" t="str">
        <f>"谭良灵"</f>
        <v>谭良灵</v>
      </c>
    </row>
    <row r="1725" spans="1:4" ht="34.5" customHeight="1">
      <c r="A1725" s="8">
        <v>1723</v>
      </c>
      <c r="B1725" s="9" t="str">
        <f>"541120230704103537101193"</f>
        <v>541120230704103537101193</v>
      </c>
      <c r="C1725" s="9" t="s">
        <v>15</v>
      </c>
      <c r="D1725" s="9" t="str">
        <f>"李经云"</f>
        <v>李经云</v>
      </c>
    </row>
    <row r="1726" spans="1:4" ht="34.5" customHeight="1">
      <c r="A1726" s="8">
        <v>1724</v>
      </c>
      <c r="B1726" s="9" t="str">
        <f>"541120230704105641101307"</f>
        <v>541120230704105641101307</v>
      </c>
      <c r="C1726" s="9" t="s">
        <v>15</v>
      </c>
      <c r="D1726" s="9" t="str">
        <f>"陈泰珍"</f>
        <v>陈泰珍</v>
      </c>
    </row>
    <row r="1727" spans="1:4" ht="34.5" customHeight="1">
      <c r="A1727" s="8">
        <v>1725</v>
      </c>
      <c r="B1727" s="9" t="str">
        <f>"54112023062508343259665"</f>
        <v>54112023062508343259665</v>
      </c>
      <c r="C1727" s="9" t="s">
        <v>16</v>
      </c>
      <c r="D1727" s="9" t="str">
        <f>"张秋香"</f>
        <v>张秋香</v>
      </c>
    </row>
    <row r="1728" spans="1:4" ht="34.5" customHeight="1">
      <c r="A1728" s="8">
        <v>1726</v>
      </c>
      <c r="B1728" s="9" t="str">
        <f>"54112023062508522159735"</f>
        <v>54112023062508522159735</v>
      </c>
      <c r="C1728" s="9" t="s">
        <v>16</v>
      </c>
      <c r="D1728" s="9" t="str">
        <f>"张永祥"</f>
        <v>张永祥</v>
      </c>
    </row>
    <row r="1729" spans="1:4" ht="34.5" customHeight="1">
      <c r="A1729" s="8">
        <v>1727</v>
      </c>
      <c r="B1729" s="9" t="str">
        <f>"54112023062508580759756"</f>
        <v>54112023062508580759756</v>
      </c>
      <c r="C1729" s="9" t="s">
        <v>16</v>
      </c>
      <c r="D1729" s="9" t="str">
        <f>"林晓慧"</f>
        <v>林晓慧</v>
      </c>
    </row>
    <row r="1730" spans="1:4" ht="34.5" customHeight="1">
      <c r="A1730" s="8">
        <v>1728</v>
      </c>
      <c r="B1730" s="9" t="str">
        <f>"54112023062509473660274"</f>
        <v>54112023062509473660274</v>
      </c>
      <c r="C1730" s="9" t="s">
        <v>16</v>
      </c>
      <c r="D1730" s="9" t="str">
        <f>"李运睿"</f>
        <v>李运睿</v>
      </c>
    </row>
    <row r="1731" spans="1:4" ht="34.5" customHeight="1">
      <c r="A1731" s="8">
        <v>1729</v>
      </c>
      <c r="B1731" s="9" t="str">
        <f>"54112023062510021760428"</f>
        <v>54112023062510021760428</v>
      </c>
      <c r="C1731" s="9" t="s">
        <v>16</v>
      </c>
      <c r="D1731" s="9" t="str">
        <f>"陈显松"</f>
        <v>陈显松</v>
      </c>
    </row>
    <row r="1732" spans="1:4" ht="34.5" customHeight="1">
      <c r="A1732" s="8">
        <v>1730</v>
      </c>
      <c r="B1732" s="9" t="str">
        <f>"54112023062511354461124"</f>
        <v>54112023062511354461124</v>
      </c>
      <c r="C1732" s="9" t="s">
        <v>16</v>
      </c>
      <c r="D1732" s="9" t="str">
        <f>"胡其伶"</f>
        <v>胡其伶</v>
      </c>
    </row>
    <row r="1733" spans="1:4" ht="34.5" customHeight="1">
      <c r="A1733" s="8">
        <v>1731</v>
      </c>
      <c r="B1733" s="9" t="str">
        <f>"54112023062512082761768"</f>
        <v>54112023062512082761768</v>
      </c>
      <c r="C1733" s="9" t="s">
        <v>16</v>
      </c>
      <c r="D1733" s="9" t="str">
        <f>"林方威"</f>
        <v>林方威</v>
      </c>
    </row>
    <row r="1734" spans="1:4" ht="34.5" customHeight="1">
      <c r="A1734" s="8">
        <v>1732</v>
      </c>
      <c r="B1734" s="9" t="str">
        <f>"54112023062510184560563"</f>
        <v>54112023062510184560563</v>
      </c>
      <c r="C1734" s="9" t="s">
        <v>16</v>
      </c>
      <c r="D1734" s="9" t="str">
        <f>"谭必超"</f>
        <v>谭必超</v>
      </c>
    </row>
    <row r="1735" spans="1:4" ht="34.5" customHeight="1">
      <c r="A1735" s="8">
        <v>1733</v>
      </c>
      <c r="B1735" s="9" t="str">
        <f>"54112023062511200761015"</f>
        <v>54112023062511200761015</v>
      </c>
      <c r="C1735" s="9" t="s">
        <v>16</v>
      </c>
      <c r="D1735" s="9" t="str">
        <f>"李精才"</f>
        <v>李精才</v>
      </c>
    </row>
    <row r="1736" spans="1:4" ht="34.5" customHeight="1">
      <c r="A1736" s="8">
        <v>1734</v>
      </c>
      <c r="B1736" s="9" t="str">
        <f>"54112023062515120162808"</f>
        <v>54112023062515120162808</v>
      </c>
      <c r="C1736" s="9" t="s">
        <v>16</v>
      </c>
      <c r="D1736" s="9" t="str">
        <f>"吴有祥"</f>
        <v>吴有祥</v>
      </c>
    </row>
    <row r="1737" spans="1:4" ht="34.5" customHeight="1">
      <c r="A1737" s="8">
        <v>1735</v>
      </c>
      <c r="B1737" s="9" t="str">
        <f>"54112023062509163759952"</f>
        <v>54112023062509163759952</v>
      </c>
      <c r="C1737" s="9" t="s">
        <v>16</v>
      </c>
      <c r="D1737" s="9" t="str">
        <f>"李文琪"</f>
        <v>李文琪</v>
      </c>
    </row>
    <row r="1738" spans="1:4" ht="34.5" customHeight="1">
      <c r="A1738" s="8">
        <v>1736</v>
      </c>
      <c r="B1738" s="9" t="str">
        <f>"54112023062511040860897"</f>
        <v>54112023062511040860897</v>
      </c>
      <c r="C1738" s="9" t="s">
        <v>16</v>
      </c>
      <c r="D1738" s="9" t="str">
        <f>"林苑"</f>
        <v>林苑</v>
      </c>
    </row>
    <row r="1739" spans="1:4" ht="34.5" customHeight="1">
      <c r="A1739" s="8">
        <v>1737</v>
      </c>
      <c r="B1739" s="9" t="str">
        <f>"54112023062517164563506"</f>
        <v>54112023062517164563506</v>
      </c>
      <c r="C1739" s="9" t="s">
        <v>16</v>
      </c>
      <c r="D1739" s="9" t="str">
        <f>"莫翠山"</f>
        <v>莫翠山</v>
      </c>
    </row>
    <row r="1740" spans="1:4" ht="34.5" customHeight="1">
      <c r="A1740" s="8">
        <v>1738</v>
      </c>
      <c r="B1740" s="9" t="str">
        <f>"54112023062518463163827"</f>
        <v>54112023062518463163827</v>
      </c>
      <c r="C1740" s="9" t="s">
        <v>16</v>
      </c>
      <c r="D1740" s="9" t="str">
        <f>"谭杰"</f>
        <v>谭杰</v>
      </c>
    </row>
    <row r="1741" spans="1:4" ht="34.5" customHeight="1">
      <c r="A1741" s="8">
        <v>1739</v>
      </c>
      <c r="B1741" s="9" t="str">
        <f>"54112023062516370663326"</f>
        <v>54112023062516370663326</v>
      </c>
      <c r="C1741" s="9" t="s">
        <v>16</v>
      </c>
      <c r="D1741" s="9" t="str">
        <f>"陈奕森"</f>
        <v>陈奕森</v>
      </c>
    </row>
    <row r="1742" spans="1:4" ht="34.5" customHeight="1">
      <c r="A1742" s="8">
        <v>1740</v>
      </c>
      <c r="B1742" s="9" t="str">
        <f>"54112023062521062364407"</f>
        <v>54112023062521062364407</v>
      </c>
      <c r="C1742" s="9" t="s">
        <v>16</v>
      </c>
      <c r="D1742" s="9" t="str">
        <f>"何纯宝"</f>
        <v>何纯宝</v>
      </c>
    </row>
    <row r="1743" spans="1:4" ht="34.5" customHeight="1">
      <c r="A1743" s="8">
        <v>1741</v>
      </c>
      <c r="B1743" s="9" t="str">
        <f>"54112023062520524364341"</f>
        <v>54112023062520524364341</v>
      </c>
      <c r="C1743" s="9" t="s">
        <v>16</v>
      </c>
      <c r="D1743" s="9" t="str">
        <f>"颜区飞"</f>
        <v>颜区飞</v>
      </c>
    </row>
    <row r="1744" spans="1:4" ht="34.5" customHeight="1">
      <c r="A1744" s="8">
        <v>1742</v>
      </c>
      <c r="B1744" s="9" t="str">
        <f>"54112023062521155364466"</f>
        <v>54112023062521155364466</v>
      </c>
      <c r="C1744" s="9" t="s">
        <v>16</v>
      </c>
      <c r="D1744" s="9" t="str">
        <f>"云惟祝"</f>
        <v>云惟祝</v>
      </c>
    </row>
    <row r="1745" spans="1:4" ht="34.5" customHeight="1">
      <c r="A1745" s="8">
        <v>1743</v>
      </c>
      <c r="B1745" s="9" t="str">
        <f>"54112023062521372964586"</f>
        <v>54112023062521372964586</v>
      </c>
      <c r="C1745" s="9" t="s">
        <v>16</v>
      </c>
      <c r="D1745" s="9" t="str">
        <f>"胡容连"</f>
        <v>胡容连</v>
      </c>
    </row>
    <row r="1746" spans="1:4" ht="34.5" customHeight="1">
      <c r="A1746" s="8">
        <v>1744</v>
      </c>
      <c r="B1746" s="9" t="str">
        <f>"54112023062522013864708"</f>
        <v>54112023062522013864708</v>
      </c>
      <c r="C1746" s="9" t="s">
        <v>16</v>
      </c>
      <c r="D1746" s="9" t="str">
        <f>"杨婷婷"</f>
        <v>杨婷婷</v>
      </c>
    </row>
    <row r="1747" spans="1:4" ht="34.5" customHeight="1">
      <c r="A1747" s="8">
        <v>1745</v>
      </c>
      <c r="B1747" s="9" t="str">
        <f>"54112023062522461764859"</f>
        <v>54112023062522461764859</v>
      </c>
      <c r="C1747" s="9" t="s">
        <v>16</v>
      </c>
      <c r="D1747" s="9" t="str">
        <f>"陈学怀"</f>
        <v>陈学怀</v>
      </c>
    </row>
    <row r="1748" spans="1:4" ht="34.5" customHeight="1">
      <c r="A1748" s="8">
        <v>1746</v>
      </c>
      <c r="B1748" s="9" t="str">
        <f>"54112023062517472363615"</f>
        <v>54112023062517472363615</v>
      </c>
      <c r="C1748" s="9" t="s">
        <v>16</v>
      </c>
      <c r="D1748" s="9" t="str">
        <f>"范炜杰"</f>
        <v>范炜杰</v>
      </c>
    </row>
    <row r="1749" spans="1:4" ht="34.5" customHeight="1">
      <c r="A1749" s="8">
        <v>1747</v>
      </c>
      <c r="B1749" s="9" t="str">
        <f>"54112023062600361865118"</f>
        <v>54112023062600361865118</v>
      </c>
      <c r="C1749" s="9" t="s">
        <v>16</v>
      </c>
      <c r="D1749" s="9" t="str">
        <f>"巩裕豪"</f>
        <v>巩裕豪</v>
      </c>
    </row>
    <row r="1750" spans="1:4" ht="34.5" customHeight="1">
      <c r="A1750" s="8">
        <v>1748</v>
      </c>
      <c r="B1750" s="9" t="str">
        <f>"54112023062511190761003"</f>
        <v>54112023062511190761003</v>
      </c>
      <c r="C1750" s="9" t="s">
        <v>16</v>
      </c>
      <c r="D1750" s="9" t="str">
        <f>"王首清"</f>
        <v>王首清</v>
      </c>
    </row>
    <row r="1751" spans="1:4" ht="34.5" customHeight="1">
      <c r="A1751" s="8">
        <v>1749</v>
      </c>
      <c r="B1751" s="9" t="str">
        <f>"54112023062603015065209"</f>
        <v>54112023062603015065209</v>
      </c>
      <c r="C1751" s="9" t="s">
        <v>16</v>
      </c>
      <c r="D1751" s="9" t="str">
        <f>"阳柳清"</f>
        <v>阳柳清</v>
      </c>
    </row>
    <row r="1752" spans="1:4" ht="34.5" customHeight="1">
      <c r="A1752" s="8">
        <v>1750</v>
      </c>
      <c r="B1752" s="9" t="str">
        <f>"54112023062603092665213"</f>
        <v>54112023062603092665213</v>
      </c>
      <c r="C1752" s="9" t="s">
        <v>16</v>
      </c>
      <c r="D1752" s="9" t="str">
        <f>"黄诚"</f>
        <v>黄诚</v>
      </c>
    </row>
    <row r="1753" spans="1:4" ht="34.5" customHeight="1">
      <c r="A1753" s="8">
        <v>1751</v>
      </c>
      <c r="B1753" s="9" t="str">
        <f>"54112023062606435465238"</f>
        <v>54112023062606435465238</v>
      </c>
      <c r="C1753" s="9" t="s">
        <v>16</v>
      </c>
      <c r="D1753" s="9" t="str">
        <f>"王弗君"</f>
        <v>王弗君</v>
      </c>
    </row>
    <row r="1754" spans="1:4" ht="34.5" customHeight="1">
      <c r="A1754" s="8">
        <v>1752</v>
      </c>
      <c r="B1754" s="9" t="str">
        <f>"54112023062609245966006"</f>
        <v>54112023062609245966006</v>
      </c>
      <c r="C1754" s="9" t="s">
        <v>16</v>
      </c>
      <c r="D1754" s="9" t="str">
        <f>"符敦旭"</f>
        <v>符敦旭</v>
      </c>
    </row>
    <row r="1755" spans="1:4" ht="34.5" customHeight="1">
      <c r="A1755" s="8">
        <v>1753</v>
      </c>
      <c r="B1755" s="9" t="str">
        <f>"54112023062609232065981"</f>
        <v>54112023062609232065981</v>
      </c>
      <c r="C1755" s="9" t="s">
        <v>16</v>
      </c>
      <c r="D1755" s="9" t="str">
        <f>"苏怿"</f>
        <v>苏怿</v>
      </c>
    </row>
    <row r="1756" spans="1:4" ht="34.5" customHeight="1">
      <c r="A1756" s="8">
        <v>1754</v>
      </c>
      <c r="B1756" s="9" t="str">
        <f>"54112023062609470466377"</f>
        <v>54112023062609470466377</v>
      </c>
      <c r="C1756" s="9" t="s">
        <v>16</v>
      </c>
      <c r="D1756" s="9" t="str">
        <f>"黄朝磊"</f>
        <v>黄朝磊</v>
      </c>
    </row>
    <row r="1757" spans="1:4" ht="34.5" customHeight="1">
      <c r="A1757" s="8">
        <v>1755</v>
      </c>
      <c r="B1757" s="9" t="str">
        <f>"54112023062609402266259"</f>
        <v>54112023062609402266259</v>
      </c>
      <c r="C1757" s="9" t="s">
        <v>16</v>
      </c>
      <c r="D1757" s="9" t="str">
        <f>"王千任"</f>
        <v>王千任</v>
      </c>
    </row>
    <row r="1758" spans="1:4" ht="34.5" customHeight="1">
      <c r="A1758" s="8">
        <v>1756</v>
      </c>
      <c r="B1758" s="9" t="str">
        <f>"54112023062509554360354"</f>
        <v>54112023062509554360354</v>
      </c>
      <c r="C1758" s="9" t="s">
        <v>16</v>
      </c>
      <c r="D1758" s="9" t="str">
        <f>"王文君"</f>
        <v>王文君</v>
      </c>
    </row>
    <row r="1759" spans="1:4" ht="34.5" customHeight="1">
      <c r="A1759" s="8">
        <v>1757</v>
      </c>
      <c r="B1759" s="9" t="str">
        <f>"54112023062610284067049"</f>
        <v>54112023062610284067049</v>
      </c>
      <c r="C1759" s="9" t="s">
        <v>16</v>
      </c>
      <c r="D1759" s="9" t="str">
        <f>"李栎宇"</f>
        <v>李栎宇</v>
      </c>
    </row>
    <row r="1760" spans="1:4" ht="34.5" customHeight="1">
      <c r="A1760" s="8">
        <v>1758</v>
      </c>
      <c r="B1760" s="9" t="str">
        <f>"54112023062610192466903"</f>
        <v>54112023062610192466903</v>
      </c>
      <c r="C1760" s="9" t="s">
        <v>16</v>
      </c>
      <c r="D1760" s="9" t="str">
        <f>"郑时一"</f>
        <v>郑时一</v>
      </c>
    </row>
    <row r="1761" spans="1:4" ht="34.5" customHeight="1">
      <c r="A1761" s="8">
        <v>1759</v>
      </c>
      <c r="B1761" s="9" t="str">
        <f>"54112023062610414767219"</f>
        <v>54112023062610414767219</v>
      </c>
      <c r="C1761" s="9" t="s">
        <v>16</v>
      </c>
      <c r="D1761" s="9" t="str">
        <f>"周刚"</f>
        <v>周刚</v>
      </c>
    </row>
    <row r="1762" spans="1:4" ht="34.5" customHeight="1">
      <c r="A1762" s="8">
        <v>1760</v>
      </c>
      <c r="B1762" s="9" t="str">
        <f>"54112023062509220960009"</f>
        <v>54112023062509220960009</v>
      </c>
      <c r="C1762" s="9" t="s">
        <v>16</v>
      </c>
      <c r="D1762" s="9" t="str">
        <f>"吴永乐"</f>
        <v>吴永乐</v>
      </c>
    </row>
    <row r="1763" spans="1:4" ht="34.5" customHeight="1">
      <c r="A1763" s="8">
        <v>1761</v>
      </c>
      <c r="B1763" s="9" t="str">
        <f>"54112023062611241167751"</f>
        <v>54112023062611241167751</v>
      </c>
      <c r="C1763" s="9" t="s">
        <v>16</v>
      </c>
      <c r="D1763" s="9" t="str">
        <f>"宋文涛"</f>
        <v>宋文涛</v>
      </c>
    </row>
    <row r="1764" spans="1:4" ht="34.5" customHeight="1">
      <c r="A1764" s="8">
        <v>1762</v>
      </c>
      <c r="B1764" s="9" t="str">
        <f>"54112023062613112068492"</f>
        <v>54112023062613112068492</v>
      </c>
      <c r="C1764" s="9" t="s">
        <v>16</v>
      </c>
      <c r="D1764" s="9" t="str">
        <f>"李经纪"</f>
        <v>李经纪</v>
      </c>
    </row>
    <row r="1765" spans="1:4" ht="34.5" customHeight="1">
      <c r="A1765" s="8">
        <v>1763</v>
      </c>
      <c r="B1765" s="9" t="str">
        <f>"54112023062610122666789"</f>
        <v>54112023062610122666789</v>
      </c>
      <c r="C1765" s="9" t="s">
        <v>16</v>
      </c>
      <c r="D1765" s="9" t="str">
        <f>"文雨妃"</f>
        <v>文雨妃</v>
      </c>
    </row>
    <row r="1766" spans="1:4" ht="34.5" customHeight="1">
      <c r="A1766" s="8">
        <v>1764</v>
      </c>
      <c r="B1766" s="9" t="str">
        <f>"54112023062614285968859"</f>
        <v>54112023062614285968859</v>
      </c>
      <c r="C1766" s="9" t="s">
        <v>16</v>
      </c>
      <c r="D1766" s="9" t="str">
        <f>"陈世勇"</f>
        <v>陈世勇</v>
      </c>
    </row>
    <row r="1767" spans="1:4" ht="34.5" customHeight="1">
      <c r="A1767" s="8">
        <v>1765</v>
      </c>
      <c r="B1767" s="9" t="str">
        <f>"54112023062508313259656"</f>
        <v>54112023062508313259656</v>
      </c>
      <c r="C1767" s="9" t="s">
        <v>16</v>
      </c>
      <c r="D1767" s="9" t="str">
        <f>"王金容"</f>
        <v>王金容</v>
      </c>
    </row>
    <row r="1768" spans="1:4" ht="34.5" customHeight="1">
      <c r="A1768" s="8">
        <v>1766</v>
      </c>
      <c r="B1768" s="9" t="str">
        <f>"54112023062614480968980"</f>
        <v>54112023062614480968980</v>
      </c>
      <c r="C1768" s="9" t="s">
        <v>16</v>
      </c>
      <c r="D1768" s="9" t="str">
        <f>"韩联定"</f>
        <v>韩联定</v>
      </c>
    </row>
    <row r="1769" spans="1:4" ht="34.5" customHeight="1">
      <c r="A1769" s="8">
        <v>1767</v>
      </c>
      <c r="B1769" s="9" t="str">
        <f>"54112023062610534467372"</f>
        <v>54112023062610534467372</v>
      </c>
      <c r="C1769" s="9" t="s">
        <v>16</v>
      </c>
      <c r="D1769" s="9" t="str">
        <f>"韩小亮"</f>
        <v>韩小亮</v>
      </c>
    </row>
    <row r="1770" spans="1:4" ht="34.5" customHeight="1">
      <c r="A1770" s="8">
        <v>1768</v>
      </c>
      <c r="B1770" s="9" t="str">
        <f>"54112023062612562768408"</f>
        <v>54112023062612562768408</v>
      </c>
      <c r="C1770" s="9" t="s">
        <v>16</v>
      </c>
      <c r="D1770" s="9" t="str">
        <f>"符国杨"</f>
        <v>符国杨</v>
      </c>
    </row>
    <row r="1771" spans="1:4" ht="34.5" customHeight="1">
      <c r="A1771" s="8">
        <v>1769</v>
      </c>
      <c r="B1771" s="9" t="str">
        <f>"54112023062616344169753"</f>
        <v>54112023062616344169753</v>
      </c>
      <c r="C1771" s="9" t="s">
        <v>16</v>
      </c>
      <c r="D1771" s="9" t="str">
        <f>"梁朝娜"</f>
        <v>梁朝娜</v>
      </c>
    </row>
    <row r="1772" spans="1:4" ht="34.5" customHeight="1">
      <c r="A1772" s="8">
        <v>1770</v>
      </c>
      <c r="B1772" s="9" t="str">
        <f>"54112023062616382869778"</f>
        <v>54112023062616382869778</v>
      </c>
      <c r="C1772" s="9" t="s">
        <v>16</v>
      </c>
      <c r="D1772" s="9" t="str">
        <f>"李布高"</f>
        <v>李布高</v>
      </c>
    </row>
    <row r="1773" spans="1:4" ht="34.5" customHeight="1">
      <c r="A1773" s="8">
        <v>1771</v>
      </c>
      <c r="B1773" s="9" t="str">
        <f>"54112023062519563064102"</f>
        <v>54112023062519563064102</v>
      </c>
      <c r="C1773" s="9" t="s">
        <v>16</v>
      </c>
      <c r="D1773" s="9" t="str">
        <f>"林明宇"</f>
        <v>林明宇</v>
      </c>
    </row>
    <row r="1774" spans="1:4" ht="34.5" customHeight="1">
      <c r="A1774" s="8">
        <v>1772</v>
      </c>
      <c r="B1774" s="9" t="str">
        <f>"54112023062620081670806"</f>
        <v>54112023062620081670806</v>
      </c>
      <c r="C1774" s="9" t="s">
        <v>16</v>
      </c>
      <c r="D1774" s="9" t="str">
        <f>"黄光学"</f>
        <v>黄光学</v>
      </c>
    </row>
    <row r="1775" spans="1:4" ht="34.5" customHeight="1">
      <c r="A1775" s="8">
        <v>1773</v>
      </c>
      <c r="B1775" s="9" t="str">
        <f>"54112023062620484071025"</f>
        <v>54112023062620484071025</v>
      </c>
      <c r="C1775" s="9" t="s">
        <v>16</v>
      </c>
      <c r="D1775" s="9" t="str">
        <f>"羊文龙"</f>
        <v>羊文龙</v>
      </c>
    </row>
    <row r="1776" spans="1:4" ht="34.5" customHeight="1">
      <c r="A1776" s="8">
        <v>1774</v>
      </c>
      <c r="B1776" s="9" t="str">
        <f>"54112023062622253171499"</f>
        <v>54112023062622253171499</v>
      </c>
      <c r="C1776" s="9" t="s">
        <v>16</v>
      </c>
      <c r="D1776" s="9" t="str">
        <f>"黎宏琪"</f>
        <v>黎宏琪</v>
      </c>
    </row>
    <row r="1777" spans="1:4" ht="34.5" customHeight="1">
      <c r="A1777" s="8">
        <v>1775</v>
      </c>
      <c r="B1777" s="9" t="str">
        <f>"54112023062615423069372"</f>
        <v>54112023062615423069372</v>
      </c>
      <c r="C1777" s="9" t="s">
        <v>16</v>
      </c>
      <c r="D1777" s="9" t="str">
        <f>"卓跃壮"</f>
        <v>卓跃壮</v>
      </c>
    </row>
    <row r="1778" spans="1:4" ht="34.5" customHeight="1">
      <c r="A1778" s="8">
        <v>1776</v>
      </c>
      <c r="B1778" s="9" t="str">
        <f>"54112023062617065469964"</f>
        <v>54112023062617065469964</v>
      </c>
      <c r="C1778" s="9" t="s">
        <v>16</v>
      </c>
      <c r="D1778" s="9" t="str">
        <f>"符家贺"</f>
        <v>符家贺</v>
      </c>
    </row>
    <row r="1779" spans="1:4" ht="34.5" customHeight="1">
      <c r="A1779" s="8">
        <v>1777</v>
      </c>
      <c r="B1779" s="9" t="str">
        <f>"54112023062514563862701"</f>
        <v>54112023062514563862701</v>
      </c>
      <c r="C1779" s="9" t="s">
        <v>16</v>
      </c>
      <c r="D1779" s="9" t="str">
        <f>"王哲"</f>
        <v>王哲</v>
      </c>
    </row>
    <row r="1780" spans="1:4" ht="34.5" customHeight="1">
      <c r="A1780" s="8">
        <v>1778</v>
      </c>
      <c r="B1780" s="9" t="str">
        <f>"54112023062515563663113"</f>
        <v>54112023062515563663113</v>
      </c>
      <c r="C1780" s="9" t="s">
        <v>16</v>
      </c>
      <c r="D1780" s="9" t="str">
        <f>"麦宜鑫"</f>
        <v>麦宜鑫</v>
      </c>
    </row>
    <row r="1781" spans="1:4" ht="34.5" customHeight="1">
      <c r="A1781" s="8">
        <v>1779</v>
      </c>
      <c r="B1781" s="9" t="str">
        <f>"54112023062708440572117"</f>
        <v>54112023062708440572117</v>
      </c>
      <c r="C1781" s="9" t="s">
        <v>16</v>
      </c>
      <c r="D1781" s="9" t="str">
        <f>" 韦文坛"</f>
        <v> 韦文坛</v>
      </c>
    </row>
    <row r="1782" spans="1:4" ht="34.5" customHeight="1">
      <c r="A1782" s="8">
        <v>1780</v>
      </c>
      <c r="B1782" s="9" t="str">
        <f>"54112023062710581473249"</f>
        <v>54112023062710581473249</v>
      </c>
      <c r="C1782" s="9" t="s">
        <v>16</v>
      </c>
      <c r="D1782" s="9" t="str">
        <f>"云美珍"</f>
        <v>云美珍</v>
      </c>
    </row>
    <row r="1783" spans="1:4" ht="34.5" customHeight="1">
      <c r="A1783" s="8">
        <v>1781</v>
      </c>
      <c r="B1783" s="9" t="str">
        <f>"54112023062710545673227"</f>
        <v>54112023062710545673227</v>
      </c>
      <c r="C1783" s="9" t="s">
        <v>16</v>
      </c>
      <c r="D1783" s="9" t="str">
        <f>"符永璋"</f>
        <v>符永璋</v>
      </c>
    </row>
    <row r="1784" spans="1:4" ht="34.5" customHeight="1">
      <c r="A1784" s="8">
        <v>1782</v>
      </c>
      <c r="B1784" s="9" t="str">
        <f>"54112023062610531567364"</f>
        <v>54112023062610531567364</v>
      </c>
      <c r="C1784" s="9" t="s">
        <v>16</v>
      </c>
      <c r="D1784" s="9" t="str">
        <f>"符克巩"</f>
        <v>符克巩</v>
      </c>
    </row>
    <row r="1785" spans="1:4" ht="34.5" customHeight="1">
      <c r="A1785" s="8">
        <v>1783</v>
      </c>
      <c r="B1785" s="9" t="str">
        <f>"54112023062712320273632"</f>
        <v>54112023062712320273632</v>
      </c>
      <c r="C1785" s="9" t="s">
        <v>16</v>
      </c>
      <c r="D1785" s="9" t="str">
        <f>"黄泽翔"</f>
        <v>黄泽翔</v>
      </c>
    </row>
    <row r="1786" spans="1:4" ht="34.5" customHeight="1">
      <c r="A1786" s="8">
        <v>1784</v>
      </c>
      <c r="B1786" s="9" t="str">
        <f>"54112023062711555973492"</f>
        <v>54112023062711555973492</v>
      </c>
      <c r="C1786" s="9" t="s">
        <v>16</v>
      </c>
      <c r="D1786" s="9" t="str">
        <f>"张居义"</f>
        <v>张居义</v>
      </c>
    </row>
    <row r="1787" spans="1:4" ht="34.5" customHeight="1">
      <c r="A1787" s="8">
        <v>1785</v>
      </c>
      <c r="B1787" s="9" t="str">
        <f>"54112023062617435270177"</f>
        <v>54112023062617435270177</v>
      </c>
      <c r="C1787" s="9" t="s">
        <v>16</v>
      </c>
      <c r="D1787" s="9" t="str">
        <f>"梁艳云"</f>
        <v>梁艳云</v>
      </c>
    </row>
    <row r="1788" spans="1:4" ht="34.5" customHeight="1">
      <c r="A1788" s="8">
        <v>1786</v>
      </c>
      <c r="B1788" s="9" t="str">
        <f>"54112023062609062965661"</f>
        <v>54112023062609062965661</v>
      </c>
      <c r="C1788" s="9" t="s">
        <v>16</v>
      </c>
      <c r="D1788" s="9" t="str">
        <f>"陈日山"</f>
        <v>陈日山</v>
      </c>
    </row>
    <row r="1789" spans="1:4" ht="34.5" customHeight="1">
      <c r="A1789" s="8">
        <v>1787</v>
      </c>
      <c r="B1789" s="9" t="str">
        <f>"54112023062715550474342"</f>
        <v>54112023062715550474342</v>
      </c>
      <c r="C1789" s="9" t="s">
        <v>16</v>
      </c>
      <c r="D1789" s="9" t="str">
        <f>"陈怀超"</f>
        <v>陈怀超</v>
      </c>
    </row>
    <row r="1790" spans="1:4" ht="34.5" customHeight="1">
      <c r="A1790" s="8">
        <v>1788</v>
      </c>
      <c r="B1790" s="9" t="str">
        <f>"54112023062718124475277"</f>
        <v>54112023062718124475277</v>
      </c>
      <c r="C1790" s="9" t="s">
        <v>16</v>
      </c>
      <c r="D1790" s="9" t="str">
        <f>"龚文志"</f>
        <v>龚文志</v>
      </c>
    </row>
    <row r="1791" spans="1:4" ht="34.5" customHeight="1">
      <c r="A1791" s="8">
        <v>1789</v>
      </c>
      <c r="B1791" s="9" t="str">
        <f>"54112023062521175964479"</f>
        <v>54112023062521175964479</v>
      </c>
      <c r="C1791" s="9" t="s">
        <v>16</v>
      </c>
      <c r="D1791" s="9" t="str">
        <f>"韩受衍"</f>
        <v>韩受衍</v>
      </c>
    </row>
    <row r="1792" spans="1:4" ht="34.5" customHeight="1">
      <c r="A1792" s="8">
        <v>1790</v>
      </c>
      <c r="B1792" s="9" t="str">
        <f>"54112023062801475076415"</f>
        <v>54112023062801475076415</v>
      </c>
      <c r="C1792" s="9" t="s">
        <v>16</v>
      </c>
      <c r="D1792" s="9" t="str">
        <f>"吴树宁"</f>
        <v>吴树宁</v>
      </c>
    </row>
    <row r="1793" spans="1:4" ht="34.5" customHeight="1">
      <c r="A1793" s="8">
        <v>1791</v>
      </c>
      <c r="B1793" s="9" t="str">
        <f>"54112023062808173676544"</f>
        <v>54112023062808173676544</v>
      </c>
      <c r="C1793" s="9" t="s">
        <v>16</v>
      </c>
      <c r="D1793" s="9" t="str">
        <f>"王和标"</f>
        <v>王和标</v>
      </c>
    </row>
    <row r="1794" spans="1:4" ht="34.5" customHeight="1">
      <c r="A1794" s="8">
        <v>1792</v>
      </c>
      <c r="B1794" s="9" t="str">
        <f>"54112023062808145476533"</f>
        <v>54112023062808145476533</v>
      </c>
      <c r="C1794" s="9" t="s">
        <v>16</v>
      </c>
      <c r="D1794" s="9" t="str">
        <f>"董学安"</f>
        <v>董学安</v>
      </c>
    </row>
    <row r="1795" spans="1:4" ht="34.5" customHeight="1">
      <c r="A1795" s="8">
        <v>1793</v>
      </c>
      <c r="B1795" s="9" t="str">
        <f>"54112023062809123476763"</f>
        <v>54112023062809123476763</v>
      </c>
      <c r="C1795" s="9" t="s">
        <v>16</v>
      </c>
      <c r="D1795" s="9" t="str">
        <f>"林霞"</f>
        <v>林霞</v>
      </c>
    </row>
    <row r="1796" spans="1:4" ht="34.5" customHeight="1">
      <c r="A1796" s="8">
        <v>1794</v>
      </c>
      <c r="B1796" s="9" t="str">
        <f>"54112023062808155576539"</f>
        <v>54112023062808155576539</v>
      </c>
      <c r="C1796" s="9" t="s">
        <v>16</v>
      </c>
      <c r="D1796" s="9" t="str">
        <f>"符大树"</f>
        <v>符大树</v>
      </c>
    </row>
    <row r="1797" spans="1:4" ht="34.5" customHeight="1">
      <c r="A1797" s="8">
        <v>1795</v>
      </c>
      <c r="B1797" s="9" t="str">
        <f>"54112023062716175674438"</f>
        <v>54112023062716175674438</v>
      </c>
      <c r="C1797" s="9" t="s">
        <v>16</v>
      </c>
      <c r="D1797" s="9" t="str">
        <f>"余子亮"</f>
        <v>余子亮</v>
      </c>
    </row>
    <row r="1798" spans="1:4" ht="34.5" customHeight="1">
      <c r="A1798" s="8">
        <v>1796</v>
      </c>
      <c r="B1798" s="9" t="str">
        <f>"54112023062811190777467"</f>
        <v>54112023062811190777467</v>
      </c>
      <c r="C1798" s="9" t="s">
        <v>16</v>
      </c>
      <c r="D1798" s="9" t="str">
        <f>"黄朝静"</f>
        <v>黄朝静</v>
      </c>
    </row>
    <row r="1799" spans="1:4" ht="34.5" customHeight="1">
      <c r="A1799" s="8">
        <v>1797</v>
      </c>
      <c r="B1799" s="9" t="str">
        <f>"54112023062516061963173"</f>
        <v>54112023062516061963173</v>
      </c>
      <c r="C1799" s="9" t="s">
        <v>16</v>
      </c>
      <c r="D1799" s="9" t="str">
        <f>"王有世"</f>
        <v>王有世</v>
      </c>
    </row>
    <row r="1800" spans="1:4" ht="34.5" customHeight="1">
      <c r="A1800" s="8">
        <v>1798</v>
      </c>
      <c r="B1800" s="9" t="str">
        <f>"54112023062721145475895"</f>
        <v>54112023062721145475895</v>
      </c>
      <c r="C1800" s="9" t="s">
        <v>16</v>
      </c>
      <c r="D1800" s="9" t="str">
        <f>"王小波"</f>
        <v>王小波</v>
      </c>
    </row>
    <row r="1801" spans="1:4" ht="34.5" customHeight="1">
      <c r="A1801" s="8">
        <v>1799</v>
      </c>
      <c r="B1801" s="9" t="str">
        <f>"54112023062511230161040"</f>
        <v>54112023062511230161040</v>
      </c>
      <c r="C1801" s="9" t="s">
        <v>16</v>
      </c>
      <c r="D1801" s="9" t="str">
        <f>"莫丰玮"</f>
        <v>莫丰玮</v>
      </c>
    </row>
    <row r="1802" spans="1:4" ht="34.5" customHeight="1">
      <c r="A1802" s="8">
        <v>1800</v>
      </c>
      <c r="B1802" s="9" t="str">
        <f>"54112023062614435568954"</f>
        <v>54112023062614435568954</v>
      </c>
      <c r="C1802" s="9" t="s">
        <v>16</v>
      </c>
      <c r="D1802" s="9" t="str">
        <f>"赖丹芝"</f>
        <v>赖丹芝</v>
      </c>
    </row>
    <row r="1803" spans="1:4" ht="34.5" customHeight="1">
      <c r="A1803" s="8">
        <v>1801</v>
      </c>
      <c r="B1803" s="9" t="str">
        <f>"54112023062815052678338"</f>
        <v>54112023062815052678338</v>
      </c>
      <c r="C1803" s="9" t="s">
        <v>16</v>
      </c>
      <c r="D1803" s="9" t="str">
        <f>"王东昊"</f>
        <v>王东昊</v>
      </c>
    </row>
    <row r="1804" spans="1:4" ht="34.5" customHeight="1">
      <c r="A1804" s="8">
        <v>1802</v>
      </c>
      <c r="B1804" s="9" t="str">
        <f>"54112023062815255478443"</f>
        <v>54112023062815255478443</v>
      </c>
      <c r="C1804" s="9" t="s">
        <v>16</v>
      </c>
      <c r="D1804" s="9" t="str">
        <f>"黄辅委"</f>
        <v>黄辅委</v>
      </c>
    </row>
    <row r="1805" spans="1:4" ht="34.5" customHeight="1">
      <c r="A1805" s="8">
        <v>1803</v>
      </c>
      <c r="B1805" s="9" t="str">
        <f>"54112023062812574677917"</f>
        <v>54112023062812574677917</v>
      </c>
      <c r="C1805" s="9" t="s">
        <v>16</v>
      </c>
      <c r="D1805" s="9" t="str">
        <f>"黄大俊"</f>
        <v>黄大俊</v>
      </c>
    </row>
    <row r="1806" spans="1:4" ht="34.5" customHeight="1">
      <c r="A1806" s="8">
        <v>1804</v>
      </c>
      <c r="B1806" s="9" t="str">
        <f>"54112023062612075368118"</f>
        <v>54112023062612075368118</v>
      </c>
      <c r="C1806" s="9" t="s">
        <v>16</v>
      </c>
      <c r="D1806" s="9" t="str">
        <f>"王彪"</f>
        <v>王彪</v>
      </c>
    </row>
    <row r="1807" spans="1:4" ht="34.5" customHeight="1">
      <c r="A1807" s="8">
        <v>1805</v>
      </c>
      <c r="B1807" s="9" t="str">
        <f>"54112023062818422579263"</f>
        <v>54112023062818422579263</v>
      </c>
      <c r="C1807" s="9" t="s">
        <v>16</v>
      </c>
      <c r="D1807" s="9" t="str">
        <f>"陈大献"</f>
        <v>陈大献</v>
      </c>
    </row>
    <row r="1808" spans="1:4" ht="34.5" customHeight="1">
      <c r="A1808" s="8">
        <v>1806</v>
      </c>
      <c r="B1808" s="9" t="str">
        <f>"54112023062820285979581"</f>
        <v>54112023062820285979581</v>
      </c>
      <c r="C1808" s="9" t="s">
        <v>16</v>
      </c>
      <c r="D1808" s="9" t="str">
        <f>"朱荟声"</f>
        <v>朱荟声</v>
      </c>
    </row>
    <row r="1809" spans="1:4" ht="34.5" customHeight="1">
      <c r="A1809" s="8">
        <v>1807</v>
      </c>
      <c r="B1809" s="9" t="str">
        <f>"54112023062511501761647"</f>
        <v>54112023062511501761647</v>
      </c>
      <c r="C1809" s="9" t="s">
        <v>16</v>
      </c>
      <c r="D1809" s="9" t="str">
        <f>"苏德雄"</f>
        <v>苏德雄</v>
      </c>
    </row>
    <row r="1810" spans="1:4" ht="34.5" customHeight="1">
      <c r="A1810" s="8">
        <v>1808</v>
      </c>
      <c r="B1810" s="9" t="str">
        <f>"54112023062808575376679"</f>
        <v>54112023062808575376679</v>
      </c>
      <c r="C1810" s="9" t="s">
        <v>16</v>
      </c>
      <c r="D1810" s="9" t="str">
        <f>"欧哲彬"</f>
        <v>欧哲彬</v>
      </c>
    </row>
    <row r="1811" spans="1:4" ht="34.5" customHeight="1">
      <c r="A1811" s="8">
        <v>1809</v>
      </c>
      <c r="B1811" s="9" t="str">
        <f>"54112023062908303280585"</f>
        <v>54112023062908303280585</v>
      </c>
      <c r="C1811" s="9" t="s">
        <v>16</v>
      </c>
      <c r="D1811" s="9" t="str">
        <f>"王首铭"</f>
        <v>王首铭</v>
      </c>
    </row>
    <row r="1812" spans="1:4" ht="34.5" customHeight="1">
      <c r="A1812" s="8">
        <v>1810</v>
      </c>
      <c r="B1812" s="9" t="str">
        <f>"54112023062909122780861"</f>
        <v>54112023062909122780861</v>
      </c>
      <c r="C1812" s="9" t="s">
        <v>16</v>
      </c>
      <c r="D1812" s="9" t="str">
        <f>"李海南"</f>
        <v>李海南</v>
      </c>
    </row>
    <row r="1813" spans="1:4" ht="34.5" customHeight="1">
      <c r="A1813" s="8">
        <v>1811</v>
      </c>
      <c r="B1813" s="9" t="str">
        <f>"54112023062909434281156"</f>
        <v>54112023062909434281156</v>
      </c>
      <c r="C1813" s="9" t="s">
        <v>16</v>
      </c>
      <c r="D1813" s="9" t="str">
        <f>"王政森"</f>
        <v>王政森</v>
      </c>
    </row>
    <row r="1814" spans="1:4" ht="34.5" customHeight="1">
      <c r="A1814" s="8">
        <v>1812</v>
      </c>
      <c r="B1814" s="9" t="str">
        <f>"54112023062508554759744"</f>
        <v>54112023062508554759744</v>
      </c>
      <c r="C1814" s="9" t="s">
        <v>16</v>
      </c>
      <c r="D1814" s="9" t="str">
        <f>"焉春霞"</f>
        <v>焉春霞</v>
      </c>
    </row>
    <row r="1815" spans="1:4" ht="34.5" customHeight="1">
      <c r="A1815" s="8">
        <v>1813</v>
      </c>
      <c r="B1815" s="9" t="str">
        <f>"54112023062912001182330"</f>
        <v>54112023062912001182330</v>
      </c>
      <c r="C1815" s="9" t="s">
        <v>16</v>
      </c>
      <c r="D1815" s="9" t="str">
        <f>"郑必强"</f>
        <v>郑必强</v>
      </c>
    </row>
    <row r="1816" spans="1:4" ht="34.5" customHeight="1">
      <c r="A1816" s="8">
        <v>1814</v>
      </c>
      <c r="B1816" s="9" t="str">
        <f>"54112023062913320282844"</f>
        <v>54112023062913320282844</v>
      </c>
      <c r="C1816" s="9" t="s">
        <v>16</v>
      </c>
      <c r="D1816" s="9" t="str">
        <f>"王国伟"</f>
        <v>王国伟</v>
      </c>
    </row>
    <row r="1817" spans="1:4" ht="34.5" customHeight="1">
      <c r="A1817" s="8">
        <v>1815</v>
      </c>
      <c r="B1817" s="9" t="str">
        <f>"54112023062614410868934"</f>
        <v>54112023062614410868934</v>
      </c>
      <c r="C1817" s="9" t="s">
        <v>16</v>
      </c>
      <c r="D1817" s="9" t="str">
        <f>"黄加佳"</f>
        <v>黄加佳</v>
      </c>
    </row>
    <row r="1818" spans="1:4" ht="34.5" customHeight="1">
      <c r="A1818" s="8">
        <v>1816</v>
      </c>
      <c r="B1818" s="9" t="str">
        <f>"54112023062810475077296"</f>
        <v>54112023062810475077296</v>
      </c>
      <c r="C1818" s="9" t="s">
        <v>16</v>
      </c>
      <c r="D1818" s="9" t="str">
        <f>"陈龙飞"</f>
        <v>陈龙飞</v>
      </c>
    </row>
    <row r="1819" spans="1:4" ht="34.5" customHeight="1">
      <c r="A1819" s="8">
        <v>1817</v>
      </c>
      <c r="B1819" s="9" t="str">
        <f>"54112023062915180683388"</f>
        <v>54112023062915180683388</v>
      </c>
      <c r="C1819" s="9" t="s">
        <v>16</v>
      </c>
      <c r="D1819" s="9" t="str">
        <f>"许伟允"</f>
        <v>许伟允</v>
      </c>
    </row>
    <row r="1820" spans="1:4" ht="34.5" customHeight="1">
      <c r="A1820" s="8">
        <v>1818</v>
      </c>
      <c r="B1820" s="9" t="str">
        <f>"54112023062917084584188"</f>
        <v>54112023062917084584188</v>
      </c>
      <c r="C1820" s="9" t="s">
        <v>16</v>
      </c>
      <c r="D1820" s="9" t="str">
        <f>"何文华"</f>
        <v>何文华</v>
      </c>
    </row>
    <row r="1821" spans="1:4" ht="34.5" customHeight="1">
      <c r="A1821" s="8">
        <v>1819</v>
      </c>
      <c r="B1821" s="9" t="str">
        <f>"54112023062920573385363"</f>
        <v>54112023062920573385363</v>
      </c>
      <c r="C1821" s="9" t="s">
        <v>16</v>
      </c>
      <c r="D1821" s="9" t="str">
        <f>"欧美琪"</f>
        <v>欧美琪</v>
      </c>
    </row>
    <row r="1822" spans="1:4" ht="34.5" customHeight="1">
      <c r="A1822" s="8">
        <v>1820</v>
      </c>
      <c r="B1822" s="9" t="str">
        <f>"54112023062922414986045"</f>
        <v>54112023062922414986045</v>
      </c>
      <c r="C1822" s="9" t="s">
        <v>16</v>
      </c>
      <c r="D1822" s="9" t="str">
        <f>"曾家丹"</f>
        <v>曾家丹</v>
      </c>
    </row>
    <row r="1823" spans="1:4" ht="34.5" customHeight="1">
      <c r="A1823" s="8">
        <v>1821</v>
      </c>
      <c r="B1823" s="9" t="str">
        <f>"54112023062818131379158"</f>
        <v>54112023062818131379158</v>
      </c>
      <c r="C1823" s="9" t="s">
        <v>16</v>
      </c>
      <c r="D1823" s="9" t="str">
        <f>"胡其泽"</f>
        <v>胡其泽</v>
      </c>
    </row>
    <row r="1824" spans="1:4" ht="34.5" customHeight="1">
      <c r="A1824" s="8">
        <v>1822</v>
      </c>
      <c r="B1824" s="9" t="str">
        <f>"54112023062923591886380"</f>
        <v>54112023062923591886380</v>
      </c>
      <c r="C1824" s="9" t="s">
        <v>16</v>
      </c>
      <c r="D1824" s="9" t="str">
        <f>"韩福凌"</f>
        <v>韩福凌</v>
      </c>
    </row>
    <row r="1825" spans="1:4" ht="34.5" customHeight="1">
      <c r="A1825" s="8">
        <v>1823</v>
      </c>
      <c r="B1825" s="9" t="str">
        <f>"54112023062700445671830"</f>
        <v>54112023062700445671830</v>
      </c>
      <c r="C1825" s="9" t="s">
        <v>16</v>
      </c>
      <c r="D1825" s="9" t="str">
        <f>"王思棉"</f>
        <v>王思棉</v>
      </c>
    </row>
    <row r="1826" spans="1:4" ht="34.5" customHeight="1">
      <c r="A1826" s="8">
        <v>1824</v>
      </c>
      <c r="B1826" s="9" t="str">
        <f>"54112023062810441977270"</f>
        <v>54112023062810441977270</v>
      </c>
      <c r="C1826" s="9" t="s">
        <v>16</v>
      </c>
      <c r="D1826" s="9" t="str">
        <f>"苏健"</f>
        <v>苏健</v>
      </c>
    </row>
    <row r="1827" spans="1:4" ht="34.5" customHeight="1">
      <c r="A1827" s="8">
        <v>1825</v>
      </c>
      <c r="B1827" s="9" t="str">
        <f>"54112023062511461561624"</f>
        <v>54112023062511461561624</v>
      </c>
      <c r="C1827" s="9" t="s">
        <v>16</v>
      </c>
      <c r="D1827" s="9" t="str">
        <f>"景欣"</f>
        <v>景欣</v>
      </c>
    </row>
    <row r="1828" spans="1:4" ht="34.5" customHeight="1">
      <c r="A1828" s="8">
        <v>1826</v>
      </c>
      <c r="B1828" s="9" t="str">
        <f>"54112023063010170787493"</f>
        <v>54112023063010170787493</v>
      </c>
      <c r="C1828" s="9" t="s">
        <v>16</v>
      </c>
      <c r="D1828" s="9" t="str">
        <f>"董长熙"</f>
        <v>董长熙</v>
      </c>
    </row>
    <row r="1829" spans="1:4" ht="34.5" customHeight="1">
      <c r="A1829" s="8">
        <v>1827</v>
      </c>
      <c r="B1829" s="9" t="str">
        <f>"54112023062921143185486"</f>
        <v>54112023062921143185486</v>
      </c>
      <c r="C1829" s="9" t="s">
        <v>16</v>
      </c>
      <c r="D1829" s="9" t="str">
        <f>"李干"</f>
        <v>李干</v>
      </c>
    </row>
    <row r="1830" spans="1:4" ht="34.5" customHeight="1">
      <c r="A1830" s="8">
        <v>1828</v>
      </c>
      <c r="B1830" s="9" t="str">
        <f>"54112023063015284389513"</f>
        <v>54112023063015284389513</v>
      </c>
      <c r="C1830" s="9" t="s">
        <v>16</v>
      </c>
      <c r="D1830" s="9" t="str">
        <f>"羊家博"</f>
        <v>羊家博</v>
      </c>
    </row>
    <row r="1831" spans="1:4" ht="34.5" customHeight="1">
      <c r="A1831" s="8">
        <v>1829</v>
      </c>
      <c r="B1831" s="9" t="str">
        <f>"54112023063008311986808"</f>
        <v>54112023063008311986808</v>
      </c>
      <c r="C1831" s="9" t="s">
        <v>16</v>
      </c>
      <c r="D1831" s="9" t="str">
        <f>"王凡"</f>
        <v>王凡</v>
      </c>
    </row>
    <row r="1832" spans="1:4" ht="34.5" customHeight="1">
      <c r="A1832" s="8">
        <v>1830</v>
      </c>
      <c r="B1832" s="9" t="str">
        <f>"54112023062908344680599"</f>
        <v>54112023062908344680599</v>
      </c>
      <c r="C1832" s="9" t="s">
        <v>16</v>
      </c>
      <c r="D1832" s="9" t="str">
        <f>"雷大松"</f>
        <v>雷大松</v>
      </c>
    </row>
    <row r="1833" spans="1:4" ht="34.5" customHeight="1">
      <c r="A1833" s="8">
        <v>1831</v>
      </c>
      <c r="B1833" s="9" t="str">
        <f>"54112023070111210291240"</f>
        <v>54112023070111210291240</v>
      </c>
      <c r="C1833" s="9" t="s">
        <v>16</v>
      </c>
      <c r="D1833" s="9" t="str">
        <f>"陈云辉"</f>
        <v>陈云辉</v>
      </c>
    </row>
    <row r="1834" spans="1:4" ht="34.5" customHeight="1">
      <c r="A1834" s="8">
        <v>1832</v>
      </c>
      <c r="B1834" s="9" t="str">
        <f>"54112023062508594359763"</f>
        <v>54112023062508594359763</v>
      </c>
      <c r="C1834" s="9" t="s">
        <v>16</v>
      </c>
      <c r="D1834" s="9" t="str">
        <f>"朱深平"</f>
        <v>朱深平</v>
      </c>
    </row>
    <row r="1835" spans="1:4" ht="34.5" customHeight="1">
      <c r="A1835" s="8">
        <v>1833</v>
      </c>
      <c r="B1835" s="9" t="str">
        <f>"54112023062917274884273"</f>
        <v>54112023062917274884273</v>
      </c>
      <c r="C1835" s="9" t="s">
        <v>16</v>
      </c>
      <c r="D1835" s="9" t="str">
        <f>"苏燕妮"</f>
        <v>苏燕妮</v>
      </c>
    </row>
    <row r="1836" spans="1:4" ht="34.5" customHeight="1">
      <c r="A1836" s="8">
        <v>1834</v>
      </c>
      <c r="B1836" s="9" t="str">
        <f>"54112023070113181891476"</f>
        <v>54112023070113181891476</v>
      </c>
      <c r="C1836" s="9" t="s">
        <v>16</v>
      </c>
      <c r="D1836" s="9" t="str">
        <f>"陈焕超"</f>
        <v>陈焕超</v>
      </c>
    </row>
    <row r="1837" spans="1:4" ht="34.5" customHeight="1">
      <c r="A1837" s="8">
        <v>1835</v>
      </c>
      <c r="B1837" s="9" t="str">
        <f>"54112023063009242887102"</f>
        <v>54112023063009242887102</v>
      </c>
      <c r="C1837" s="9" t="s">
        <v>16</v>
      </c>
      <c r="D1837" s="9" t="str">
        <f>"蔡笃兴"</f>
        <v>蔡笃兴</v>
      </c>
    </row>
    <row r="1838" spans="1:4" ht="34.5" customHeight="1">
      <c r="A1838" s="8">
        <v>1836</v>
      </c>
      <c r="B1838" s="9" t="str">
        <f>"54112023070120412492329"</f>
        <v>54112023070120412492329</v>
      </c>
      <c r="C1838" s="9" t="s">
        <v>16</v>
      </c>
      <c r="D1838" s="9" t="str">
        <f>"吴文洪"</f>
        <v>吴文洪</v>
      </c>
    </row>
    <row r="1839" spans="1:4" ht="34.5" customHeight="1">
      <c r="A1839" s="8">
        <v>1837</v>
      </c>
      <c r="B1839" s="9" t="str">
        <f>"54112023070209040192959"</f>
        <v>54112023070209040192959</v>
      </c>
      <c r="C1839" s="9" t="s">
        <v>16</v>
      </c>
      <c r="D1839" s="9" t="str">
        <f>"方家旺"</f>
        <v>方家旺</v>
      </c>
    </row>
    <row r="1840" spans="1:4" ht="34.5" customHeight="1">
      <c r="A1840" s="8">
        <v>1838</v>
      </c>
      <c r="B1840" s="9" t="str">
        <f>"54112023070209385093031"</f>
        <v>54112023070209385093031</v>
      </c>
      <c r="C1840" s="9" t="s">
        <v>16</v>
      </c>
      <c r="D1840" s="9" t="str">
        <f>"欧金圣"</f>
        <v>欧金圣</v>
      </c>
    </row>
    <row r="1841" spans="1:4" ht="34.5" customHeight="1">
      <c r="A1841" s="8">
        <v>1839</v>
      </c>
      <c r="B1841" s="9" t="str">
        <f>"54112023070212511993554"</f>
        <v>54112023070212511993554</v>
      </c>
      <c r="C1841" s="9" t="s">
        <v>16</v>
      </c>
      <c r="D1841" s="9" t="str">
        <f>"杨壮毅"</f>
        <v>杨壮毅</v>
      </c>
    </row>
    <row r="1842" spans="1:4" ht="34.5" customHeight="1">
      <c r="A1842" s="8">
        <v>1840</v>
      </c>
      <c r="B1842" s="9" t="str">
        <f>"54112023062610244766984"</f>
        <v>54112023062610244766984</v>
      </c>
      <c r="C1842" s="9" t="s">
        <v>16</v>
      </c>
      <c r="D1842" s="9" t="str">
        <f>"吴朋艳"</f>
        <v>吴朋艳</v>
      </c>
    </row>
    <row r="1843" spans="1:4" ht="34.5" customHeight="1">
      <c r="A1843" s="8">
        <v>1841</v>
      </c>
      <c r="B1843" s="9" t="str">
        <f>"54112023062716443274562"</f>
        <v>54112023062716443274562</v>
      </c>
      <c r="C1843" s="9" t="s">
        <v>16</v>
      </c>
      <c r="D1843" s="9" t="str">
        <f>"陆精"</f>
        <v>陆精</v>
      </c>
    </row>
    <row r="1844" spans="1:4" ht="34.5" customHeight="1">
      <c r="A1844" s="8">
        <v>1842</v>
      </c>
      <c r="B1844" s="9" t="str">
        <f>"54112023070217142494199"</f>
        <v>54112023070217142494199</v>
      </c>
      <c r="C1844" s="9" t="s">
        <v>16</v>
      </c>
      <c r="D1844" s="9" t="str">
        <f>"符学基"</f>
        <v>符学基</v>
      </c>
    </row>
    <row r="1845" spans="1:4" ht="34.5" customHeight="1">
      <c r="A1845" s="8">
        <v>1843</v>
      </c>
      <c r="B1845" s="9" t="str">
        <f>"54112023070213065793596"</f>
        <v>54112023070213065793596</v>
      </c>
      <c r="C1845" s="9" t="s">
        <v>16</v>
      </c>
      <c r="D1845" s="9" t="str">
        <f>"林永财"</f>
        <v>林永财</v>
      </c>
    </row>
    <row r="1846" spans="1:4" ht="34.5" customHeight="1">
      <c r="A1846" s="8">
        <v>1844</v>
      </c>
      <c r="B1846" s="9" t="str">
        <f>"54112023062900395180376"</f>
        <v>54112023062900395180376</v>
      </c>
      <c r="C1846" s="9" t="s">
        <v>16</v>
      </c>
      <c r="D1846" s="9" t="str">
        <f>"王康学"</f>
        <v>王康学</v>
      </c>
    </row>
    <row r="1847" spans="1:4" ht="34.5" customHeight="1">
      <c r="A1847" s="8">
        <v>1845</v>
      </c>
      <c r="B1847" s="9" t="str">
        <f>"54112023070220114894535"</f>
        <v>54112023070220114894535</v>
      </c>
      <c r="C1847" s="9" t="s">
        <v>16</v>
      </c>
      <c r="D1847" s="9" t="str">
        <f>"雷训"</f>
        <v>雷训</v>
      </c>
    </row>
    <row r="1848" spans="1:4" ht="34.5" customHeight="1">
      <c r="A1848" s="8">
        <v>1846</v>
      </c>
      <c r="B1848" s="9" t="str">
        <f>"54112023063018423790193"</f>
        <v>54112023063018423790193</v>
      </c>
      <c r="C1848" s="9" t="s">
        <v>16</v>
      </c>
      <c r="D1848" s="9" t="str">
        <f>"尤娅琪"</f>
        <v>尤娅琪</v>
      </c>
    </row>
    <row r="1849" spans="1:4" ht="34.5" customHeight="1">
      <c r="A1849" s="8">
        <v>1847</v>
      </c>
      <c r="B1849" s="9" t="str">
        <f>"54112023070222185594915"</f>
        <v>54112023070222185594915</v>
      </c>
      <c r="C1849" s="9" t="s">
        <v>16</v>
      </c>
      <c r="D1849" s="9" t="str">
        <f>"简天泽"</f>
        <v>简天泽</v>
      </c>
    </row>
    <row r="1850" spans="1:4" ht="34.5" customHeight="1">
      <c r="A1850" s="8">
        <v>1848</v>
      </c>
      <c r="B1850" s="9" t="str">
        <f>"54112023070222055094872"</f>
        <v>54112023070222055094872</v>
      </c>
      <c r="C1850" s="9" t="s">
        <v>16</v>
      </c>
      <c r="D1850" s="9" t="str">
        <f>"欧开鹏"</f>
        <v>欧开鹏</v>
      </c>
    </row>
    <row r="1851" spans="1:4" ht="34.5" customHeight="1">
      <c r="A1851" s="8">
        <v>1849</v>
      </c>
      <c r="B1851" s="9" t="str">
        <f>"54112023062722350576177"</f>
        <v>54112023062722350576177</v>
      </c>
      <c r="C1851" s="9" t="s">
        <v>16</v>
      </c>
      <c r="D1851" s="9" t="str">
        <f>"黄世河"</f>
        <v>黄世河</v>
      </c>
    </row>
    <row r="1852" spans="1:4" ht="34.5" customHeight="1">
      <c r="A1852" s="8">
        <v>1850</v>
      </c>
      <c r="B1852" s="9" t="str">
        <f>"54112023062522041764719"</f>
        <v>54112023062522041764719</v>
      </c>
      <c r="C1852" s="9" t="s">
        <v>16</v>
      </c>
      <c r="D1852" s="9" t="str">
        <f>"陈振富"</f>
        <v>陈振富</v>
      </c>
    </row>
    <row r="1853" spans="1:4" ht="34.5" customHeight="1">
      <c r="A1853" s="8">
        <v>1851</v>
      </c>
      <c r="B1853" s="9" t="str">
        <f>"54112023070312032896898"</f>
        <v>54112023070312032896898</v>
      </c>
      <c r="C1853" s="9" t="s">
        <v>16</v>
      </c>
      <c r="D1853" s="9" t="str">
        <f>"肖丙璐"</f>
        <v>肖丙璐</v>
      </c>
    </row>
    <row r="1854" spans="1:4" ht="34.5" customHeight="1">
      <c r="A1854" s="8">
        <v>1852</v>
      </c>
      <c r="B1854" s="9" t="str">
        <f>"54112023070117471591976"</f>
        <v>54112023070117471591976</v>
      </c>
      <c r="C1854" s="9" t="s">
        <v>16</v>
      </c>
      <c r="D1854" s="9" t="str">
        <f>"王雅思"</f>
        <v>王雅思</v>
      </c>
    </row>
    <row r="1855" spans="1:4" ht="34.5" customHeight="1">
      <c r="A1855" s="8">
        <v>1853</v>
      </c>
      <c r="B1855" s="9" t="str">
        <f>"54112023070313552397503"</f>
        <v>54112023070313552397503</v>
      </c>
      <c r="C1855" s="9" t="s">
        <v>16</v>
      </c>
      <c r="D1855" s="9" t="str">
        <f>"张克松"</f>
        <v>张克松</v>
      </c>
    </row>
    <row r="1856" spans="1:4" ht="34.5" customHeight="1">
      <c r="A1856" s="8">
        <v>1854</v>
      </c>
      <c r="B1856" s="9" t="str">
        <f>"54112023070319174099066"</f>
        <v>54112023070319174099066</v>
      </c>
      <c r="C1856" s="9" t="s">
        <v>16</v>
      </c>
      <c r="D1856" s="9" t="str">
        <f>"王运来"</f>
        <v>王运来</v>
      </c>
    </row>
    <row r="1857" spans="1:4" ht="34.5" customHeight="1">
      <c r="A1857" s="8">
        <v>1855</v>
      </c>
      <c r="B1857" s="9" t="str">
        <f>"54112023070222250894925"</f>
        <v>54112023070222250894925</v>
      </c>
      <c r="C1857" s="9" t="s">
        <v>16</v>
      </c>
      <c r="D1857" s="9" t="str">
        <f>"莫小刚"</f>
        <v>莫小刚</v>
      </c>
    </row>
    <row r="1858" spans="1:4" ht="34.5" customHeight="1">
      <c r="A1858" s="8">
        <v>1856</v>
      </c>
      <c r="B1858" s="9" t="str">
        <f>"54112023070322001599837"</f>
        <v>54112023070322001599837</v>
      </c>
      <c r="C1858" s="9" t="s">
        <v>16</v>
      </c>
      <c r="D1858" s="9" t="str">
        <f>"计威威"</f>
        <v>计威威</v>
      </c>
    </row>
    <row r="1859" spans="1:4" ht="34.5" customHeight="1">
      <c r="A1859" s="8">
        <v>1857</v>
      </c>
      <c r="B1859" s="9" t="str">
        <f>"54112023062721123175883"</f>
        <v>54112023062721123175883</v>
      </c>
      <c r="C1859" s="9" t="s">
        <v>16</v>
      </c>
      <c r="D1859" s="9" t="str">
        <f>"陈德勤"</f>
        <v>陈德勤</v>
      </c>
    </row>
    <row r="1860" spans="1:4" ht="34.5" customHeight="1">
      <c r="A1860" s="8">
        <v>1858</v>
      </c>
      <c r="B1860" s="9" t="str">
        <f>"541120230704013744100392"</f>
        <v>541120230704013744100392</v>
      </c>
      <c r="C1860" s="9" t="s">
        <v>16</v>
      </c>
      <c r="D1860" s="9" t="str">
        <f>"符亚祥"</f>
        <v>符亚祥</v>
      </c>
    </row>
    <row r="1861" spans="1:4" ht="34.5" customHeight="1">
      <c r="A1861" s="8">
        <v>1859</v>
      </c>
      <c r="B1861" s="9" t="str">
        <f>"541120230704083708100608"</f>
        <v>541120230704083708100608</v>
      </c>
      <c r="C1861" s="9" t="s">
        <v>16</v>
      </c>
      <c r="D1861" s="9" t="str">
        <f>"陈进影"</f>
        <v>陈进影</v>
      </c>
    </row>
    <row r="1862" spans="1:4" ht="34.5" customHeight="1">
      <c r="A1862" s="8">
        <v>1860</v>
      </c>
      <c r="B1862" s="9" t="str">
        <f>"541120230704101157101027"</f>
        <v>541120230704101157101027</v>
      </c>
      <c r="C1862" s="9" t="s">
        <v>16</v>
      </c>
      <c r="D1862" s="9" t="str">
        <f>"吴坤贤"</f>
        <v>吴坤贤</v>
      </c>
    </row>
    <row r="1863" spans="1:4" ht="34.5" customHeight="1">
      <c r="A1863" s="8">
        <v>1861</v>
      </c>
      <c r="B1863" s="9" t="str">
        <f>"541120230704103733101205"</f>
        <v>541120230704103733101205</v>
      </c>
      <c r="C1863" s="9" t="s">
        <v>16</v>
      </c>
      <c r="D1863" s="9" t="str">
        <f>"胡宇辰"</f>
        <v>胡宇辰</v>
      </c>
    </row>
    <row r="1864" spans="1:4" ht="34.5" customHeight="1">
      <c r="A1864" s="8">
        <v>1862</v>
      </c>
      <c r="B1864" s="9" t="str">
        <f>"54112023062508562659747"</f>
        <v>54112023062508562659747</v>
      </c>
      <c r="C1864" s="9" t="s">
        <v>17</v>
      </c>
      <c r="D1864" s="9" t="str">
        <f>"杨定琨"</f>
        <v>杨定琨</v>
      </c>
    </row>
    <row r="1865" spans="1:4" ht="34.5" customHeight="1">
      <c r="A1865" s="8">
        <v>1863</v>
      </c>
      <c r="B1865" s="9" t="str">
        <f>"54112023062509584260390"</f>
        <v>54112023062509584260390</v>
      </c>
      <c r="C1865" s="9" t="s">
        <v>17</v>
      </c>
      <c r="D1865" s="9" t="str">
        <f>"段骁哲"</f>
        <v>段骁哲</v>
      </c>
    </row>
    <row r="1866" spans="1:4" ht="34.5" customHeight="1">
      <c r="A1866" s="8">
        <v>1864</v>
      </c>
      <c r="B1866" s="9" t="str">
        <f>"54112023062510271360635"</f>
        <v>54112023062510271360635</v>
      </c>
      <c r="C1866" s="9" t="s">
        <v>17</v>
      </c>
      <c r="D1866" s="9" t="str">
        <f>"任静"</f>
        <v>任静</v>
      </c>
    </row>
    <row r="1867" spans="1:4" ht="34.5" customHeight="1">
      <c r="A1867" s="8">
        <v>1865</v>
      </c>
      <c r="B1867" s="9" t="str">
        <f>"54112023062510035560447"</f>
        <v>54112023062510035560447</v>
      </c>
      <c r="C1867" s="9" t="s">
        <v>17</v>
      </c>
      <c r="D1867" s="9" t="str">
        <f>"吴莹慧"</f>
        <v>吴莹慧</v>
      </c>
    </row>
    <row r="1868" spans="1:4" ht="34.5" customHeight="1">
      <c r="A1868" s="8">
        <v>1866</v>
      </c>
      <c r="B1868" s="9" t="str">
        <f>"54112023062512341161978"</f>
        <v>54112023062512341161978</v>
      </c>
      <c r="C1868" s="9" t="s">
        <v>17</v>
      </c>
      <c r="D1868" s="9" t="str">
        <f>"钟琪琪"</f>
        <v>钟琪琪</v>
      </c>
    </row>
    <row r="1869" spans="1:4" ht="34.5" customHeight="1">
      <c r="A1869" s="8">
        <v>1867</v>
      </c>
      <c r="B1869" s="9" t="str">
        <f>"54112023062512130961812"</f>
        <v>54112023062512130961812</v>
      </c>
      <c r="C1869" s="9" t="s">
        <v>17</v>
      </c>
      <c r="D1869" s="9" t="str">
        <f>"吴盈盈"</f>
        <v>吴盈盈</v>
      </c>
    </row>
    <row r="1870" spans="1:4" ht="34.5" customHeight="1">
      <c r="A1870" s="8">
        <v>1868</v>
      </c>
      <c r="B1870" s="9" t="str">
        <f>"54112023062515154762829"</f>
        <v>54112023062515154762829</v>
      </c>
      <c r="C1870" s="9" t="s">
        <v>17</v>
      </c>
      <c r="D1870" s="9" t="str">
        <f>"杨兹庆"</f>
        <v>杨兹庆</v>
      </c>
    </row>
    <row r="1871" spans="1:4" ht="34.5" customHeight="1">
      <c r="A1871" s="8">
        <v>1869</v>
      </c>
      <c r="B1871" s="9" t="str">
        <f>"54112023062516181863230"</f>
        <v>54112023062516181863230</v>
      </c>
      <c r="C1871" s="9" t="s">
        <v>17</v>
      </c>
      <c r="D1871" s="9" t="str">
        <f>"朱文静"</f>
        <v>朱文静</v>
      </c>
    </row>
    <row r="1872" spans="1:4" ht="34.5" customHeight="1">
      <c r="A1872" s="8">
        <v>1870</v>
      </c>
      <c r="B1872" s="9" t="str">
        <f>"54112023062509175759963"</f>
        <v>54112023062509175759963</v>
      </c>
      <c r="C1872" s="9" t="s">
        <v>17</v>
      </c>
      <c r="D1872" s="9" t="str">
        <f>"王明丰"</f>
        <v>王明丰</v>
      </c>
    </row>
    <row r="1873" spans="1:4" ht="34.5" customHeight="1">
      <c r="A1873" s="8">
        <v>1871</v>
      </c>
      <c r="B1873" s="9" t="str">
        <f>"54112023062509284560083"</f>
        <v>54112023062509284560083</v>
      </c>
      <c r="C1873" s="9" t="s">
        <v>17</v>
      </c>
      <c r="D1873" s="9" t="str">
        <f>"陈泽桦"</f>
        <v>陈泽桦</v>
      </c>
    </row>
    <row r="1874" spans="1:4" ht="34.5" customHeight="1">
      <c r="A1874" s="8">
        <v>1872</v>
      </c>
      <c r="B1874" s="9" t="str">
        <f>"54112023062514004162391"</f>
        <v>54112023062514004162391</v>
      </c>
      <c r="C1874" s="9" t="s">
        <v>17</v>
      </c>
      <c r="D1874" s="9" t="str">
        <f>"陈忠宇"</f>
        <v>陈忠宇</v>
      </c>
    </row>
    <row r="1875" spans="1:4" ht="34.5" customHeight="1">
      <c r="A1875" s="8">
        <v>1873</v>
      </c>
      <c r="B1875" s="9" t="str">
        <f>"54112023062520245664211"</f>
        <v>54112023062520245664211</v>
      </c>
      <c r="C1875" s="9" t="s">
        <v>17</v>
      </c>
      <c r="D1875" s="9" t="str">
        <f>"董佳琦"</f>
        <v>董佳琦</v>
      </c>
    </row>
    <row r="1876" spans="1:4" ht="34.5" customHeight="1">
      <c r="A1876" s="8">
        <v>1874</v>
      </c>
      <c r="B1876" s="9" t="str">
        <f>"54112023062519150463932"</f>
        <v>54112023062519150463932</v>
      </c>
      <c r="C1876" s="9" t="s">
        <v>17</v>
      </c>
      <c r="D1876" s="9" t="str">
        <f>"李璐"</f>
        <v>李璐</v>
      </c>
    </row>
    <row r="1877" spans="1:4" ht="34.5" customHeight="1">
      <c r="A1877" s="8">
        <v>1875</v>
      </c>
      <c r="B1877" s="9" t="str">
        <f>"54112023062518540863855"</f>
        <v>54112023062518540863855</v>
      </c>
      <c r="C1877" s="9" t="s">
        <v>17</v>
      </c>
      <c r="D1877" s="9" t="str">
        <f>"符笑琼"</f>
        <v>符笑琼</v>
      </c>
    </row>
    <row r="1878" spans="1:4" ht="34.5" customHeight="1">
      <c r="A1878" s="8">
        <v>1876</v>
      </c>
      <c r="B1878" s="9" t="str">
        <f>"54112023062521574564691"</f>
        <v>54112023062521574564691</v>
      </c>
      <c r="C1878" s="9" t="s">
        <v>17</v>
      </c>
      <c r="D1878" s="9" t="str">
        <f>"安雪松"</f>
        <v>安雪松</v>
      </c>
    </row>
    <row r="1879" spans="1:4" ht="34.5" customHeight="1">
      <c r="A1879" s="8">
        <v>1877</v>
      </c>
      <c r="B1879" s="9" t="str">
        <f>"54112023062522401864839"</f>
        <v>54112023062522401864839</v>
      </c>
      <c r="C1879" s="9" t="s">
        <v>17</v>
      </c>
      <c r="D1879" s="9" t="str">
        <f>"周亭均"</f>
        <v>周亭均</v>
      </c>
    </row>
    <row r="1880" spans="1:4" ht="34.5" customHeight="1">
      <c r="A1880" s="8">
        <v>1878</v>
      </c>
      <c r="B1880" s="9" t="str">
        <f>"54112023062607303865261"</f>
        <v>54112023062607303865261</v>
      </c>
      <c r="C1880" s="9" t="s">
        <v>17</v>
      </c>
      <c r="D1880" s="9" t="str">
        <f>"陈林"</f>
        <v>陈林</v>
      </c>
    </row>
    <row r="1881" spans="1:4" ht="34.5" customHeight="1">
      <c r="A1881" s="8">
        <v>1879</v>
      </c>
      <c r="B1881" s="9" t="str">
        <f>"54112023062609055965655"</f>
        <v>54112023062609055965655</v>
      </c>
      <c r="C1881" s="9" t="s">
        <v>17</v>
      </c>
      <c r="D1881" s="9" t="str">
        <f>"吴婷婷"</f>
        <v>吴婷婷</v>
      </c>
    </row>
    <row r="1882" spans="1:4" ht="34.5" customHeight="1">
      <c r="A1882" s="8">
        <v>1880</v>
      </c>
      <c r="B1882" s="9" t="str">
        <f>"54112023062609305166108"</f>
        <v>54112023062609305166108</v>
      </c>
      <c r="C1882" s="9" t="s">
        <v>17</v>
      </c>
      <c r="D1882" s="9" t="str">
        <f>"卢哨"</f>
        <v>卢哨</v>
      </c>
    </row>
    <row r="1883" spans="1:4" ht="34.5" customHeight="1">
      <c r="A1883" s="8">
        <v>1881</v>
      </c>
      <c r="B1883" s="9" t="str">
        <f>"54112023062616403969798"</f>
        <v>54112023062616403969798</v>
      </c>
      <c r="C1883" s="9" t="s">
        <v>17</v>
      </c>
      <c r="D1883" s="9" t="str">
        <f>"柯春娜"</f>
        <v>柯春娜</v>
      </c>
    </row>
    <row r="1884" spans="1:4" ht="34.5" customHeight="1">
      <c r="A1884" s="8">
        <v>1882</v>
      </c>
      <c r="B1884" s="9" t="str">
        <f>"54112023062615000369060"</f>
        <v>54112023062615000369060</v>
      </c>
      <c r="C1884" s="9" t="s">
        <v>17</v>
      </c>
      <c r="D1884" s="9" t="str">
        <f>"韩芳"</f>
        <v>韩芳</v>
      </c>
    </row>
    <row r="1885" spans="1:4" ht="34.5" customHeight="1">
      <c r="A1885" s="8">
        <v>1883</v>
      </c>
      <c r="B1885" s="9" t="str">
        <f>"54112023062617530570209"</f>
        <v>54112023062617530570209</v>
      </c>
      <c r="C1885" s="9" t="s">
        <v>17</v>
      </c>
      <c r="D1885" s="9" t="str">
        <f>"王小贞"</f>
        <v>王小贞</v>
      </c>
    </row>
    <row r="1886" spans="1:4" ht="34.5" customHeight="1">
      <c r="A1886" s="8">
        <v>1884</v>
      </c>
      <c r="B1886" s="9" t="str">
        <f>"54112023062618000770240"</f>
        <v>54112023062618000770240</v>
      </c>
      <c r="C1886" s="9" t="s">
        <v>17</v>
      </c>
      <c r="D1886" s="9" t="str">
        <f>"陈婷"</f>
        <v>陈婷</v>
      </c>
    </row>
    <row r="1887" spans="1:4" ht="34.5" customHeight="1">
      <c r="A1887" s="8">
        <v>1885</v>
      </c>
      <c r="B1887" s="9" t="str">
        <f>"54112023062620294570915"</f>
        <v>54112023062620294570915</v>
      </c>
      <c r="C1887" s="9" t="s">
        <v>17</v>
      </c>
      <c r="D1887" s="9" t="str">
        <f>"邹林桦"</f>
        <v>邹林桦</v>
      </c>
    </row>
    <row r="1888" spans="1:4" ht="34.5" customHeight="1">
      <c r="A1888" s="8">
        <v>1886</v>
      </c>
      <c r="B1888" s="9" t="str">
        <f>"54112023062611514068005"</f>
        <v>54112023062611514068005</v>
      </c>
      <c r="C1888" s="9" t="s">
        <v>17</v>
      </c>
      <c r="D1888" s="9" t="str">
        <f>"廖小花"</f>
        <v>廖小花</v>
      </c>
    </row>
    <row r="1889" spans="1:4" ht="34.5" customHeight="1">
      <c r="A1889" s="8">
        <v>1887</v>
      </c>
      <c r="B1889" s="9" t="str">
        <f>"54112023062602174565200"</f>
        <v>54112023062602174565200</v>
      </c>
      <c r="C1889" s="9" t="s">
        <v>17</v>
      </c>
      <c r="D1889" s="9" t="str">
        <f>"刘婧玮"</f>
        <v>刘婧玮</v>
      </c>
    </row>
    <row r="1890" spans="1:4" ht="34.5" customHeight="1">
      <c r="A1890" s="8">
        <v>1888</v>
      </c>
      <c r="B1890" s="9" t="str">
        <f>"54112023062708261972036"</f>
        <v>54112023062708261972036</v>
      </c>
      <c r="C1890" s="9" t="s">
        <v>17</v>
      </c>
      <c r="D1890" s="9" t="str">
        <f>"邢维娜"</f>
        <v>邢维娜</v>
      </c>
    </row>
    <row r="1891" spans="1:4" ht="34.5" customHeight="1">
      <c r="A1891" s="8">
        <v>1889</v>
      </c>
      <c r="B1891" s="9" t="str">
        <f>"54112023062708444872122"</f>
        <v>54112023062708444872122</v>
      </c>
      <c r="C1891" s="9" t="s">
        <v>17</v>
      </c>
      <c r="D1891" s="9" t="str">
        <f>"彭丽曼"</f>
        <v>彭丽曼</v>
      </c>
    </row>
    <row r="1892" spans="1:4" ht="34.5" customHeight="1">
      <c r="A1892" s="8">
        <v>1890</v>
      </c>
      <c r="B1892" s="9" t="str">
        <f>"54112023062709221272344"</f>
        <v>54112023062709221272344</v>
      </c>
      <c r="C1892" s="9" t="s">
        <v>17</v>
      </c>
      <c r="D1892" s="9" t="str">
        <f>"林育遥"</f>
        <v>林育遥</v>
      </c>
    </row>
    <row r="1893" spans="1:4" ht="34.5" customHeight="1">
      <c r="A1893" s="8">
        <v>1891</v>
      </c>
      <c r="B1893" s="9" t="str">
        <f>"54112023062709155372307"</f>
        <v>54112023062709155372307</v>
      </c>
      <c r="C1893" s="9" t="s">
        <v>17</v>
      </c>
      <c r="D1893" s="9" t="str">
        <f>"杨韵"</f>
        <v>杨韵</v>
      </c>
    </row>
    <row r="1894" spans="1:4" ht="34.5" customHeight="1">
      <c r="A1894" s="8">
        <v>1892</v>
      </c>
      <c r="B1894" s="9" t="str">
        <f>"54112023062709584172570"</f>
        <v>54112023062709584172570</v>
      </c>
      <c r="C1894" s="9" t="s">
        <v>17</v>
      </c>
      <c r="D1894" s="9" t="str">
        <f>"符菁菁"</f>
        <v>符菁菁</v>
      </c>
    </row>
    <row r="1895" spans="1:4" ht="34.5" customHeight="1">
      <c r="A1895" s="8">
        <v>1893</v>
      </c>
      <c r="B1895" s="9" t="str">
        <f>"54112023062714460674026"</f>
        <v>54112023062714460674026</v>
      </c>
      <c r="C1895" s="9" t="s">
        <v>17</v>
      </c>
      <c r="D1895" s="9" t="str">
        <f>"林荣霞"</f>
        <v>林荣霞</v>
      </c>
    </row>
    <row r="1896" spans="1:4" ht="34.5" customHeight="1">
      <c r="A1896" s="8">
        <v>1894</v>
      </c>
      <c r="B1896" s="9" t="str">
        <f>"54112023062515500663073"</f>
        <v>54112023062515500663073</v>
      </c>
      <c r="C1896" s="9" t="s">
        <v>17</v>
      </c>
      <c r="D1896" s="9" t="str">
        <f>"何鉴"</f>
        <v>何鉴</v>
      </c>
    </row>
    <row r="1897" spans="1:4" ht="34.5" customHeight="1">
      <c r="A1897" s="8">
        <v>1895</v>
      </c>
      <c r="B1897" s="9" t="str">
        <f>"54112023062720052275641"</f>
        <v>54112023062720052275641</v>
      </c>
      <c r="C1897" s="9" t="s">
        <v>17</v>
      </c>
      <c r="D1897" s="9" t="str">
        <f>"陈如晌"</f>
        <v>陈如晌</v>
      </c>
    </row>
    <row r="1898" spans="1:4" ht="34.5" customHeight="1">
      <c r="A1898" s="8">
        <v>1896</v>
      </c>
      <c r="B1898" s="9" t="str">
        <f>"54112023062611430967921"</f>
        <v>54112023062611430967921</v>
      </c>
      <c r="C1898" s="9" t="s">
        <v>17</v>
      </c>
      <c r="D1898" s="9" t="str">
        <f>"黄晓宁"</f>
        <v>黄晓宁</v>
      </c>
    </row>
    <row r="1899" spans="1:4" ht="34.5" customHeight="1">
      <c r="A1899" s="8">
        <v>1897</v>
      </c>
      <c r="B1899" s="9" t="str">
        <f>"54112023062512573662109"</f>
        <v>54112023062512573662109</v>
      </c>
      <c r="C1899" s="9" t="s">
        <v>17</v>
      </c>
      <c r="D1899" s="9" t="str">
        <f>"吴卓见"</f>
        <v>吴卓见</v>
      </c>
    </row>
    <row r="1900" spans="1:4" ht="34.5" customHeight="1">
      <c r="A1900" s="8">
        <v>1898</v>
      </c>
      <c r="B1900" s="9" t="str">
        <f>"54112023062620092870812"</f>
        <v>54112023062620092870812</v>
      </c>
      <c r="C1900" s="9" t="s">
        <v>17</v>
      </c>
      <c r="D1900" s="9" t="str">
        <f>"符婷婷"</f>
        <v>符婷婷</v>
      </c>
    </row>
    <row r="1901" spans="1:4" ht="34.5" customHeight="1">
      <c r="A1901" s="8">
        <v>1899</v>
      </c>
      <c r="B1901" s="9" t="str">
        <f>"54112023062811001577368"</f>
        <v>54112023062811001577368</v>
      </c>
      <c r="C1901" s="9" t="s">
        <v>17</v>
      </c>
      <c r="D1901" s="9" t="str">
        <f>"张祖薇"</f>
        <v>张祖薇</v>
      </c>
    </row>
    <row r="1902" spans="1:4" ht="34.5" customHeight="1">
      <c r="A1902" s="8">
        <v>1900</v>
      </c>
      <c r="B1902" s="9" t="str">
        <f>"54112023062722191376130"</f>
        <v>54112023062722191376130</v>
      </c>
      <c r="C1902" s="9" t="s">
        <v>17</v>
      </c>
      <c r="D1902" s="9" t="str">
        <f>"曹理民"</f>
        <v>曹理民</v>
      </c>
    </row>
    <row r="1903" spans="1:4" ht="34.5" customHeight="1">
      <c r="A1903" s="8">
        <v>1901</v>
      </c>
      <c r="B1903" s="9" t="str">
        <f>"54112023062704541671875"</f>
        <v>54112023062704541671875</v>
      </c>
      <c r="C1903" s="9" t="s">
        <v>17</v>
      </c>
      <c r="D1903" s="9" t="str">
        <f>"包哲启"</f>
        <v>包哲启</v>
      </c>
    </row>
    <row r="1904" spans="1:4" ht="34.5" customHeight="1">
      <c r="A1904" s="8">
        <v>1902</v>
      </c>
      <c r="B1904" s="9" t="str">
        <f>"54112023062710564473237"</f>
        <v>54112023062710564473237</v>
      </c>
      <c r="C1904" s="9" t="s">
        <v>17</v>
      </c>
      <c r="D1904" s="9" t="str">
        <f>"朱怡婷"</f>
        <v>朱怡婷</v>
      </c>
    </row>
    <row r="1905" spans="1:4" ht="34.5" customHeight="1">
      <c r="A1905" s="8">
        <v>1903</v>
      </c>
      <c r="B1905" s="9" t="str">
        <f>"54112023062621162671164"</f>
        <v>54112023062621162671164</v>
      </c>
      <c r="C1905" s="9" t="s">
        <v>17</v>
      </c>
      <c r="D1905" s="9" t="str">
        <f>"陈景伟"</f>
        <v>陈景伟</v>
      </c>
    </row>
    <row r="1906" spans="1:4" ht="34.5" customHeight="1">
      <c r="A1906" s="8">
        <v>1904</v>
      </c>
      <c r="B1906" s="9" t="str">
        <f>"54112023062909394681123"</f>
        <v>54112023062909394681123</v>
      </c>
      <c r="C1906" s="9" t="s">
        <v>17</v>
      </c>
      <c r="D1906" s="9" t="str">
        <f>"郑雪开"</f>
        <v>郑雪开</v>
      </c>
    </row>
    <row r="1907" spans="1:4" ht="34.5" customHeight="1">
      <c r="A1907" s="8">
        <v>1905</v>
      </c>
      <c r="B1907" s="9" t="str">
        <f>"54112023062817054978918"</f>
        <v>54112023062817054978918</v>
      </c>
      <c r="C1907" s="9" t="s">
        <v>17</v>
      </c>
      <c r="D1907" s="9" t="str">
        <f>"陈家雄"</f>
        <v>陈家雄</v>
      </c>
    </row>
    <row r="1908" spans="1:4" ht="34.5" customHeight="1">
      <c r="A1908" s="8">
        <v>1906</v>
      </c>
      <c r="B1908" s="9" t="str">
        <f>"54112023063019232390257"</f>
        <v>54112023063019232390257</v>
      </c>
      <c r="C1908" s="9" t="s">
        <v>17</v>
      </c>
      <c r="D1908" s="9" t="str">
        <f>"郑慧"</f>
        <v>郑慧</v>
      </c>
    </row>
    <row r="1909" spans="1:4" ht="34.5" customHeight="1">
      <c r="A1909" s="8">
        <v>1907</v>
      </c>
      <c r="B1909" s="9" t="str">
        <f>"54112023070110365791121"</f>
        <v>54112023070110365791121</v>
      </c>
      <c r="C1909" s="9" t="s">
        <v>17</v>
      </c>
      <c r="D1909" s="9" t="str">
        <f>"宋苡萱"</f>
        <v>宋苡萱</v>
      </c>
    </row>
    <row r="1910" spans="1:4" ht="34.5" customHeight="1">
      <c r="A1910" s="8">
        <v>1908</v>
      </c>
      <c r="B1910" s="9" t="str">
        <f>"54112023062921363885632"</f>
        <v>54112023062921363885632</v>
      </c>
      <c r="C1910" s="9" t="s">
        <v>17</v>
      </c>
      <c r="D1910" s="9" t="str">
        <f>"刘术"</f>
        <v>刘术</v>
      </c>
    </row>
    <row r="1911" spans="1:4" ht="34.5" customHeight="1">
      <c r="A1911" s="8">
        <v>1909</v>
      </c>
      <c r="B1911" s="9" t="str">
        <f>"54112023070118235392040"</f>
        <v>54112023070118235392040</v>
      </c>
      <c r="C1911" s="9" t="s">
        <v>17</v>
      </c>
      <c r="D1911" s="9" t="str">
        <f>"王梦仪"</f>
        <v>王梦仪</v>
      </c>
    </row>
    <row r="1912" spans="1:4" ht="34.5" customHeight="1">
      <c r="A1912" s="8">
        <v>1910</v>
      </c>
      <c r="B1912" s="9" t="str">
        <f>"54112023062708335972072"</f>
        <v>54112023062708335972072</v>
      </c>
      <c r="C1912" s="9" t="s">
        <v>17</v>
      </c>
      <c r="D1912" s="9" t="str">
        <f>"郑舒月"</f>
        <v>郑舒月</v>
      </c>
    </row>
    <row r="1913" spans="1:4" ht="34.5" customHeight="1">
      <c r="A1913" s="8">
        <v>1911</v>
      </c>
      <c r="B1913" s="9" t="str">
        <f>"54112023070113210091483"</f>
        <v>54112023070113210091483</v>
      </c>
      <c r="C1913" s="9" t="s">
        <v>17</v>
      </c>
      <c r="D1913" s="9" t="str">
        <f>"杨娜"</f>
        <v>杨娜</v>
      </c>
    </row>
    <row r="1914" spans="1:4" ht="34.5" customHeight="1">
      <c r="A1914" s="8">
        <v>1912</v>
      </c>
      <c r="B1914" s="9" t="str">
        <f>"54112023070215401393958"</f>
        <v>54112023070215401393958</v>
      </c>
      <c r="C1914" s="9" t="s">
        <v>17</v>
      </c>
      <c r="D1914" s="9" t="str">
        <f>"黄妙晶"</f>
        <v>黄妙晶</v>
      </c>
    </row>
    <row r="1915" spans="1:4" ht="34.5" customHeight="1">
      <c r="A1915" s="8">
        <v>1913</v>
      </c>
      <c r="B1915" s="9" t="str">
        <f>"54112023062516491463370"</f>
        <v>54112023062516491463370</v>
      </c>
      <c r="C1915" s="9" t="s">
        <v>17</v>
      </c>
      <c r="D1915" s="9" t="str">
        <f>"符慧琳"</f>
        <v>符慧琳</v>
      </c>
    </row>
    <row r="1916" spans="1:4" ht="34.5" customHeight="1">
      <c r="A1916" s="8">
        <v>1914</v>
      </c>
      <c r="B1916" s="9" t="str">
        <f>"54112023070217170794203"</f>
        <v>54112023070217170794203</v>
      </c>
      <c r="C1916" s="9" t="s">
        <v>17</v>
      </c>
      <c r="D1916" s="9" t="str">
        <f>"张春娇"</f>
        <v>张春娇</v>
      </c>
    </row>
    <row r="1917" spans="1:4" ht="34.5" customHeight="1">
      <c r="A1917" s="8">
        <v>1915</v>
      </c>
      <c r="B1917" s="9" t="str">
        <f>"54112023070309423895901"</f>
        <v>54112023070309423895901</v>
      </c>
      <c r="C1917" s="9" t="s">
        <v>17</v>
      </c>
      <c r="D1917" s="9" t="str">
        <f>"符兰花"</f>
        <v>符兰花</v>
      </c>
    </row>
    <row r="1918" spans="1:4" ht="34.5" customHeight="1">
      <c r="A1918" s="8">
        <v>1916</v>
      </c>
      <c r="B1918" s="9" t="str">
        <f>"54112023070312332597085"</f>
        <v>54112023070312332597085</v>
      </c>
      <c r="C1918" s="9" t="s">
        <v>17</v>
      </c>
      <c r="D1918" s="9" t="str">
        <f>"田鑫铭"</f>
        <v>田鑫铭</v>
      </c>
    </row>
    <row r="1919" spans="1:4" ht="34.5" customHeight="1">
      <c r="A1919" s="8">
        <v>1917</v>
      </c>
      <c r="B1919" s="9" t="str">
        <f>"54112023070315261397956"</f>
        <v>54112023070315261397956</v>
      </c>
      <c r="C1919" s="9" t="s">
        <v>17</v>
      </c>
      <c r="D1919" s="9" t="str">
        <f>"麦丽温"</f>
        <v>麦丽温</v>
      </c>
    </row>
    <row r="1920" spans="1:4" ht="34.5" customHeight="1">
      <c r="A1920" s="8">
        <v>1918</v>
      </c>
      <c r="B1920" s="9" t="str">
        <f>"54112023062512071361757"</f>
        <v>54112023062512071361757</v>
      </c>
      <c r="C1920" s="9" t="s">
        <v>17</v>
      </c>
      <c r="D1920" s="9" t="str">
        <f>"陆琼莹"</f>
        <v>陆琼莹</v>
      </c>
    </row>
    <row r="1921" spans="1:4" ht="34.5" customHeight="1">
      <c r="A1921" s="8">
        <v>1919</v>
      </c>
      <c r="B1921" s="9" t="str">
        <f>"54112023062820431379632"</f>
        <v>54112023062820431379632</v>
      </c>
      <c r="C1921" s="9" t="s">
        <v>17</v>
      </c>
      <c r="D1921" s="9" t="str">
        <f>"丁子晨"</f>
        <v>丁子晨</v>
      </c>
    </row>
    <row r="1922" spans="1:4" ht="34.5" customHeight="1">
      <c r="A1922" s="8">
        <v>1920</v>
      </c>
      <c r="B1922" s="9" t="str">
        <f>"54112023070122404492578"</f>
        <v>54112023070122404492578</v>
      </c>
      <c r="C1922" s="9" t="s">
        <v>17</v>
      </c>
      <c r="D1922" s="9" t="str">
        <f>"甘怀霜"</f>
        <v>甘怀霜</v>
      </c>
    </row>
    <row r="1923" spans="1:4" ht="34.5" customHeight="1">
      <c r="A1923" s="8">
        <v>1921</v>
      </c>
      <c r="B1923" s="9" t="str">
        <f>"54112023070321035199544"</f>
        <v>54112023070321035199544</v>
      </c>
      <c r="C1923" s="9" t="s">
        <v>17</v>
      </c>
      <c r="D1923" s="9" t="str">
        <f>"符媚"</f>
        <v>符媚</v>
      </c>
    </row>
    <row r="1924" spans="1:4" ht="34.5" customHeight="1">
      <c r="A1924" s="8">
        <v>1922</v>
      </c>
      <c r="B1924" s="9" t="str">
        <f>"54112023062518131463715"</f>
        <v>54112023062518131463715</v>
      </c>
      <c r="C1924" s="9" t="s">
        <v>17</v>
      </c>
      <c r="D1924" s="9" t="str">
        <f>"胡琪悦"</f>
        <v>胡琪悦</v>
      </c>
    </row>
    <row r="1925" spans="1:4" ht="34.5" customHeight="1">
      <c r="A1925" s="8">
        <v>1923</v>
      </c>
      <c r="B1925" s="9" t="str">
        <f>"541120230704022311100409"</f>
        <v>541120230704022311100409</v>
      </c>
      <c r="C1925" s="9" t="s">
        <v>17</v>
      </c>
      <c r="D1925" s="9" t="str">
        <f>"陈丽娟"</f>
        <v>陈丽娟</v>
      </c>
    </row>
    <row r="1926" spans="1:4" ht="34.5" customHeight="1">
      <c r="A1926" s="8">
        <v>1924</v>
      </c>
      <c r="B1926" s="9" t="str">
        <f>"541120230704084117100632"</f>
        <v>541120230704084117100632</v>
      </c>
      <c r="C1926" s="9" t="s">
        <v>17</v>
      </c>
      <c r="D1926" s="9" t="str">
        <f>"易思达"</f>
        <v>易思达</v>
      </c>
    </row>
    <row r="1927" spans="1:4" ht="34.5" customHeight="1">
      <c r="A1927" s="8">
        <v>1925</v>
      </c>
      <c r="B1927" s="9" t="str">
        <f>"541120230704085714100690"</f>
        <v>541120230704085714100690</v>
      </c>
      <c r="C1927" s="9" t="s">
        <v>17</v>
      </c>
      <c r="D1927" s="9" t="str">
        <f>"徐一萍"</f>
        <v>徐一萍</v>
      </c>
    </row>
    <row r="1928" spans="1:4" ht="34.5" customHeight="1">
      <c r="A1928" s="8">
        <v>1926</v>
      </c>
      <c r="B1928" s="9" t="str">
        <f>"541120230704013354100390"</f>
        <v>541120230704013354100390</v>
      </c>
      <c r="C1928" s="9" t="s">
        <v>17</v>
      </c>
      <c r="D1928" s="9" t="str">
        <f>"贺洁"</f>
        <v>贺洁</v>
      </c>
    </row>
    <row r="1929" spans="1:4" ht="34.5" customHeight="1">
      <c r="A1929" s="8">
        <v>1927</v>
      </c>
      <c r="B1929" s="9" t="str">
        <f>"54112023062509082559863"</f>
        <v>54112023062509082559863</v>
      </c>
      <c r="C1929" s="9" t="s">
        <v>18</v>
      </c>
      <c r="D1929" s="9" t="str">
        <f>"羊道"</f>
        <v>羊道</v>
      </c>
    </row>
    <row r="1930" spans="1:4" ht="34.5" customHeight="1">
      <c r="A1930" s="8">
        <v>1928</v>
      </c>
      <c r="B1930" s="9" t="str">
        <f>"54112023062508521459733"</f>
        <v>54112023062508521459733</v>
      </c>
      <c r="C1930" s="9" t="s">
        <v>18</v>
      </c>
      <c r="D1930" s="9" t="str">
        <f>"郑丰铅"</f>
        <v>郑丰铅</v>
      </c>
    </row>
    <row r="1931" spans="1:4" ht="34.5" customHeight="1">
      <c r="A1931" s="8">
        <v>1929</v>
      </c>
      <c r="B1931" s="9" t="str">
        <f>"54112023062509175659962"</f>
        <v>54112023062509175659962</v>
      </c>
      <c r="C1931" s="9" t="s">
        <v>18</v>
      </c>
      <c r="D1931" s="9" t="str">
        <f>"孙鹏程"</f>
        <v>孙鹏程</v>
      </c>
    </row>
    <row r="1932" spans="1:4" ht="34.5" customHeight="1">
      <c r="A1932" s="8">
        <v>1930</v>
      </c>
      <c r="B1932" s="9" t="str">
        <f>"54112023062510241160609"</f>
        <v>54112023062510241160609</v>
      </c>
      <c r="C1932" s="9" t="s">
        <v>18</v>
      </c>
      <c r="D1932" s="9" t="str">
        <f>"于逸男"</f>
        <v>于逸男</v>
      </c>
    </row>
    <row r="1933" spans="1:4" ht="34.5" customHeight="1">
      <c r="A1933" s="8">
        <v>1931</v>
      </c>
      <c r="B1933" s="9" t="str">
        <f>"54112023062516253063270"</f>
        <v>54112023062516253063270</v>
      </c>
      <c r="C1933" s="9" t="s">
        <v>18</v>
      </c>
      <c r="D1933" s="9" t="str">
        <f>"曹平冬"</f>
        <v>曹平冬</v>
      </c>
    </row>
    <row r="1934" spans="1:4" ht="34.5" customHeight="1">
      <c r="A1934" s="8">
        <v>1932</v>
      </c>
      <c r="B1934" s="9" t="str">
        <f>"54112023062518025763674"</f>
        <v>54112023062518025763674</v>
      </c>
      <c r="C1934" s="9" t="s">
        <v>18</v>
      </c>
      <c r="D1934" s="9" t="str">
        <f>"蒋馥蔚"</f>
        <v>蒋馥蔚</v>
      </c>
    </row>
    <row r="1935" spans="1:4" ht="34.5" customHeight="1">
      <c r="A1935" s="8">
        <v>1933</v>
      </c>
      <c r="B1935" s="9" t="str">
        <f>"54112023062520322464242"</f>
        <v>54112023062520322464242</v>
      </c>
      <c r="C1935" s="9" t="s">
        <v>18</v>
      </c>
      <c r="D1935" s="9" t="str">
        <f>"王思洁"</f>
        <v>王思洁</v>
      </c>
    </row>
    <row r="1936" spans="1:4" ht="34.5" customHeight="1">
      <c r="A1936" s="8">
        <v>1934</v>
      </c>
      <c r="B1936" s="9" t="str">
        <f>"54112023062521313064554"</f>
        <v>54112023062521313064554</v>
      </c>
      <c r="C1936" s="9" t="s">
        <v>18</v>
      </c>
      <c r="D1936" s="9" t="str">
        <f>"程守慧"</f>
        <v>程守慧</v>
      </c>
    </row>
    <row r="1937" spans="1:4" ht="34.5" customHeight="1">
      <c r="A1937" s="8">
        <v>1935</v>
      </c>
      <c r="B1937" s="9" t="str">
        <f>"54112023062522023064712"</f>
        <v>54112023062522023064712</v>
      </c>
      <c r="C1937" s="9" t="s">
        <v>18</v>
      </c>
      <c r="D1937" s="9" t="str">
        <f>"蒋秋妹"</f>
        <v>蒋秋妹</v>
      </c>
    </row>
    <row r="1938" spans="1:4" ht="34.5" customHeight="1">
      <c r="A1938" s="8">
        <v>1936</v>
      </c>
      <c r="B1938" s="9" t="str">
        <f>"54112023062610192266902"</f>
        <v>54112023062610192266902</v>
      </c>
      <c r="C1938" s="9" t="s">
        <v>18</v>
      </c>
      <c r="D1938" s="9" t="str">
        <f>"徐邦宇"</f>
        <v>徐邦宇</v>
      </c>
    </row>
    <row r="1939" spans="1:4" ht="34.5" customHeight="1">
      <c r="A1939" s="8">
        <v>1937</v>
      </c>
      <c r="B1939" s="9" t="str">
        <f>"54112023062610572667429"</f>
        <v>54112023062610572667429</v>
      </c>
      <c r="C1939" s="9" t="s">
        <v>18</v>
      </c>
      <c r="D1939" s="9" t="str">
        <f>"张柔"</f>
        <v>张柔</v>
      </c>
    </row>
    <row r="1940" spans="1:4" ht="34.5" customHeight="1">
      <c r="A1940" s="8">
        <v>1938</v>
      </c>
      <c r="B1940" s="9" t="str">
        <f>"54112023062612004268081"</f>
        <v>54112023062612004268081</v>
      </c>
      <c r="C1940" s="9" t="s">
        <v>18</v>
      </c>
      <c r="D1940" s="9" t="str">
        <f>"罗燕"</f>
        <v>罗燕</v>
      </c>
    </row>
    <row r="1941" spans="1:4" ht="34.5" customHeight="1">
      <c r="A1941" s="8">
        <v>1939</v>
      </c>
      <c r="B1941" s="9" t="str">
        <f>"54112023062514454862634"</f>
        <v>54112023062514454862634</v>
      </c>
      <c r="C1941" s="9" t="s">
        <v>18</v>
      </c>
      <c r="D1941" s="9" t="str">
        <f>"谭雨茜"</f>
        <v>谭雨茜</v>
      </c>
    </row>
    <row r="1942" spans="1:4" ht="34.5" customHeight="1">
      <c r="A1942" s="8">
        <v>1940</v>
      </c>
      <c r="B1942" s="9" t="str">
        <f>"54112023062610375267176"</f>
        <v>54112023062610375267176</v>
      </c>
      <c r="C1942" s="9" t="s">
        <v>18</v>
      </c>
      <c r="D1942" s="9" t="str">
        <f>"年禹憬"</f>
        <v>年禹憬</v>
      </c>
    </row>
    <row r="1943" spans="1:4" ht="34.5" customHeight="1">
      <c r="A1943" s="8">
        <v>1941</v>
      </c>
      <c r="B1943" s="9" t="str">
        <f>"54112023062616113369581"</f>
        <v>54112023062616113369581</v>
      </c>
      <c r="C1943" s="9" t="s">
        <v>18</v>
      </c>
      <c r="D1943" s="9" t="str">
        <f>"吴小蕊"</f>
        <v>吴小蕊</v>
      </c>
    </row>
    <row r="1944" spans="1:4" ht="34.5" customHeight="1">
      <c r="A1944" s="8">
        <v>1942</v>
      </c>
      <c r="B1944" s="9" t="str">
        <f>"54112023062612565868414"</f>
        <v>54112023062612565868414</v>
      </c>
      <c r="C1944" s="9" t="s">
        <v>18</v>
      </c>
      <c r="D1944" s="9" t="str">
        <f>"林树枫"</f>
        <v>林树枫</v>
      </c>
    </row>
    <row r="1945" spans="1:4" ht="34.5" customHeight="1">
      <c r="A1945" s="8">
        <v>1943</v>
      </c>
      <c r="B1945" s="9" t="str">
        <f>"54112023062611103667597"</f>
        <v>54112023062611103667597</v>
      </c>
      <c r="C1945" s="9" t="s">
        <v>18</v>
      </c>
      <c r="D1945" s="9" t="str">
        <f>"许朴彦"</f>
        <v>许朴彦</v>
      </c>
    </row>
    <row r="1946" spans="1:4" ht="34.5" customHeight="1">
      <c r="A1946" s="8">
        <v>1944</v>
      </c>
      <c r="B1946" s="9" t="str">
        <f>"54112023062619481870725"</f>
        <v>54112023062619481870725</v>
      </c>
      <c r="C1946" s="9" t="s">
        <v>18</v>
      </c>
      <c r="D1946" s="9" t="str">
        <f>"王安杰"</f>
        <v>王安杰</v>
      </c>
    </row>
    <row r="1947" spans="1:4" ht="34.5" customHeight="1">
      <c r="A1947" s="8">
        <v>1945</v>
      </c>
      <c r="B1947" s="9" t="str">
        <f>"54112023062516363063320"</f>
        <v>54112023062516363063320</v>
      </c>
      <c r="C1947" s="9" t="s">
        <v>18</v>
      </c>
      <c r="D1947" s="9" t="str">
        <f>"蔡如双"</f>
        <v>蔡如双</v>
      </c>
    </row>
    <row r="1948" spans="1:4" ht="34.5" customHeight="1">
      <c r="A1948" s="8">
        <v>1946</v>
      </c>
      <c r="B1948" s="9" t="str">
        <f>"54112023062620234870886"</f>
        <v>54112023062620234870886</v>
      </c>
      <c r="C1948" s="9" t="s">
        <v>18</v>
      </c>
      <c r="D1948" s="9" t="str">
        <f>"何小丹"</f>
        <v>何小丹</v>
      </c>
    </row>
    <row r="1949" spans="1:4" ht="34.5" customHeight="1">
      <c r="A1949" s="8">
        <v>1947</v>
      </c>
      <c r="B1949" s="9" t="str">
        <f>"54112023062701570171851"</f>
        <v>54112023062701570171851</v>
      </c>
      <c r="C1949" s="9" t="s">
        <v>18</v>
      </c>
      <c r="D1949" s="9" t="str">
        <f>"郭君茹"</f>
        <v>郭君茹</v>
      </c>
    </row>
    <row r="1950" spans="1:4" ht="34.5" customHeight="1">
      <c r="A1950" s="8">
        <v>1948</v>
      </c>
      <c r="B1950" s="9" t="str">
        <f>"54112023062710091572641"</f>
        <v>54112023062710091572641</v>
      </c>
      <c r="C1950" s="9" t="s">
        <v>18</v>
      </c>
      <c r="D1950" s="9" t="str">
        <f>"王田"</f>
        <v>王田</v>
      </c>
    </row>
    <row r="1951" spans="1:4" ht="34.5" customHeight="1">
      <c r="A1951" s="8">
        <v>1949</v>
      </c>
      <c r="B1951" s="9" t="str">
        <f>"54112023062710431073156"</f>
        <v>54112023062710431073156</v>
      </c>
      <c r="C1951" s="9" t="s">
        <v>18</v>
      </c>
      <c r="D1951" s="9" t="str">
        <f>"赵敏"</f>
        <v>赵敏</v>
      </c>
    </row>
    <row r="1952" spans="1:4" ht="34.5" customHeight="1">
      <c r="A1952" s="8">
        <v>1950</v>
      </c>
      <c r="B1952" s="9" t="str">
        <f>"54112023062710085372637"</f>
        <v>54112023062710085372637</v>
      </c>
      <c r="C1952" s="9" t="s">
        <v>18</v>
      </c>
      <c r="D1952" s="9" t="str">
        <f>"徐彤"</f>
        <v>徐彤</v>
      </c>
    </row>
    <row r="1953" spans="1:4" ht="34.5" customHeight="1">
      <c r="A1953" s="8">
        <v>1951</v>
      </c>
      <c r="B1953" s="9" t="str">
        <f>"54112023062611535568028"</f>
        <v>54112023062611535568028</v>
      </c>
      <c r="C1953" s="9" t="s">
        <v>18</v>
      </c>
      <c r="D1953" s="9" t="str">
        <f>"刘涛"</f>
        <v>刘涛</v>
      </c>
    </row>
    <row r="1954" spans="1:4" ht="34.5" customHeight="1">
      <c r="A1954" s="8">
        <v>1952</v>
      </c>
      <c r="B1954" s="9" t="str">
        <f>"54112023062718490475398"</f>
        <v>54112023062718490475398</v>
      </c>
      <c r="C1954" s="9" t="s">
        <v>18</v>
      </c>
      <c r="D1954" s="9" t="str">
        <f>"李振昌"</f>
        <v>李振昌</v>
      </c>
    </row>
    <row r="1955" spans="1:4" ht="34.5" customHeight="1">
      <c r="A1955" s="8">
        <v>1953</v>
      </c>
      <c r="B1955" s="9" t="str">
        <f>"54112023062718374275368"</f>
        <v>54112023062718374275368</v>
      </c>
      <c r="C1955" s="9" t="s">
        <v>18</v>
      </c>
      <c r="D1955" s="9" t="str">
        <f>"张蕾"</f>
        <v>张蕾</v>
      </c>
    </row>
    <row r="1956" spans="1:4" ht="34.5" customHeight="1">
      <c r="A1956" s="8">
        <v>1954</v>
      </c>
      <c r="B1956" s="9" t="str">
        <f>"54112023062718102275265"</f>
        <v>54112023062718102275265</v>
      </c>
      <c r="C1956" s="9" t="s">
        <v>18</v>
      </c>
      <c r="D1956" s="9" t="str">
        <f>"刘一凡"</f>
        <v>刘一凡</v>
      </c>
    </row>
    <row r="1957" spans="1:4" ht="34.5" customHeight="1">
      <c r="A1957" s="8">
        <v>1955</v>
      </c>
      <c r="B1957" s="9" t="str">
        <f>"54112023062509253960050"</f>
        <v>54112023062509253960050</v>
      </c>
      <c r="C1957" s="9" t="s">
        <v>18</v>
      </c>
      <c r="D1957" s="9" t="str">
        <f>"司会娟"</f>
        <v>司会娟</v>
      </c>
    </row>
    <row r="1958" spans="1:4" ht="34.5" customHeight="1">
      <c r="A1958" s="8">
        <v>1956</v>
      </c>
      <c r="B1958" s="9" t="str">
        <f>"54112023062721150475896"</f>
        <v>54112023062721150475896</v>
      </c>
      <c r="C1958" s="9" t="s">
        <v>18</v>
      </c>
      <c r="D1958" s="9" t="str">
        <f>"石博"</f>
        <v>石博</v>
      </c>
    </row>
    <row r="1959" spans="1:4" ht="34.5" customHeight="1">
      <c r="A1959" s="8">
        <v>1957</v>
      </c>
      <c r="B1959" s="9" t="str">
        <f>"54112023062612344768279"</f>
        <v>54112023062612344768279</v>
      </c>
      <c r="C1959" s="9" t="s">
        <v>18</v>
      </c>
      <c r="D1959" s="9" t="str">
        <f>"吴清康"</f>
        <v>吴清康</v>
      </c>
    </row>
    <row r="1960" spans="1:4" ht="34.5" customHeight="1">
      <c r="A1960" s="8">
        <v>1958</v>
      </c>
      <c r="B1960" s="9" t="str">
        <f>"54112023062715485474313"</f>
        <v>54112023062715485474313</v>
      </c>
      <c r="C1960" s="9" t="s">
        <v>18</v>
      </c>
      <c r="D1960" s="9" t="str">
        <f>"李子琪"</f>
        <v>李子琪</v>
      </c>
    </row>
    <row r="1961" spans="1:4" ht="34.5" customHeight="1">
      <c r="A1961" s="8">
        <v>1959</v>
      </c>
      <c r="B1961" s="9" t="str">
        <f>"54112023062723035276264"</f>
        <v>54112023062723035276264</v>
      </c>
      <c r="C1961" s="9" t="s">
        <v>18</v>
      </c>
      <c r="D1961" s="9" t="str">
        <f>"吴佳珂"</f>
        <v>吴佳珂</v>
      </c>
    </row>
    <row r="1962" spans="1:4" ht="34.5" customHeight="1">
      <c r="A1962" s="8">
        <v>1960</v>
      </c>
      <c r="B1962" s="9" t="str">
        <f>"54112023062811162077449"</f>
        <v>54112023062811162077449</v>
      </c>
      <c r="C1962" s="9" t="s">
        <v>18</v>
      </c>
      <c r="D1962" s="9" t="str">
        <f>"王丽"</f>
        <v>王丽</v>
      </c>
    </row>
    <row r="1963" spans="1:4" ht="34.5" customHeight="1">
      <c r="A1963" s="8">
        <v>1961</v>
      </c>
      <c r="B1963" s="9" t="str">
        <f>"54112023062509395560207"</f>
        <v>54112023062509395560207</v>
      </c>
      <c r="C1963" s="9" t="s">
        <v>18</v>
      </c>
      <c r="D1963" s="9" t="str">
        <f>"温海萍"</f>
        <v>温海萍</v>
      </c>
    </row>
    <row r="1964" spans="1:4" ht="34.5" customHeight="1">
      <c r="A1964" s="8">
        <v>1962</v>
      </c>
      <c r="B1964" s="9" t="str">
        <f>"54112023062816244878738"</f>
        <v>54112023062816244878738</v>
      </c>
      <c r="C1964" s="9" t="s">
        <v>18</v>
      </c>
      <c r="D1964" s="9" t="str">
        <f>"马晓玲"</f>
        <v>马晓玲</v>
      </c>
    </row>
    <row r="1965" spans="1:4" ht="34.5" customHeight="1">
      <c r="A1965" s="8">
        <v>1963</v>
      </c>
      <c r="B1965" s="9" t="str">
        <f>"54112023062617300070107"</f>
        <v>54112023062617300070107</v>
      </c>
      <c r="C1965" s="9" t="s">
        <v>18</v>
      </c>
      <c r="D1965" s="9" t="str">
        <f>"王珺乐"</f>
        <v>王珺乐</v>
      </c>
    </row>
    <row r="1966" spans="1:4" ht="34.5" customHeight="1">
      <c r="A1966" s="8">
        <v>1964</v>
      </c>
      <c r="B1966" s="9" t="str">
        <f>"54112023062513553362368"</f>
        <v>54112023062513553362368</v>
      </c>
      <c r="C1966" s="9" t="s">
        <v>18</v>
      </c>
      <c r="D1966" s="9" t="str">
        <f>"林奕帆"</f>
        <v>林奕帆</v>
      </c>
    </row>
    <row r="1967" spans="1:4" ht="34.5" customHeight="1">
      <c r="A1967" s="8">
        <v>1965</v>
      </c>
      <c r="B1967" s="9" t="str">
        <f>"54112023062823044380214"</f>
        <v>54112023062823044380214</v>
      </c>
      <c r="C1967" s="9" t="s">
        <v>18</v>
      </c>
      <c r="D1967" s="9" t="str">
        <f>"高涵"</f>
        <v>高涵</v>
      </c>
    </row>
    <row r="1968" spans="1:4" ht="34.5" customHeight="1">
      <c r="A1968" s="8">
        <v>1966</v>
      </c>
      <c r="B1968" s="9" t="str">
        <f>"54112023062700325471822"</f>
        <v>54112023062700325471822</v>
      </c>
      <c r="C1968" s="9" t="s">
        <v>18</v>
      </c>
      <c r="D1968" s="9" t="str">
        <f>"伏彤宇"</f>
        <v>伏彤宇</v>
      </c>
    </row>
    <row r="1969" spans="1:4" ht="34.5" customHeight="1">
      <c r="A1969" s="8">
        <v>1967</v>
      </c>
      <c r="B1969" s="9" t="str">
        <f>"54112023062901112380396"</f>
        <v>54112023062901112380396</v>
      </c>
      <c r="C1969" s="9" t="s">
        <v>18</v>
      </c>
      <c r="D1969" s="9" t="str">
        <f>"李桂枝"</f>
        <v>李桂枝</v>
      </c>
    </row>
    <row r="1970" spans="1:4" ht="34.5" customHeight="1">
      <c r="A1970" s="8">
        <v>1968</v>
      </c>
      <c r="B1970" s="9" t="str">
        <f>"54112023062910035781363"</f>
        <v>54112023062910035781363</v>
      </c>
      <c r="C1970" s="9" t="s">
        <v>18</v>
      </c>
      <c r="D1970" s="9" t="str">
        <f>"董季月"</f>
        <v>董季月</v>
      </c>
    </row>
    <row r="1971" spans="1:4" ht="34.5" customHeight="1">
      <c r="A1971" s="8">
        <v>1969</v>
      </c>
      <c r="B1971" s="9" t="str">
        <f>"54112023062912433482592"</f>
        <v>54112023062912433482592</v>
      </c>
      <c r="C1971" s="9" t="s">
        <v>18</v>
      </c>
      <c r="D1971" s="9" t="str">
        <f>"符茂金"</f>
        <v>符茂金</v>
      </c>
    </row>
    <row r="1972" spans="1:4" ht="34.5" customHeight="1">
      <c r="A1972" s="8">
        <v>1970</v>
      </c>
      <c r="B1972" s="9" t="str">
        <f>"54112023062913055282718"</f>
        <v>54112023062913055282718</v>
      </c>
      <c r="C1972" s="9" t="s">
        <v>18</v>
      </c>
      <c r="D1972" s="9" t="str">
        <f>"严宏"</f>
        <v>严宏</v>
      </c>
    </row>
    <row r="1973" spans="1:4" ht="34.5" customHeight="1">
      <c r="A1973" s="8">
        <v>1971</v>
      </c>
      <c r="B1973" s="9" t="str">
        <f>"54112023062910245781579"</f>
        <v>54112023062910245781579</v>
      </c>
      <c r="C1973" s="9" t="s">
        <v>18</v>
      </c>
      <c r="D1973" s="9" t="str">
        <f>"丁鑫"</f>
        <v>丁鑫</v>
      </c>
    </row>
    <row r="1974" spans="1:4" ht="34.5" customHeight="1">
      <c r="A1974" s="8">
        <v>1972</v>
      </c>
      <c r="B1974" s="9" t="str">
        <f>"54112023062512383762003"</f>
        <v>54112023062512383762003</v>
      </c>
      <c r="C1974" s="9" t="s">
        <v>18</v>
      </c>
      <c r="D1974" s="9" t="str">
        <f>"赵艳敏"</f>
        <v>赵艳敏</v>
      </c>
    </row>
    <row r="1975" spans="1:4" ht="34.5" customHeight="1">
      <c r="A1975" s="8">
        <v>1973</v>
      </c>
      <c r="B1975" s="9" t="str">
        <f>"54112023063012400388384"</f>
        <v>54112023063012400388384</v>
      </c>
      <c r="C1975" s="9" t="s">
        <v>18</v>
      </c>
      <c r="D1975" s="9" t="str">
        <f>"韩宝茹"</f>
        <v>韩宝茹</v>
      </c>
    </row>
    <row r="1976" spans="1:4" ht="34.5" customHeight="1">
      <c r="A1976" s="8">
        <v>1974</v>
      </c>
      <c r="B1976" s="9" t="str">
        <f>"54112023062801441676414"</f>
        <v>54112023062801441676414</v>
      </c>
      <c r="C1976" s="9" t="s">
        <v>18</v>
      </c>
      <c r="D1976" s="9" t="str">
        <f>"毕丁翎"</f>
        <v>毕丁翎</v>
      </c>
    </row>
    <row r="1977" spans="1:4" ht="34.5" customHeight="1">
      <c r="A1977" s="8">
        <v>1975</v>
      </c>
      <c r="B1977" s="9" t="str">
        <f>"54112023062516031563157"</f>
        <v>54112023062516031563157</v>
      </c>
      <c r="C1977" s="9" t="s">
        <v>18</v>
      </c>
      <c r="D1977" s="9" t="str">
        <f>"蔡慧"</f>
        <v>蔡慧</v>
      </c>
    </row>
    <row r="1978" spans="1:4" ht="34.5" customHeight="1">
      <c r="A1978" s="8">
        <v>1976</v>
      </c>
      <c r="B1978" s="9" t="str">
        <f>"54112023070122133792529"</f>
        <v>54112023070122133792529</v>
      </c>
      <c r="C1978" s="9" t="s">
        <v>18</v>
      </c>
      <c r="D1978" s="9" t="str">
        <f>"仲瑞"</f>
        <v>仲瑞</v>
      </c>
    </row>
    <row r="1979" spans="1:4" ht="34.5" customHeight="1">
      <c r="A1979" s="8">
        <v>1977</v>
      </c>
      <c r="B1979" s="9" t="str">
        <f>"54112023070123063192630"</f>
        <v>54112023070123063192630</v>
      </c>
      <c r="C1979" s="9" t="s">
        <v>18</v>
      </c>
      <c r="D1979" s="9" t="str">
        <f>"秘杨奇"</f>
        <v>秘杨奇</v>
      </c>
    </row>
    <row r="1980" spans="1:4" ht="34.5" customHeight="1">
      <c r="A1980" s="8">
        <v>1978</v>
      </c>
      <c r="B1980" s="9" t="str">
        <f>"54112023070214390293824"</f>
        <v>54112023070214390293824</v>
      </c>
      <c r="C1980" s="9" t="s">
        <v>18</v>
      </c>
      <c r="D1980" s="9" t="str">
        <f>"陈学发"</f>
        <v>陈学发</v>
      </c>
    </row>
    <row r="1981" spans="1:4" ht="34.5" customHeight="1">
      <c r="A1981" s="8">
        <v>1979</v>
      </c>
      <c r="B1981" s="9" t="str">
        <f>"54112023062511134760965"</f>
        <v>54112023062511134760965</v>
      </c>
      <c r="C1981" s="9" t="s">
        <v>18</v>
      </c>
      <c r="D1981" s="9" t="str">
        <f>"吴岳坤"</f>
        <v>吴岳坤</v>
      </c>
    </row>
    <row r="1982" spans="1:4" ht="34.5" customHeight="1">
      <c r="A1982" s="8">
        <v>1980</v>
      </c>
      <c r="B1982" s="9" t="str">
        <f>"54112023070219395194482"</f>
        <v>54112023070219395194482</v>
      </c>
      <c r="C1982" s="9" t="s">
        <v>18</v>
      </c>
      <c r="D1982" s="9" t="str">
        <f>"王镛"</f>
        <v>王镛</v>
      </c>
    </row>
    <row r="1983" spans="1:4" ht="34.5" customHeight="1">
      <c r="A1983" s="8">
        <v>1981</v>
      </c>
      <c r="B1983" s="9" t="str">
        <f>"54112023070311385296775"</f>
        <v>54112023070311385296775</v>
      </c>
      <c r="C1983" s="9" t="s">
        <v>18</v>
      </c>
      <c r="D1983" s="9" t="str">
        <f>"代旭"</f>
        <v>代旭</v>
      </c>
    </row>
    <row r="1984" spans="1:4" ht="34.5" customHeight="1">
      <c r="A1984" s="8">
        <v>1982</v>
      </c>
      <c r="B1984" s="9" t="str">
        <f>"54112023070315484598101"</f>
        <v>54112023070315484598101</v>
      </c>
      <c r="C1984" s="9" t="s">
        <v>18</v>
      </c>
      <c r="D1984" s="9" t="str">
        <f>"曾曼曼"</f>
        <v>曾曼曼</v>
      </c>
    </row>
    <row r="1985" spans="1:4" ht="34.5" customHeight="1">
      <c r="A1985" s="8">
        <v>1983</v>
      </c>
      <c r="B1985" s="9" t="str">
        <f>"54112023070317103298583"</f>
        <v>54112023070317103298583</v>
      </c>
      <c r="C1985" s="9" t="s">
        <v>18</v>
      </c>
      <c r="D1985" s="9" t="str">
        <f>"欧琼迪"</f>
        <v>欧琼迪</v>
      </c>
    </row>
    <row r="1986" spans="1:4" ht="34.5" customHeight="1">
      <c r="A1986" s="8">
        <v>1984</v>
      </c>
      <c r="B1986" s="9" t="str">
        <f>"54112023070316400698406"</f>
        <v>54112023070316400698406</v>
      </c>
      <c r="C1986" s="9" t="s">
        <v>18</v>
      </c>
      <c r="D1986" s="9" t="str">
        <f>"鲁雪"</f>
        <v>鲁雪</v>
      </c>
    </row>
    <row r="1987" spans="1:4" ht="34.5" customHeight="1">
      <c r="A1987" s="8">
        <v>1985</v>
      </c>
      <c r="B1987" s="9" t="str">
        <f>"54112023062910254581584"</f>
        <v>54112023062910254581584</v>
      </c>
      <c r="C1987" s="9" t="s">
        <v>18</v>
      </c>
      <c r="D1987" s="9" t="str">
        <f>"麦世兵"</f>
        <v>麦世兵</v>
      </c>
    </row>
    <row r="1988" spans="1:4" ht="34.5" customHeight="1">
      <c r="A1988" s="8">
        <v>1986</v>
      </c>
      <c r="B1988" s="9" t="str">
        <f>"54112023070318581299009"</f>
        <v>54112023070318581299009</v>
      </c>
      <c r="C1988" s="9" t="s">
        <v>18</v>
      </c>
      <c r="D1988" s="9" t="str">
        <f>"杨蓉"</f>
        <v>杨蓉</v>
      </c>
    </row>
    <row r="1989" spans="1:4" ht="34.5" customHeight="1">
      <c r="A1989" s="8">
        <v>1987</v>
      </c>
      <c r="B1989" s="9" t="str">
        <f>"54112023070307370495244"</f>
        <v>54112023070307370495244</v>
      </c>
      <c r="C1989" s="9" t="s">
        <v>18</v>
      </c>
      <c r="D1989" s="9" t="str">
        <f>"王作"</f>
        <v>王作</v>
      </c>
    </row>
    <row r="1990" spans="1:4" ht="34.5" customHeight="1">
      <c r="A1990" s="8">
        <v>1988</v>
      </c>
      <c r="B1990" s="9" t="str">
        <f>"541120230703223433100000"</f>
        <v>541120230703223433100000</v>
      </c>
      <c r="C1990" s="9" t="s">
        <v>18</v>
      </c>
      <c r="D1990" s="9" t="str">
        <f>"张雅雯"</f>
        <v>张雅雯</v>
      </c>
    </row>
    <row r="1991" spans="1:4" ht="34.5" customHeight="1">
      <c r="A1991" s="8">
        <v>1989</v>
      </c>
      <c r="B1991" s="9" t="str">
        <f>"541120230704000208100284"</f>
        <v>541120230704000208100284</v>
      </c>
      <c r="C1991" s="9" t="s">
        <v>18</v>
      </c>
      <c r="D1991" s="9" t="str">
        <f>"李观芸"</f>
        <v>李观芸</v>
      </c>
    </row>
    <row r="1992" spans="1:4" ht="34.5" customHeight="1">
      <c r="A1992" s="8">
        <v>1990</v>
      </c>
      <c r="B1992" s="9" t="str">
        <f>"54112023062516324163297"</f>
        <v>54112023062516324163297</v>
      </c>
      <c r="C1992" s="9" t="s">
        <v>19</v>
      </c>
      <c r="D1992" s="9" t="str">
        <f>"陈惠青"</f>
        <v>陈惠青</v>
      </c>
    </row>
    <row r="1993" spans="1:4" ht="34.5" customHeight="1">
      <c r="A1993" s="8">
        <v>1991</v>
      </c>
      <c r="B1993" s="9" t="str">
        <f>"54112023062516503863379"</f>
        <v>54112023062516503863379</v>
      </c>
      <c r="C1993" s="9" t="s">
        <v>19</v>
      </c>
      <c r="D1993" s="9" t="str">
        <f>"陈秋盈"</f>
        <v>陈秋盈</v>
      </c>
    </row>
    <row r="1994" spans="1:4" ht="34.5" customHeight="1">
      <c r="A1994" s="8">
        <v>1992</v>
      </c>
      <c r="B1994" s="9" t="str">
        <f>"54112023062518200463730"</f>
        <v>54112023062518200463730</v>
      </c>
      <c r="C1994" s="9" t="s">
        <v>19</v>
      </c>
      <c r="D1994" s="9" t="str">
        <f>"王含允"</f>
        <v>王含允</v>
      </c>
    </row>
    <row r="1995" spans="1:4" ht="34.5" customHeight="1">
      <c r="A1995" s="8">
        <v>1993</v>
      </c>
      <c r="B1995" s="9" t="str">
        <f>"54112023062519502864066"</f>
        <v>54112023062519502864066</v>
      </c>
      <c r="C1995" s="9" t="s">
        <v>19</v>
      </c>
      <c r="D1995" s="9" t="str">
        <f>"王娇"</f>
        <v>王娇</v>
      </c>
    </row>
    <row r="1996" spans="1:4" ht="34.5" customHeight="1">
      <c r="A1996" s="8">
        <v>1994</v>
      </c>
      <c r="B1996" s="9" t="str">
        <f>"54112023062616454769832"</f>
        <v>54112023062616454769832</v>
      </c>
      <c r="C1996" s="9" t="s">
        <v>19</v>
      </c>
      <c r="D1996" s="9" t="str">
        <f>"黄青霞"</f>
        <v>黄青霞</v>
      </c>
    </row>
    <row r="1997" spans="1:4" ht="34.5" customHeight="1">
      <c r="A1997" s="8">
        <v>1995</v>
      </c>
      <c r="B1997" s="9" t="str">
        <f>"54112023062916001883710"</f>
        <v>54112023062916001883710</v>
      </c>
      <c r="C1997" s="9" t="s">
        <v>19</v>
      </c>
      <c r="D1997" s="9" t="str">
        <f>"梁时菁"</f>
        <v>梁时菁</v>
      </c>
    </row>
    <row r="1998" spans="1:4" ht="34.5" customHeight="1">
      <c r="A1998" s="8">
        <v>1996</v>
      </c>
      <c r="B1998" s="9" t="str">
        <f>"54112023063016171889836"</f>
        <v>54112023063016171889836</v>
      </c>
      <c r="C1998" s="9" t="s">
        <v>19</v>
      </c>
      <c r="D1998" s="9" t="str">
        <f>"陈大婷"</f>
        <v>陈大婷</v>
      </c>
    </row>
    <row r="1999" spans="1:4" ht="34.5" customHeight="1">
      <c r="A1999" s="8">
        <v>1997</v>
      </c>
      <c r="B1999" s="9" t="str">
        <f>"54112023070111072391197"</f>
        <v>54112023070111072391197</v>
      </c>
      <c r="C1999" s="9" t="s">
        <v>19</v>
      </c>
      <c r="D1999" s="9" t="str">
        <f>"吴长业"</f>
        <v>吴长业</v>
      </c>
    </row>
    <row r="2000" spans="1:4" ht="34.5" customHeight="1">
      <c r="A2000" s="8">
        <v>1998</v>
      </c>
      <c r="B2000" s="9" t="str">
        <f>"54112023070113243091489"</f>
        <v>54112023070113243091489</v>
      </c>
      <c r="C2000" s="9" t="s">
        <v>19</v>
      </c>
      <c r="D2000" s="9" t="str">
        <f>"陈丹丹"</f>
        <v>陈丹丹</v>
      </c>
    </row>
    <row r="2001" spans="1:4" ht="34.5" customHeight="1">
      <c r="A2001" s="8">
        <v>1999</v>
      </c>
      <c r="B2001" s="9" t="str">
        <f>"54112023070300034595134"</f>
        <v>54112023070300034595134</v>
      </c>
      <c r="C2001" s="9" t="s">
        <v>19</v>
      </c>
      <c r="D2001" s="9" t="str">
        <f>"陈燕敏"</f>
        <v>陈燕敏</v>
      </c>
    </row>
    <row r="2002" spans="1:4" ht="34.5" customHeight="1">
      <c r="A2002" s="8">
        <v>2000</v>
      </c>
      <c r="B2002" s="9" t="str">
        <f>"54112023070218191094332"</f>
        <v>54112023070218191094332</v>
      </c>
      <c r="C2002" s="9" t="s">
        <v>19</v>
      </c>
      <c r="D2002" s="9" t="str">
        <f>"卢梦"</f>
        <v>卢梦</v>
      </c>
    </row>
    <row r="2003" spans="1:4" ht="34.5" customHeight="1">
      <c r="A2003" s="8">
        <v>2001</v>
      </c>
      <c r="B2003" s="9" t="str">
        <f>"541120230704024719100418"</f>
        <v>541120230704024719100418</v>
      </c>
      <c r="C2003" s="9" t="s">
        <v>19</v>
      </c>
      <c r="D2003" s="9" t="str">
        <f>"徐基程"</f>
        <v>徐基程</v>
      </c>
    </row>
    <row r="2004" spans="1:4" ht="34.5" customHeight="1">
      <c r="A2004" s="8">
        <v>2002</v>
      </c>
      <c r="B2004" s="9" t="str">
        <f>"541120230704012505100384"</f>
        <v>541120230704012505100384</v>
      </c>
      <c r="C2004" s="9" t="s">
        <v>19</v>
      </c>
      <c r="D2004" s="9" t="str">
        <f>"刘雅丹"</f>
        <v>刘雅丹</v>
      </c>
    </row>
    <row r="2005" spans="1:4" ht="34.5" customHeight="1">
      <c r="A2005" s="8">
        <v>2003</v>
      </c>
      <c r="B2005" s="9" t="str">
        <f>"54112023062600311865112"</f>
        <v>54112023062600311865112</v>
      </c>
      <c r="C2005" s="9" t="s">
        <v>20</v>
      </c>
      <c r="D2005" s="9" t="str">
        <f>"黄瑩"</f>
        <v>黄瑩</v>
      </c>
    </row>
    <row r="2006" spans="1:4" ht="34.5" customHeight="1">
      <c r="A2006" s="8">
        <v>2004</v>
      </c>
      <c r="B2006" s="9" t="str">
        <f>"54112023062623330671741"</f>
        <v>54112023062623330671741</v>
      </c>
      <c r="C2006" s="9" t="s">
        <v>20</v>
      </c>
      <c r="D2006" s="9" t="str">
        <f>"王湖"</f>
        <v>王湖</v>
      </c>
    </row>
    <row r="2007" spans="1:4" ht="34.5" customHeight="1">
      <c r="A2007" s="8">
        <v>2005</v>
      </c>
      <c r="B2007" s="9" t="str">
        <f>"54112023062718261875337"</f>
        <v>54112023062718261875337</v>
      </c>
      <c r="C2007" s="9" t="s">
        <v>20</v>
      </c>
      <c r="D2007" s="9" t="str">
        <f>"冯洁"</f>
        <v>冯洁</v>
      </c>
    </row>
    <row r="2008" spans="1:4" ht="34.5" customHeight="1">
      <c r="A2008" s="8">
        <v>2006</v>
      </c>
      <c r="B2008" s="9" t="str">
        <f>"54112023062711062673289"</f>
        <v>54112023062711062673289</v>
      </c>
      <c r="C2008" s="9" t="s">
        <v>20</v>
      </c>
      <c r="D2008" s="9" t="str">
        <f>"颜才松"</f>
        <v>颜才松</v>
      </c>
    </row>
    <row r="2009" spans="1:4" ht="34.5" customHeight="1">
      <c r="A2009" s="8">
        <v>2007</v>
      </c>
      <c r="B2009" s="9" t="str">
        <f>"54112023062817130678943"</f>
        <v>54112023062817130678943</v>
      </c>
      <c r="C2009" s="9" t="s">
        <v>20</v>
      </c>
      <c r="D2009" s="9" t="str">
        <f>"何庆新"</f>
        <v>何庆新</v>
      </c>
    </row>
    <row r="2010" spans="1:4" ht="34.5" customHeight="1">
      <c r="A2010" s="8">
        <v>2008</v>
      </c>
      <c r="B2010" s="9" t="str">
        <f>"54112023062817370579034"</f>
        <v>54112023062817370579034</v>
      </c>
      <c r="C2010" s="9" t="s">
        <v>20</v>
      </c>
      <c r="D2010" s="9" t="str">
        <f>"王贵城"</f>
        <v>王贵城</v>
      </c>
    </row>
    <row r="2011" spans="1:4" ht="34.5" customHeight="1">
      <c r="A2011" s="8">
        <v>2009</v>
      </c>
      <c r="B2011" s="9" t="str">
        <f>"54112023062611450267939"</f>
        <v>54112023062611450267939</v>
      </c>
      <c r="C2011" s="9" t="s">
        <v>20</v>
      </c>
      <c r="D2011" s="9" t="str">
        <f>"陈壮莲"</f>
        <v>陈壮莲</v>
      </c>
    </row>
    <row r="2012" spans="1:4" ht="34.5" customHeight="1">
      <c r="A2012" s="8">
        <v>2010</v>
      </c>
      <c r="B2012" s="9" t="str">
        <f>"54112023062617573870225"</f>
        <v>54112023062617573870225</v>
      </c>
      <c r="C2012" s="9" t="s">
        <v>20</v>
      </c>
      <c r="D2012" s="9" t="str">
        <f>"张梦圆"</f>
        <v>张梦圆</v>
      </c>
    </row>
    <row r="2013" spans="1:4" ht="34.5" customHeight="1">
      <c r="A2013" s="8">
        <v>2011</v>
      </c>
      <c r="B2013" s="9" t="str">
        <f>"54112023070317354098711"</f>
        <v>54112023070317354098711</v>
      </c>
      <c r="C2013" s="9" t="s">
        <v>20</v>
      </c>
      <c r="D2013" s="9" t="str">
        <f>"李玉青"</f>
        <v>李玉青</v>
      </c>
    </row>
    <row r="2014" spans="1:4" ht="34.5" customHeight="1">
      <c r="A2014" s="8">
        <v>2012</v>
      </c>
      <c r="B2014" s="9" t="str">
        <f>"54112023062511080960921"</f>
        <v>54112023062511080960921</v>
      </c>
      <c r="C2014" s="9" t="s">
        <v>20</v>
      </c>
      <c r="D2014" s="9" t="str">
        <f>"马坪冲"</f>
        <v>马坪冲</v>
      </c>
    </row>
    <row r="2015" spans="1:4" ht="34.5" customHeight="1">
      <c r="A2015" s="8">
        <v>2013</v>
      </c>
      <c r="B2015" s="9" t="str">
        <f>"54112023062508382659679"</f>
        <v>54112023062508382659679</v>
      </c>
      <c r="C2015" s="9" t="s">
        <v>21</v>
      </c>
      <c r="D2015" s="9" t="str">
        <f>"文红莹"</f>
        <v>文红莹</v>
      </c>
    </row>
    <row r="2016" spans="1:4" ht="34.5" customHeight="1">
      <c r="A2016" s="8">
        <v>2014</v>
      </c>
      <c r="B2016" s="9" t="str">
        <f>"54112023062509392760199"</f>
        <v>54112023062509392760199</v>
      </c>
      <c r="C2016" s="9" t="s">
        <v>21</v>
      </c>
      <c r="D2016" s="9" t="str">
        <f>"陈虹羽"</f>
        <v>陈虹羽</v>
      </c>
    </row>
    <row r="2017" spans="1:4" ht="34.5" customHeight="1">
      <c r="A2017" s="8">
        <v>2015</v>
      </c>
      <c r="B2017" s="9" t="str">
        <f>"54112023062510073660486"</f>
        <v>54112023062510073660486</v>
      </c>
      <c r="C2017" s="9" t="s">
        <v>21</v>
      </c>
      <c r="D2017" s="9" t="str">
        <f>"薛秀娟"</f>
        <v>薛秀娟</v>
      </c>
    </row>
    <row r="2018" spans="1:4" ht="34.5" customHeight="1">
      <c r="A2018" s="8">
        <v>2016</v>
      </c>
      <c r="B2018" s="9" t="str">
        <f>"54112023062509372360176"</f>
        <v>54112023062509372360176</v>
      </c>
      <c r="C2018" s="9" t="s">
        <v>21</v>
      </c>
      <c r="D2018" s="9" t="str">
        <f>"钟同玉"</f>
        <v>钟同玉</v>
      </c>
    </row>
    <row r="2019" spans="1:4" ht="34.5" customHeight="1">
      <c r="A2019" s="8">
        <v>2017</v>
      </c>
      <c r="B2019" s="9" t="str">
        <f>"54112023062510171460555"</f>
        <v>54112023062510171460555</v>
      </c>
      <c r="C2019" s="9" t="s">
        <v>21</v>
      </c>
      <c r="D2019" s="9" t="str">
        <f>"劳启芳"</f>
        <v>劳启芳</v>
      </c>
    </row>
    <row r="2020" spans="1:4" ht="34.5" customHeight="1">
      <c r="A2020" s="8">
        <v>2018</v>
      </c>
      <c r="B2020" s="9" t="str">
        <f>"54112023062510414160748"</f>
        <v>54112023062510414160748</v>
      </c>
      <c r="C2020" s="9" t="s">
        <v>21</v>
      </c>
      <c r="D2020" s="9" t="str">
        <f>"黄宏捷"</f>
        <v>黄宏捷</v>
      </c>
    </row>
    <row r="2021" spans="1:4" ht="34.5" customHeight="1">
      <c r="A2021" s="8">
        <v>2019</v>
      </c>
      <c r="B2021" s="9" t="str">
        <f>"54112023062511492361640"</f>
        <v>54112023062511492361640</v>
      </c>
      <c r="C2021" s="9" t="s">
        <v>21</v>
      </c>
      <c r="D2021" s="9" t="str">
        <f>"林琳"</f>
        <v>林琳</v>
      </c>
    </row>
    <row r="2022" spans="1:4" ht="34.5" customHeight="1">
      <c r="A2022" s="8">
        <v>2020</v>
      </c>
      <c r="B2022" s="9" t="str">
        <f>"54112023062512344061982"</f>
        <v>54112023062512344061982</v>
      </c>
      <c r="C2022" s="9" t="s">
        <v>21</v>
      </c>
      <c r="D2022" s="9" t="str">
        <f>"陈开莉"</f>
        <v>陈开莉</v>
      </c>
    </row>
    <row r="2023" spans="1:4" ht="34.5" customHeight="1">
      <c r="A2023" s="8">
        <v>2021</v>
      </c>
      <c r="B2023" s="9" t="str">
        <f>"54112023062510504160815"</f>
        <v>54112023062510504160815</v>
      </c>
      <c r="C2023" s="9" t="s">
        <v>21</v>
      </c>
      <c r="D2023" s="9" t="str">
        <f>"孙静辉"</f>
        <v>孙静辉</v>
      </c>
    </row>
    <row r="2024" spans="1:4" ht="34.5" customHeight="1">
      <c r="A2024" s="8">
        <v>2022</v>
      </c>
      <c r="B2024" s="9" t="str">
        <f>"54112023062515212462870"</f>
        <v>54112023062515212462870</v>
      </c>
      <c r="C2024" s="9" t="s">
        <v>21</v>
      </c>
      <c r="D2024" s="9" t="str">
        <f>"李娜"</f>
        <v>李娜</v>
      </c>
    </row>
    <row r="2025" spans="1:4" ht="34.5" customHeight="1">
      <c r="A2025" s="8">
        <v>2023</v>
      </c>
      <c r="B2025" s="9" t="str">
        <f>"54112023062516200663240"</f>
        <v>54112023062516200663240</v>
      </c>
      <c r="C2025" s="9" t="s">
        <v>21</v>
      </c>
      <c r="D2025" s="9" t="str">
        <f>"何雯雯"</f>
        <v>何雯雯</v>
      </c>
    </row>
    <row r="2026" spans="1:4" ht="34.5" customHeight="1">
      <c r="A2026" s="8">
        <v>2024</v>
      </c>
      <c r="B2026" s="9" t="str">
        <f>"54112023062516134463206"</f>
        <v>54112023062516134463206</v>
      </c>
      <c r="C2026" s="9" t="s">
        <v>21</v>
      </c>
      <c r="D2026" s="9" t="str">
        <f>"文嫚"</f>
        <v>文嫚</v>
      </c>
    </row>
    <row r="2027" spans="1:4" ht="34.5" customHeight="1">
      <c r="A2027" s="8">
        <v>2025</v>
      </c>
      <c r="B2027" s="9" t="str">
        <f>"54112023062516193663238"</f>
        <v>54112023062516193663238</v>
      </c>
      <c r="C2027" s="9" t="s">
        <v>21</v>
      </c>
      <c r="D2027" s="9" t="str">
        <f>"李海棉"</f>
        <v>李海棉</v>
      </c>
    </row>
    <row r="2028" spans="1:4" ht="34.5" customHeight="1">
      <c r="A2028" s="8">
        <v>2026</v>
      </c>
      <c r="B2028" s="9" t="str">
        <f>"54112023062516252263269"</f>
        <v>54112023062516252263269</v>
      </c>
      <c r="C2028" s="9" t="s">
        <v>21</v>
      </c>
      <c r="D2028" s="9" t="str">
        <f>"吴清威"</f>
        <v>吴清威</v>
      </c>
    </row>
    <row r="2029" spans="1:4" ht="34.5" customHeight="1">
      <c r="A2029" s="8">
        <v>2027</v>
      </c>
      <c r="B2029" s="9" t="str">
        <f>"54112023062517380363588"</f>
        <v>54112023062517380363588</v>
      </c>
      <c r="C2029" s="9" t="s">
        <v>21</v>
      </c>
      <c r="D2029" s="9" t="str">
        <f>"曾令娇"</f>
        <v>曾令娇</v>
      </c>
    </row>
    <row r="2030" spans="1:4" ht="34.5" customHeight="1">
      <c r="A2030" s="8">
        <v>2028</v>
      </c>
      <c r="B2030" s="9" t="str">
        <f>"54112023062518570863866"</f>
        <v>54112023062518570863866</v>
      </c>
      <c r="C2030" s="9" t="s">
        <v>21</v>
      </c>
      <c r="D2030" s="9" t="str">
        <f>"岑春平"</f>
        <v>岑春平</v>
      </c>
    </row>
    <row r="2031" spans="1:4" ht="34.5" customHeight="1">
      <c r="A2031" s="8">
        <v>2029</v>
      </c>
      <c r="B2031" s="9" t="str">
        <f>"54112023062519141063926"</f>
        <v>54112023062519141063926</v>
      </c>
      <c r="C2031" s="9" t="s">
        <v>21</v>
      </c>
      <c r="D2031" s="9" t="str">
        <f>"王英"</f>
        <v>王英</v>
      </c>
    </row>
    <row r="2032" spans="1:4" ht="34.5" customHeight="1">
      <c r="A2032" s="8">
        <v>2030</v>
      </c>
      <c r="B2032" s="9" t="str">
        <f>"54112023062519573164106"</f>
        <v>54112023062519573164106</v>
      </c>
      <c r="C2032" s="9" t="s">
        <v>21</v>
      </c>
      <c r="D2032" s="9" t="str">
        <f>"莫斯婷"</f>
        <v>莫斯婷</v>
      </c>
    </row>
    <row r="2033" spans="1:4" ht="34.5" customHeight="1">
      <c r="A2033" s="8">
        <v>2031</v>
      </c>
      <c r="B2033" s="9" t="str">
        <f>"54112023062515385662989"</f>
        <v>54112023062515385662989</v>
      </c>
      <c r="C2033" s="9" t="s">
        <v>21</v>
      </c>
      <c r="D2033" s="9" t="str">
        <f>"林海燕"</f>
        <v>林海燕</v>
      </c>
    </row>
    <row r="2034" spans="1:4" ht="34.5" customHeight="1">
      <c r="A2034" s="8">
        <v>2032</v>
      </c>
      <c r="B2034" s="9" t="str">
        <f>"54112023062522330964819"</f>
        <v>54112023062522330964819</v>
      </c>
      <c r="C2034" s="9" t="s">
        <v>21</v>
      </c>
      <c r="D2034" s="9" t="str">
        <f>"李林花"</f>
        <v>李林花</v>
      </c>
    </row>
    <row r="2035" spans="1:4" ht="34.5" customHeight="1">
      <c r="A2035" s="8">
        <v>2033</v>
      </c>
      <c r="B2035" s="9" t="str">
        <f>"54112023062520501764327"</f>
        <v>54112023062520501764327</v>
      </c>
      <c r="C2035" s="9" t="s">
        <v>21</v>
      </c>
      <c r="D2035" s="9" t="str">
        <f>"陈源霞"</f>
        <v>陈源霞</v>
      </c>
    </row>
    <row r="2036" spans="1:4" ht="34.5" customHeight="1">
      <c r="A2036" s="8">
        <v>2034</v>
      </c>
      <c r="B2036" s="9" t="str">
        <f>"54112023062608584565464"</f>
        <v>54112023062608584565464</v>
      </c>
      <c r="C2036" s="9" t="s">
        <v>21</v>
      </c>
      <c r="D2036" s="9" t="str">
        <f>"吴英志"</f>
        <v>吴英志</v>
      </c>
    </row>
    <row r="2037" spans="1:4" ht="34.5" customHeight="1">
      <c r="A2037" s="8">
        <v>2035</v>
      </c>
      <c r="B2037" s="9" t="str">
        <f>"54112023062610105766759"</f>
        <v>54112023062610105766759</v>
      </c>
      <c r="C2037" s="9" t="s">
        <v>21</v>
      </c>
      <c r="D2037" s="9" t="str">
        <f>"林小慧"</f>
        <v>林小慧</v>
      </c>
    </row>
    <row r="2038" spans="1:4" ht="34.5" customHeight="1">
      <c r="A2038" s="8">
        <v>2036</v>
      </c>
      <c r="B2038" s="9" t="str">
        <f>"54112023062611031567502"</f>
        <v>54112023062611031567502</v>
      </c>
      <c r="C2038" s="9" t="s">
        <v>21</v>
      </c>
      <c r="D2038" s="9" t="str">
        <f>"王芸"</f>
        <v>王芸</v>
      </c>
    </row>
    <row r="2039" spans="1:4" ht="34.5" customHeight="1">
      <c r="A2039" s="8">
        <v>2037</v>
      </c>
      <c r="B2039" s="9" t="str">
        <f>"54112023062511344961114"</f>
        <v>54112023062511344961114</v>
      </c>
      <c r="C2039" s="9" t="s">
        <v>21</v>
      </c>
      <c r="D2039" s="9" t="str">
        <f>"黄小红"</f>
        <v>黄小红</v>
      </c>
    </row>
    <row r="2040" spans="1:4" ht="34.5" customHeight="1">
      <c r="A2040" s="8">
        <v>2038</v>
      </c>
      <c r="B2040" s="9" t="str">
        <f>"54112023062613324768599"</f>
        <v>54112023062613324768599</v>
      </c>
      <c r="C2040" s="9" t="s">
        <v>21</v>
      </c>
      <c r="D2040" s="9" t="str">
        <f>"李娜"</f>
        <v>李娜</v>
      </c>
    </row>
    <row r="2041" spans="1:4" ht="34.5" customHeight="1">
      <c r="A2041" s="8">
        <v>2039</v>
      </c>
      <c r="B2041" s="9" t="str">
        <f>"54112023062615430369378"</f>
        <v>54112023062615430369378</v>
      </c>
      <c r="C2041" s="9" t="s">
        <v>21</v>
      </c>
      <c r="D2041" s="9" t="str">
        <f>"陈小美"</f>
        <v>陈小美</v>
      </c>
    </row>
    <row r="2042" spans="1:4" ht="34.5" customHeight="1">
      <c r="A2042" s="8">
        <v>2040</v>
      </c>
      <c r="B2042" s="9" t="str">
        <f>"54112023062616282669700"</f>
        <v>54112023062616282669700</v>
      </c>
      <c r="C2042" s="9" t="s">
        <v>21</v>
      </c>
      <c r="D2042" s="9" t="str">
        <f>"林芳鑫"</f>
        <v>林芳鑫</v>
      </c>
    </row>
    <row r="2043" spans="1:4" ht="34.5" customHeight="1">
      <c r="A2043" s="8">
        <v>2041</v>
      </c>
      <c r="B2043" s="9" t="str">
        <f>"54112023062511480061634"</f>
        <v>54112023062511480061634</v>
      </c>
      <c r="C2043" s="9" t="s">
        <v>21</v>
      </c>
      <c r="D2043" s="9" t="str">
        <f>"王厚钧"</f>
        <v>王厚钧</v>
      </c>
    </row>
    <row r="2044" spans="1:4" ht="34.5" customHeight="1">
      <c r="A2044" s="8">
        <v>2042</v>
      </c>
      <c r="B2044" s="9" t="str">
        <f>"54112023062509115159913"</f>
        <v>54112023062509115159913</v>
      </c>
      <c r="C2044" s="9" t="s">
        <v>21</v>
      </c>
      <c r="D2044" s="9" t="str">
        <f>"李小芳"</f>
        <v>李小芳</v>
      </c>
    </row>
    <row r="2045" spans="1:4" ht="34.5" customHeight="1">
      <c r="A2045" s="8">
        <v>2043</v>
      </c>
      <c r="B2045" s="9" t="str">
        <f>"54112023062618061070267"</f>
        <v>54112023062618061070267</v>
      </c>
      <c r="C2045" s="9" t="s">
        <v>21</v>
      </c>
      <c r="D2045" s="9" t="str">
        <f>"王明颖"</f>
        <v>王明颖</v>
      </c>
    </row>
    <row r="2046" spans="1:4" ht="34.5" customHeight="1">
      <c r="A2046" s="8">
        <v>2044</v>
      </c>
      <c r="B2046" s="9" t="str">
        <f>"54112023062510192460572"</f>
        <v>54112023062510192460572</v>
      </c>
      <c r="C2046" s="9" t="s">
        <v>21</v>
      </c>
      <c r="D2046" s="9" t="str">
        <f>"李莉敏"</f>
        <v>李莉敏</v>
      </c>
    </row>
    <row r="2047" spans="1:4" ht="34.5" customHeight="1">
      <c r="A2047" s="8">
        <v>2045</v>
      </c>
      <c r="B2047" s="9" t="str">
        <f>"54112023062621353671255"</f>
        <v>54112023062621353671255</v>
      </c>
      <c r="C2047" s="9" t="s">
        <v>21</v>
      </c>
      <c r="D2047" s="9" t="str">
        <f>"罗才连"</f>
        <v>罗才连</v>
      </c>
    </row>
    <row r="2048" spans="1:4" ht="34.5" customHeight="1">
      <c r="A2048" s="8">
        <v>2046</v>
      </c>
      <c r="B2048" s="9" t="str">
        <f>"54112023062623024571658"</f>
        <v>54112023062623024571658</v>
      </c>
      <c r="C2048" s="9" t="s">
        <v>21</v>
      </c>
      <c r="D2048" s="9" t="str">
        <f>"陈石春"</f>
        <v>陈石春</v>
      </c>
    </row>
    <row r="2049" spans="1:4" ht="34.5" customHeight="1">
      <c r="A2049" s="8">
        <v>2047</v>
      </c>
      <c r="B2049" s="9" t="str">
        <f>"54112023062700293071818"</f>
        <v>54112023062700293071818</v>
      </c>
      <c r="C2049" s="9" t="s">
        <v>21</v>
      </c>
      <c r="D2049" s="9" t="str">
        <f>"黄晓静"</f>
        <v>黄晓静</v>
      </c>
    </row>
    <row r="2050" spans="1:4" ht="34.5" customHeight="1">
      <c r="A2050" s="8">
        <v>2048</v>
      </c>
      <c r="B2050" s="9" t="str">
        <f>"54112023062710315473085"</f>
        <v>54112023062710315473085</v>
      </c>
      <c r="C2050" s="9" t="s">
        <v>21</v>
      </c>
      <c r="D2050" s="9" t="str">
        <f>"杨振娜"</f>
        <v>杨振娜</v>
      </c>
    </row>
    <row r="2051" spans="1:4" ht="34.5" customHeight="1">
      <c r="A2051" s="8">
        <v>2049</v>
      </c>
      <c r="B2051" s="9" t="str">
        <f>"54112023062611431767923"</f>
        <v>54112023062611431767923</v>
      </c>
      <c r="C2051" s="9" t="s">
        <v>21</v>
      </c>
      <c r="D2051" s="9" t="str">
        <f>"蒙怡婷"</f>
        <v>蒙怡婷</v>
      </c>
    </row>
    <row r="2052" spans="1:4" ht="34.5" customHeight="1">
      <c r="A2052" s="8">
        <v>2050</v>
      </c>
      <c r="B2052" s="9" t="str">
        <f>"54112023062513575062378"</f>
        <v>54112023062513575062378</v>
      </c>
      <c r="C2052" s="9" t="s">
        <v>21</v>
      </c>
      <c r="D2052" s="9" t="str">
        <f>"王琼辉"</f>
        <v>王琼辉</v>
      </c>
    </row>
    <row r="2053" spans="1:4" ht="34.5" customHeight="1">
      <c r="A2053" s="8">
        <v>2051</v>
      </c>
      <c r="B2053" s="9" t="str">
        <f>"54112023062612455868339"</f>
        <v>54112023062612455868339</v>
      </c>
      <c r="C2053" s="9" t="s">
        <v>21</v>
      </c>
      <c r="D2053" s="9" t="str">
        <f>"林小婷"</f>
        <v>林小婷</v>
      </c>
    </row>
    <row r="2054" spans="1:4" ht="34.5" customHeight="1">
      <c r="A2054" s="8">
        <v>2052</v>
      </c>
      <c r="B2054" s="9" t="str">
        <f>"54112023062719042875446"</f>
        <v>54112023062719042875446</v>
      </c>
      <c r="C2054" s="9" t="s">
        <v>21</v>
      </c>
      <c r="D2054" s="9" t="str">
        <f>"崔经女"</f>
        <v>崔经女</v>
      </c>
    </row>
    <row r="2055" spans="1:4" ht="34.5" customHeight="1">
      <c r="A2055" s="8">
        <v>2053</v>
      </c>
      <c r="B2055" s="9" t="str">
        <f>"54112023062723340276310"</f>
        <v>54112023062723340276310</v>
      </c>
      <c r="C2055" s="9" t="s">
        <v>21</v>
      </c>
      <c r="D2055" s="9" t="str">
        <f>"冯敏"</f>
        <v>冯敏</v>
      </c>
    </row>
    <row r="2056" spans="1:4" ht="34.5" customHeight="1">
      <c r="A2056" s="8">
        <v>2054</v>
      </c>
      <c r="B2056" s="9" t="str">
        <f>"54112023062808372676593"</f>
        <v>54112023062808372676593</v>
      </c>
      <c r="C2056" s="9" t="s">
        <v>21</v>
      </c>
      <c r="D2056" s="9" t="str">
        <f>"王旖旎"</f>
        <v>王旖旎</v>
      </c>
    </row>
    <row r="2057" spans="1:4" ht="34.5" customHeight="1">
      <c r="A2057" s="8">
        <v>2055</v>
      </c>
      <c r="B2057" s="9" t="str">
        <f>"54112023062810191677121"</f>
        <v>54112023062810191677121</v>
      </c>
      <c r="C2057" s="9" t="s">
        <v>21</v>
      </c>
      <c r="D2057" s="9" t="str">
        <f>"赵文倩"</f>
        <v>赵文倩</v>
      </c>
    </row>
    <row r="2058" spans="1:4" ht="34.5" customHeight="1">
      <c r="A2058" s="8">
        <v>2056</v>
      </c>
      <c r="B2058" s="9" t="str">
        <f>"54112023062809332976875"</f>
        <v>54112023062809332976875</v>
      </c>
      <c r="C2058" s="9" t="s">
        <v>21</v>
      </c>
      <c r="D2058" s="9" t="str">
        <f>"林华茜"</f>
        <v>林华茜</v>
      </c>
    </row>
    <row r="2059" spans="1:4" ht="34.5" customHeight="1">
      <c r="A2059" s="8">
        <v>2057</v>
      </c>
      <c r="B2059" s="9" t="str">
        <f>"54112023062813215177986"</f>
        <v>54112023062813215177986</v>
      </c>
      <c r="C2059" s="9" t="s">
        <v>21</v>
      </c>
      <c r="D2059" s="9" t="str">
        <f>"王玉云"</f>
        <v>王玉云</v>
      </c>
    </row>
    <row r="2060" spans="1:4" ht="34.5" customHeight="1">
      <c r="A2060" s="8">
        <v>2058</v>
      </c>
      <c r="B2060" s="9" t="str">
        <f>"54112023062815072978347"</f>
        <v>54112023062815072978347</v>
      </c>
      <c r="C2060" s="9" t="s">
        <v>21</v>
      </c>
      <c r="D2060" s="9" t="str">
        <f>"黎少莲"</f>
        <v>黎少莲</v>
      </c>
    </row>
    <row r="2061" spans="1:4" ht="34.5" customHeight="1">
      <c r="A2061" s="8">
        <v>2059</v>
      </c>
      <c r="B2061" s="9" t="str">
        <f>"54112023062817171278970"</f>
        <v>54112023062817171278970</v>
      </c>
      <c r="C2061" s="9" t="s">
        <v>21</v>
      </c>
      <c r="D2061" s="9" t="str">
        <f>"钱玉意"</f>
        <v>钱玉意</v>
      </c>
    </row>
    <row r="2062" spans="1:4" ht="34.5" customHeight="1">
      <c r="A2062" s="8">
        <v>2060</v>
      </c>
      <c r="B2062" s="9" t="str">
        <f>"54112023062818033179118"</f>
        <v>54112023062818033179118</v>
      </c>
      <c r="C2062" s="9" t="s">
        <v>21</v>
      </c>
      <c r="D2062" s="9" t="str">
        <f>"郑荣英"</f>
        <v>郑荣英</v>
      </c>
    </row>
    <row r="2063" spans="1:4" ht="34.5" customHeight="1">
      <c r="A2063" s="8">
        <v>2061</v>
      </c>
      <c r="B2063" s="9" t="str">
        <f>"54112023062609241465995"</f>
        <v>54112023062609241465995</v>
      </c>
      <c r="C2063" s="9" t="s">
        <v>21</v>
      </c>
      <c r="D2063" s="9" t="str">
        <f>"冯静"</f>
        <v>冯静</v>
      </c>
    </row>
    <row r="2064" spans="1:4" ht="34.5" customHeight="1">
      <c r="A2064" s="8">
        <v>2062</v>
      </c>
      <c r="B2064" s="9" t="str">
        <f>"54112023062822260480089"</f>
        <v>54112023062822260480089</v>
      </c>
      <c r="C2064" s="9" t="s">
        <v>21</v>
      </c>
      <c r="D2064" s="9" t="str">
        <f>"陈泽胜"</f>
        <v>陈泽胜</v>
      </c>
    </row>
    <row r="2065" spans="1:4" ht="34.5" customHeight="1">
      <c r="A2065" s="8">
        <v>2063</v>
      </c>
      <c r="B2065" s="9" t="str">
        <f>"54112023062717512175198"</f>
        <v>54112023062717512175198</v>
      </c>
      <c r="C2065" s="9" t="s">
        <v>21</v>
      </c>
      <c r="D2065" s="9" t="str">
        <f>"陈海霞"</f>
        <v>陈海霞</v>
      </c>
    </row>
    <row r="2066" spans="1:4" ht="34.5" customHeight="1">
      <c r="A2066" s="8">
        <v>2064</v>
      </c>
      <c r="B2066" s="9" t="str">
        <f>"54112023062910262681594"</f>
        <v>54112023062910262681594</v>
      </c>
      <c r="C2066" s="9" t="s">
        <v>21</v>
      </c>
      <c r="D2066" s="9" t="str">
        <f>"李美琼"</f>
        <v>李美琼</v>
      </c>
    </row>
    <row r="2067" spans="1:4" ht="34.5" customHeight="1">
      <c r="A2067" s="8">
        <v>2065</v>
      </c>
      <c r="B2067" s="9" t="str">
        <f>"54112023062911280982125"</f>
        <v>54112023062911280982125</v>
      </c>
      <c r="C2067" s="9" t="s">
        <v>21</v>
      </c>
      <c r="D2067" s="9" t="str">
        <f>"王佳琦"</f>
        <v>王佳琦</v>
      </c>
    </row>
    <row r="2068" spans="1:4" ht="34.5" customHeight="1">
      <c r="A2068" s="8">
        <v>2066</v>
      </c>
      <c r="B2068" s="9" t="str">
        <f>"54112023062912303382518"</f>
        <v>54112023062912303382518</v>
      </c>
      <c r="C2068" s="9" t="s">
        <v>21</v>
      </c>
      <c r="D2068" s="9" t="str">
        <f>"李雪婷"</f>
        <v>李雪婷</v>
      </c>
    </row>
    <row r="2069" spans="1:4" ht="34.5" customHeight="1">
      <c r="A2069" s="8">
        <v>2067</v>
      </c>
      <c r="B2069" s="9" t="str">
        <f>"54112023062918205884547"</f>
        <v>54112023062918205884547</v>
      </c>
      <c r="C2069" s="9" t="s">
        <v>21</v>
      </c>
      <c r="D2069" s="9" t="str">
        <f>"王一桔"</f>
        <v>王一桔</v>
      </c>
    </row>
    <row r="2070" spans="1:4" ht="34.5" customHeight="1">
      <c r="A2070" s="8">
        <v>2068</v>
      </c>
      <c r="B2070" s="9" t="str">
        <f>"54112023062919561585011"</f>
        <v>54112023062919561585011</v>
      </c>
      <c r="C2070" s="9" t="s">
        <v>21</v>
      </c>
      <c r="D2070" s="9" t="str">
        <f>"田渊泯"</f>
        <v>田渊泯</v>
      </c>
    </row>
    <row r="2071" spans="1:4" ht="34.5" customHeight="1">
      <c r="A2071" s="8">
        <v>2069</v>
      </c>
      <c r="B2071" s="9" t="str">
        <f>"54112023063000494786481"</f>
        <v>54112023063000494786481</v>
      </c>
      <c r="C2071" s="9" t="s">
        <v>21</v>
      </c>
      <c r="D2071" s="9" t="str">
        <f>"江文兰"</f>
        <v>江文兰</v>
      </c>
    </row>
    <row r="2072" spans="1:4" ht="34.5" customHeight="1">
      <c r="A2072" s="8">
        <v>2070</v>
      </c>
      <c r="B2072" s="9" t="str">
        <f>"54112023063018333790169"</f>
        <v>54112023063018333790169</v>
      </c>
      <c r="C2072" s="9" t="s">
        <v>21</v>
      </c>
      <c r="D2072" s="9" t="str">
        <f>"吴兰英"</f>
        <v>吴兰英</v>
      </c>
    </row>
    <row r="2073" spans="1:4" ht="34.5" customHeight="1">
      <c r="A2073" s="8">
        <v>2071</v>
      </c>
      <c r="B2073" s="9" t="str">
        <f>"54112023063021520090531"</f>
        <v>54112023063021520090531</v>
      </c>
      <c r="C2073" s="9" t="s">
        <v>21</v>
      </c>
      <c r="D2073" s="9" t="str">
        <f>"林菲"</f>
        <v>林菲</v>
      </c>
    </row>
    <row r="2074" spans="1:4" ht="34.5" customHeight="1">
      <c r="A2074" s="8">
        <v>2072</v>
      </c>
      <c r="B2074" s="9" t="str">
        <f>"54112023062722373276186"</f>
        <v>54112023062722373276186</v>
      </c>
      <c r="C2074" s="9" t="s">
        <v>21</v>
      </c>
      <c r="D2074" s="9" t="str">
        <f>"赵丽芳"</f>
        <v>赵丽芳</v>
      </c>
    </row>
    <row r="2075" spans="1:4" ht="34.5" customHeight="1">
      <c r="A2075" s="8">
        <v>2073</v>
      </c>
      <c r="B2075" s="9" t="str">
        <f>"54112023070114523891644"</f>
        <v>54112023070114523891644</v>
      </c>
      <c r="C2075" s="9" t="s">
        <v>21</v>
      </c>
      <c r="D2075" s="9" t="str">
        <f>"王玉銮"</f>
        <v>王玉銮</v>
      </c>
    </row>
    <row r="2076" spans="1:4" ht="34.5" customHeight="1">
      <c r="A2076" s="8">
        <v>2074</v>
      </c>
      <c r="B2076" s="9" t="str">
        <f>"54112023070117092691901"</f>
        <v>54112023070117092691901</v>
      </c>
      <c r="C2076" s="9" t="s">
        <v>21</v>
      </c>
      <c r="D2076" s="9" t="str">
        <f>"冯琳"</f>
        <v>冯琳</v>
      </c>
    </row>
    <row r="2077" spans="1:4" ht="34.5" customHeight="1">
      <c r="A2077" s="8">
        <v>2075</v>
      </c>
      <c r="B2077" s="9" t="str">
        <f>"54112023070200442392751"</f>
        <v>54112023070200442392751</v>
      </c>
      <c r="C2077" s="9" t="s">
        <v>21</v>
      </c>
      <c r="D2077" s="9" t="str">
        <f>"王少苗"</f>
        <v>王少苗</v>
      </c>
    </row>
    <row r="2078" spans="1:4" ht="34.5" customHeight="1">
      <c r="A2078" s="8">
        <v>2076</v>
      </c>
      <c r="B2078" s="9" t="str">
        <f>"54112023070211445793388"</f>
        <v>54112023070211445793388</v>
      </c>
      <c r="C2078" s="9" t="s">
        <v>21</v>
      </c>
      <c r="D2078" s="9" t="str">
        <f>"王玉霞"</f>
        <v>王玉霞</v>
      </c>
    </row>
    <row r="2079" spans="1:4" ht="34.5" customHeight="1">
      <c r="A2079" s="8">
        <v>2077</v>
      </c>
      <c r="B2079" s="9" t="str">
        <f>"54112023070215003693868"</f>
        <v>54112023070215003693868</v>
      </c>
      <c r="C2079" s="9" t="s">
        <v>21</v>
      </c>
      <c r="D2079" s="9" t="str">
        <f>"朱艳玲"</f>
        <v>朱艳玲</v>
      </c>
    </row>
    <row r="2080" spans="1:4" ht="34.5" customHeight="1">
      <c r="A2080" s="8">
        <v>2078</v>
      </c>
      <c r="B2080" s="9" t="str">
        <f>"54112023062914335983100"</f>
        <v>54112023062914335983100</v>
      </c>
      <c r="C2080" s="9" t="s">
        <v>21</v>
      </c>
      <c r="D2080" s="9" t="str">
        <f>"陈冰月"</f>
        <v>陈冰月</v>
      </c>
    </row>
    <row r="2081" spans="1:4" ht="34.5" customHeight="1">
      <c r="A2081" s="8">
        <v>2079</v>
      </c>
      <c r="B2081" s="9" t="str">
        <f>"54112023070300424595169"</f>
        <v>54112023070300424595169</v>
      </c>
      <c r="C2081" s="9" t="s">
        <v>21</v>
      </c>
      <c r="D2081" s="9" t="str">
        <f>"何春兰"</f>
        <v>何春兰</v>
      </c>
    </row>
    <row r="2082" spans="1:4" ht="34.5" customHeight="1">
      <c r="A2082" s="8">
        <v>2080</v>
      </c>
      <c r="B2082" s="9" t="str">
        <f>"54112023070223482895107"</f>
        <v>54112023070223482895107</v>
      </c>
      <c r="C2082" s="9" t="s">
        <v>21</v>
      </c>
      <c r="D2082" s="9" t="str">
        <f>"邱星鑫"</f>
        <v>邱星鑫</v>
      </c>
    </row>
    <row r="2083" spans="1:4" ht="34.5" customHeight="1">
      <c r="A2083" s="8">
        <v>2081</v>
      </c>
      <c r="B2083" s="9" t="str">
        <f>"54112023062912441582601"</f>
        <v>54112023062912441582601</v>
      </c>
      <c r="C2083" s="9" t="s">
        <v>21</v>
      </c>
      <c r="D2083" s="9" t="str">
        <f>"钟牧杉"</f>
        <v>钟牧杉</v>
      </c>
    </row>
    <row r="2084" spans="1:4" ht="34.5" customHeight="1">
      <c r="A2084" s="8">
        <v>2082</v>
      </c>
      <c r="B2084" s="9" t="str">
        <f>"54112023062610390567191"</f>
        <v>54112023062610390567191</v>
      </c>
      <c r="C2084" s="9" t="s">
        <v>21</v>
      </c>
      <c r="D2084" s="9" t="str">
        <f>"艾秋彤"</f>
        <v>艾秋彤</v>
      </c>
    </row>
    <row r="2085" spans="1:4" ht="34.5" customHeight="1">
      <c r="A2085" s="8">
        <v>2083</v>
      </c>
      <c r="B2085" s="9" t="str">
        <f>"54112023062513213262221"</f>
        <v>54112023062513213262221</v>
      </c>
      <c r="C2085" s="9" t="s">
        <v>21</v>
      </c>
      <c r="D2085" s="9" t="str">
        <f>"唐春芹"</f>
        <v>唐春芹</v>
      </c>
    </row>
    <row r="2086" spans="1:4" ht="34.5" customHeight="1">
      <c r="A2086" s="8">
        <v>2084</v>
      </c>
      <c r="B2086" s="9" t="str">
        <f>"54112023062521341864567"</f>
        <v>54112023062521341864567</v>
      </c>
      <c r="C2086" s="9" t="s">
        <v>21</v>
      </c>
      <c r="D2086" s="9" t="str">
        <f>"符金梅"</f>
        <v>符金梅</v>
      </c>
    </row>
    <row r="2087" spans="1:4" ht="34.5" customHeight="1">
      <c r="A2087" s="8">
        <v>2085</v>
      </c>
      <c r="B2087" s="9" t="str">
        <f>"541120230703231052100143"</f>
        <v>541120230703231052100143</v>
      </c>
      <c r="C2087" s="9" t="s">
        <v>21</v>
      </c>
      <c r="D2087" s="9" t="str">
        <f>"陈燕繁"</f>
        <v>陈燕繁</v>
      </c>
    </row>
    <row r="2088" spans="1:4" ht="34.5" customHeight="1">
      <c r="A2088" s="8">
        <v>2086</v>
      </c>
      <c r="B2088" s="9" t="str">
        <f>"541120230704002612100327"</f>
        <v>541120230704002612100327</v>
      </c>
      <c r="C2088" s="9" t="s">
        <v>21</v>
      </c>
      <c r="D2088" s="9" t="str">
        <f>"谢安娜"</f>
        <v>谢安娜</v>
      </c>
    </row>
    <row r="2089" spans="1:4" ht="34.5" customHeight="1">
      <c r="A2089" s="8">
        <v>2087</v>
      </c>
      <c r="B2089" s="9" t="str">
        <f>"54112023070321031899542"</f>
        <v>54112023070321031899542</v>
      </c>
      <c r="C2089" s="9" t="s">
        <v>21</v>
      </c>
      <c r="D2089" s="9" t="str">
        <f>"温红潇"</f>
        <v>温红潇</v>
      </c>
    </row>
    <row r="2090" spans="1:4" ht="34.5" customHeight="1">
      <c r="A2090" s="8">
        <v>2088</v>
      </c>
      <c r="B2090" s="9" t="str">
        <f>"54112023062921042785425"</f>
        <v>54112023062921042785425</v>
      </c>
      <c r="C2090" s="9" t="s">
        <v>21</v>
      </c>
      <c r="D2090" s="9" t="str">
        <f>"林洁"</f>
        <v>林洁</v>
      </c>
    </row>
    <row r="2091" spans="1:4" ht="34.5" customHeight="1">
      <c r="A2091" s="8">
        <v>2089</v>
      </c>
      <c r="B2091" s="9" t="str">
        <f>"541120230704092530100836"</f>
        <v>541120230704092530100836</v>
      </c>
      <c r="C2091" s="9" t="s">
        <v>21</v>
      </c>
      <c r="D2091" s="9" t="str">
        <f>"王慧倩"</f>
        <v>王慧倩</v>
      </c>
    </row>
    <row r="2092" spans="1:4" ht="34.5" customHeight="1">
      <c r="A2092" s="8">
        <v>2090</v>
      </c>
      <c r="B2092" s="9" t="str">
        <f>"541120230704105744101320"</f>
        <v>541120230704105744101320</v>
      </c>
      <c r="C2092" s="9" t="s">
        <v>21</v>
      </c>
      <c r="D2092" s="9" t="str">
        <f>"王素映"</f>
        <v>王素映</v>
      </c>
    </row>
    <row r="2093" spans="1:4" ht="34.5" customHeight="1">
      <c r="A2093" s="8">
        <v>2091</v>
      </c>
      <c r="B2093" s="9" t="str">
        <f>"54112023062508385459681"</f>
        <v>54112023062508385459681</v>
      </c>
      <c r="C2093" s="9" t="s">
        <v>22</v>
      </c>
      <c r="D2093" s="9" t="str">
        <f>"邢曾玉"</f>
        <v>邢曾玉</v>
      </c>
    </row>
    <row r="2094" spans="1:4" ht="34.5" customHeight="1">
      <c r="A2094" s="8">
        <v>2092</v>
      </c>
      <c r="B2094" s="9" t="str">
        <f>"54112023062508504259727"</f>
        <v>54112023062508504259727</v>
      </c>
      <c r="C2094" s="9" t="s">
        <v>22</v>
      </c>
      <c r="D2094" s="9" t="str">
        <f>"杜金丁"</f>
        <v>杜金丁</v>
      </c>
    </row>
    <row r="2095" spans="1:4" ht="34.5" customHeight="1">
      <c r="A2095" s="8">
        <v>2093</v>
      </c>
      <c r="B2095" s="9" t="str">
        <f>"54112023062510475860790"</f>
        <v>54112023062510475860790</v>
      </c>
      <c r="C2095" s="9" t="s">
        <v>22</v>
      </c>
      <c r="D2095" s="9" t="str">
        <f>"庞青青"</f>
        <v>庞青青</v>
      </c>
    </row>
    <row r="2096" spans="1:4" ht="34.5" customHeight="1">
      <c r="A2096" s="8">
        <v>2094</v>
      </c>
      <c r="B2096" s="9" t="str">
        <f>"54112023062511113860949"</f>
        <v>54112023062511113860949</v>
      </c>
      <c r="C2096" s="9" t="s">
        <v>22</v>
      </c>
      <c r="D2096" s="9" t="str">
        <f>"刘淑欣"</f>
        <v>刘淑欣</v>
      </c>
    </row>
    <row r="2097" spans="1:4" ht="34.5" customHeight="1">
      <c r="A2097" s="8">
        <v>2095</v>
      </c>
      <c r="B2097" s="9" t="str">
        <f>"54112023062512252661905"</f>
        <v>54112023062512252661905</v>
      </c>
      <c r="C2097" s="9" t="s">
        <v>22</v>
      </c>
      <c r="D2097" s="9" t="str">
        <f>"许妍娥"</f>
        <v>许妍娥</v>
      </c>
    </row>
    <row r="2098" spans="1:4" ht="34.5" customHeight="1">
      <c r="A2098" s="8">
        <v>2096</v>
      </c>
      <c r="B2098" s="9" t="str">
        <f>"54112023062512534462089"</f>
        <v>54112023062512534462089</v>
      </c>
      <c r="C2098" s="9" t="s">
        <v>22</v>
      </c>
      <c r="D2098" s="9" t="str">
        <f>"吴清芳"</f>
        <v>吴清芳</v>
      </c>
    </row>
    <row r="2099" spans="1:4" ht="34.5" customHeight="1">
      <c r="A2099" s="8">
        <v>2097</v>
      </c>
      <c r="B2099" s="9" t="str">
        <f>"54112023062514335062549"</f>
        <v>54112023062514335062549</v>
      </c>
      <c r="C2099" s="9" t="s">
        <v>22</v>
      </c>
      <c r="D2099" s="9" t="str">
        <f>"张少芳"</f>
        <v>张少芳</v>
      </c>
    </row>
    <row r="2100" spans="1:4" ht="34.5" customHeight="1">
      <c r="A2100" s="8">
        <v>2098</v>
      </c>
      <c r="B2100" s="9" t="str">
        <f>"54112023062515121962810"</f>
        <v>54112023062515121962810</v>
      </c>
      <c r="C2100" s="9" t="s">
        <v>22</v>
      </c>
      <c r="D2100" s="9" t="str">
        <f>"谢观福"</f>
        <v>谢观福</v>
      </c>
    </row>
    <row r="2101" spans="1:4" ht="34.5" customHeight="1">
      <c r="A2101" s="8">
        <v>2099</v>
      </c>
      <c r="B2101" s="9" t="str">
        <f>"54112023062516104663188"</f>
        <v>54112023062516104663188</v>
      </c>
      <c r="C2101" s="9" t="s">
        <v>22</v>
      </c>
      <c r="D2101" s="9" t="str">
        <f>"吴梅秋"</f>
        <v>吴梅秋</v>
      </c>
    </row>
    <row r="2102" spans="1:4" ht="34.5" customHeight="1">
      <c r="A2102" s="8">
        <v>2100</v>
      </c>
      <c r="B2102" s="9" t="str">
        <f>"54112023062516564163411"</f>
        <v>54112023062516564163411</v>
      </c>
      <c r="C2102" s="9" t="s">
        <v>22</v>
      </c>
      <c r="D2102" s="9" t="str">
        <f>"邱世伍"</f>
        <v>邱世伍</v>
      </c>
    </row>
    <row r="2103" spans="1:4" ht="34.5" customHeight="1">
      <c r="A2103" s="8">
        <v>2101</v>
      </c>
      <c r="B2103" s="9" t="str">
        <f>"54112023062516531263392"</f>
        <v>54112023062516531263392</v>
      </c>
      <c r="C2103" s="9" t="s">
        <v>22</v>
      </c>
      <c r="D2103" s="9" t="str">
        <f>"黄英姿"</f>
        <v>黄英姿</v>
      </c>
    </row>
    <row r="2104" spans="1:4" ht="34.5" customHeight="1">
      <c r="A2104" s="8">
        <v>2102</v>
      </c>
      <c r="B2104" s="9" t="str">
        <f>"54112023062519474264053"</f>
        <v>54112023062519474264053</v>
      </c>
      <c r="C2104" s="9" t="s">
        <v>22</v>
      </c>
      <c r="D2104" s="9" t="str">
        <f>"杨成蝶"</f>
        <v>杨成蝶</v>
      </c>
    </row>
    <row r="2105" spans="1:4" ht="34.5" customHeight="1">
      <c r="A2105" s="8">
        <v>2103</v>
      </c>
      <c r="B2105" s="9" t="str">
        <f>"54112023062520160064169"</f>
        <v>54112023062520160064169</v>
      </c>
      <c r="C2105" s="9" t="s">
        <v>22</v>
      </c>
      <c r="D2105" s="9" t="str">
        <f>"冯华"</f>
        <v>冯华</v>
      </c>
    </row>
    <row r="2106" spans="1:4" ht="34.5" customHeight="1">
      <c r="A2106" s="8">
        <v>2104</v>
      </c>
      <c r="B2106" s="9" t="str">
        <f>"54112023062521253264513"</f>
        <v>54112023062521253264513</v>
      </c>
      <c r="C2106" s="9" t="s">
        <v>22</v>
      </c>
      <c r="D2106" s="9" t="str">
        <f>"冯丽娟"</f>
        <v>冯丽娟</v>
      </c>
    </row>
    <row r="2107" spans="1:4" ht="34.5" customHeight="1">
      <c r="A2107" s="8">
        <v>2105</v>
      </c>
      <c r="B2107" s="9" t="str">
        <f>"54112023062522593864906"</f>
        <v>54112023062522593864906</v>
      </c>
      <c r="C2107" s="9" t="s">
        <v>22</v>
      </c>
      <c r="D2107" s="9" t="str">
        <f>"何文文"</f>
        <v>何文文</v>
      </c>
    </row>
    <row r="2108" spans="1:4" ht="34.5" customHeight="1">
      <c r="A2108" s="8">
        <v>2106</v>
      </c>
      <c r="B2108" s="9" t="str">
        <f>"54112023062608004065286"</f>
        <v>54112023062608004065286</v>
      </c>
      <c r="C2108" s="9" t="s">
        <v>22</v>
      </c>
      <c r="D2108" s="9" t="str">
        <f>"温莉"</f>
        <v>温莉</v>
      </c>
    </row>
    <row r="2109" spans="1:4" ht="34.5" customHeight="1">
      <c r="A2109" s="8">
        <v>2107</v>
      </c>
      <c r="B2109" s="9" t="str">
        <f>"54112023062515265762912"</f>
        <v>54112023062515265762912</v>
      </c>
      <c r="C2109" s="9" t="s">
        <v>22</v>
      </c>
      <c r="D2109" s="9" t="str">
        <f>"殷艳雅"</f>
        <v>殷艳雅</v>
      </c>
    </row>
    <row r="2110" spans="1:4" ht="34.5" customHeight="1">
      <c r="A2110" s="8">
        <v>2108</v>
      </c>
      <c r="B2110" s="9" t="str">
        <f>"54112023062611443967935"</f>
        <v>54112023062611443967935</v>
      </c>
      <c r="C2110" s="9" t="s">
        <v>22</v>
      </c>
      <c r="D2110" s="9" t="str">
        <f>"林小凤"</f>
        <v>林小凤</v>
      </c>
    </row>
    <row r="2111" spans="1:4" ht="34.5" customHeight="1">
      <c r="A2111" s="8">
        <v>2109</v>
      </c>
      <c r="B2111" s="9" t="str">
        <f>"54112023062518453063822"</f>
        <v>54112023062518453063822</v>
      </c>
      <c r="C2111" s="9" t="s">
        <v>22</v>
      </c>
      <c r="D2111" s="9" t="str">
        <f>"彭梦茹"</f>
        <v>彭梦茹</v>
      </c>
    </row>
    <row r="2112" spans="1:4" ht="34.5" customHeight="1">
      <c r="A2112" s="8">
        <v>2110</v>
      </c>
      <c r="B2112" s="9" t="str">
        <f>"54112023062616151069609"</f>
        <v>54112023062616151069609</v>
      </c>
      <c r="C2112" s="9" t="s">
        <v>22</v>
      </c>
      <c r="D2112" s="9" t="str">
        <f>"李双灼"</f>
        <v>李双灼</v>
      </c>
    </row>
    <row r="2113" spans="1:4" ht="34.5" customHeight="1">
      <c r="A2113" s="8">
        <v>2111</v>
      </c>
      <c r="B2113" s="9" t="str">
        <f>"54112023062616274469693"</f>
        <v>54112023062616274469693</v>
      </c>
      <c r="C2113" s="9" t="s">
        <v>22</v>
      </c>
      <c r="D2113" s="9" t="str">
        <f>"羊彩梦"</f>
        <v>羊彩梦</v>
      </c>
    </row>
    <row r="2114" spans="1:4" ht="34.5" customHeight="1">
      <c r="A2114" s="8">
        <v>2112</v>
      </c>
      <c r="B2114" s="9" t="str">
        <f>"54112023062619340170658"</f>
        <v>54112023062619340170658</v>
      </c>
      <c r="C2114" s="9" t="s">
        <v>22</v>
      </c>
      <c r="D2114" s="9" t="str">
        <f>"吴紫红"</f>
        <v>吴紫红</v>
      </c>
    </row>
    <row r="2115" spans="1:4" ht="34.5" customHeight="1">
      <c r="A2115" s="8">
        <v>2113</v>
      </c>
      <c r="B2115" s="9" t="str">
        <f>"54112023062620442970996"</f>
        <v>54112023062620442970996</v>
      </c>
      <c r="C2115" s="9" t="s">
        <v>22</v>
      </c>
      <c r="D2115" s="9" t="str">
        <f>"马敏敏"</f>
        <v>马敏敏</v>
      </c>
    </row>
    <row r="2116" spans="1:4" ht="34.5" customHeight="1">
      <c r="A2116" s="8">
        <v>2114</v>
      </c>
      <c r="B2116" s="9" t="str">
        <f>"54112023062623103071676"</f>
        <v>54112023062623103071676</v>
      </c>
      <c r="C2116" s="9" t="s">
        <v>22</v>
      </c>
      <c r="D2116" s="9" t="str">
        <f>"陆小云"</f>
        <v>陆小云</v>
      </c>
    </row>
    <row r="2117" spans="1:4" ht="34.5" customHeight="1">
      <c r="A2117" s="8">
        <v>2115</v>
      </c>
      <c r="B2117" s="9" t="str">
        <f>"54112023062623532371780"</f>
        <v>54112023062623532371780</v>
      </c>
      <c r="C2117" s="9" t="s">
        <v>22</v>
      </c>
      <c r="D2117" s="9" t="str">
        <f>"张美玲"</f>
        <v>张美玲</v>
      </c>
    </row>
    <row r="2118" spans="1:4" ht="34.5" customHeight="1">
      <c r="A2118" s="8">
        <v>2116</v>
      </c>
      <c r="B2118" s="9" t="str">
        <f>"54112023062710125672672"</f>
        <v>54112023062710125672672</v>
      </c>
      <c r="C2118" s="9" t="s">
        <v>22</v>
      </c>
      <c r="D2118" s="9" t="str">
        <f>"冼心雅"</f>
        <v>冼心雅</v>
      </c>
    </row>
    <row r="2119" spans="1:4" ht="34.5" customHeight="1">
      <c r="A2119" s="8">
        <v>2117</v>
      </c>
      <c r="B2119" s="9" t="str">
        <f>"54112023062710494573202"</f>
        <v>54112023062710494573202</v>
      </c>
      <c r="C2119" s="9" t="s">
        <v>22</v>
      </c>
      <c r="D2119" s="9" t="str">
        <f>"温芳艳"</f>
        <v>温芳艳</v>
      </c>
    </row>
    <row r="2120" spans="1:4" ht="34.5" customHeight="1">
      <c r="A2120" s="8">
        <v>2118</v>
      </c>
      <c r="B2120" s="9" t="str">
        <f>"54112023062710563273234"</f>
        <v>54112023062710563273234</v>
      </c>
      <c r="C2120" s="9" t="s">
        <v>22</v>
      </c>
      <c r="D2120" s="9" t="str">
        <f>"冯淑钰"</f>
        <v>冯淑钰</v>
      </c>
    </row>
    <row r="2121" spans="1:4" ht="34.5" customHeight="1">
      <c r="A2121" s="8">
        <v>2119</v>
      </c>
      <c r="B2121" s="9" t="str">
        <f>"54112023062714064973902"</f>
        <v>54112023062714064973902</v>
      </c>
      <c r="C2121" s="9" t="s">
        <v>22</v>
      </c>
      <c r="D2121" s="9" t="str">
        <f>"周小玲"</f>
        <v>周小玲</v>
      </c>
    </row>
    <row r="2122" spans="1:4" ht="34.5" customHeight="1">
      <c r="A2122" s="8">
        <v>2120</v>
      </c>
      <c r="B2122" s="9" t="str">
        <f>"54112023062514541262683"</f>
        <v>54112023062514541262683</v>
      </c>
      <c r="C2122" s="9" t="s">
        <v>22</v>
      </c>
      <c r="D2122" s="9" t="str">
        <f>"谢文妃"</f>
        <v>谢文妃</v>
      </c>
    </row>
    <row r="2123" spans="1:4" ht="34.5" customHeight="1">
      <c r="A2123" s="8">
        <v>2121</v>
      </c>
      <c r="B2123" s="9" t="str">
        <f>"54112023062812043177670"</f>
        <v>54112023062812043177670</v>
      </c>
      <c r="C2123" s="9" t="s">
        <v>22</v>
      </c>
      <c r="D2123" s="9" t="str">
        <f>"陈丽晶"</f>
        <v>陈丽晶</v>
      </c>
    </row>
    <row r="2124" spans="1:4" ht="34.5" customHeight="1">
      <c r="A2124" s="8">
        <v>2122</v>
      </c>
      <c r="B2124" s="9" t="str">
        <f>"54112023062815353078495"</f>
        <v>54112023062815353078495</v>
      </c>
      <c r="C2124" s="9" t="s">
        <v>22</v>
      </c>
      <c r="D2124" s="9" t="str">
        <f>"苏寒"</f>
        <v>苏寒</v>
      </c>
    </row>
    <row r="2125" spans="1:4" ht="34.5" customHeight="1">
      <c r="A2125" s="8">
        <v>2123</v>
      </c>
      <c r="B2125" s="9" t="str">
        <f>"54112023062815592778624"</f>
        <v>54112023062815592778624</v>
      </c>
      <c r="C2125" s="9" t="s">
        <v>22</v>
      </c>
      <c r="D2125" s="9" t="str">
        <f>"黄少"</f>
        <v>黄少</v>
      </c>
    </row>
    <row r="2126" spans="1:4" ht="34.5" customHeight="1">
      <c r="A2126" s="8">
        <v>2124</v>
      </c>
      <c r="B2126" s="9" t="str">
        <f>"54112023062810391977233"</f>
        <v>54112023062810391977233</v>
      </c>
      <c r="C2126" s="9" t="s">
        <v>22</v>
      </c>
      <c r="D2126" s="9" t="str">
        <f>"岑诗琦"</f>
        <v>岑诗琦</v>
      </c>
    </row>
    <row r="2127" spans="1:4" ht="34.5" customHeight="1">
      <c r="A2127" s="8">
        <v>2125</v>
      </c>
      <c r="B2127" s="9" t="str">
        <f>"54112023062909465881192"</f>
        <v>54112023062909465881192</v>
      </c>
      <c r="C2127" s="9" t="s">
        <v>22</v>
      </c>
      <c r="D2127" s="9" t="str">
        <f>"王瑞丽"</f>
        <v>王瑞丽</v>
      </c>
    </row>
    <row r="2128" spans="1:4" ht="34.5" customHeight="1">
      <c r="A2128" s="8">
        <v>2126</v>
      </c>
      <c r="B2128" s="9" t="str">
        <f>"54112023062911015881928"</f>
        <v>54112023062911015881928</v>
      </c>
      <c r="C2128" s="9" t="s">
        <v>22</v>
      </c>
      <c r="D2128" s="9" t="str">
        <f>"张超"</f>
        <v>张超</v>
      </c>
    </row>
    <row r="2129" spans="1:4" ht="34.5" customHeight="1">
      <c r="A2129" s="8">
        <v>2127</v>
      </c>
      <c r="B2129" s="9" t="str">
        <f>"54112023062911253082103"</f>
        <v>54112023062911253082103</v>
      </c>
      <c r="C2129" s="9" t="s">
        <v>22</v>
      </c>
      <c r="D2129" s="9" t="str">
        <f>"李德聪"</f>
        <v>李德聪</v>
      </c>
    </row>
    <row r="2130" spans="1:4" ht="34.5" customHeight="1">
      <c r="A2130" s="8">
        <v>2128</v>
      </c>
      <c r="B2130" s="9" t="str">
        <f>"54112023062623394271751"</f>
        <v>54112023062623394271751</v>
      </c>
      <c r="C2130" s="9" t="s">
        <v>22</v>
      </c>
      <c r="D2130" s="9" t="str">
        <f>"陈裕娴"</f>
        <v>陈裕娴</v>
      </c>
    </row>
    <row r="2131" spans="1:4" ht="34.5" customHeight="1">
      <c r="A2131" s="8">
        <v>2129</v>
      </c>
      <c r="B2131" s="9" t="str">
        <f>"54112023062718090475260"</f>
        <v>54112023062718090475260</v>
      </c>
      <c r="C2131" s="9" t="s">
        <v>22</v>
      </c>
      <c r="D2131" s="9" t="str">
        <f>"何慧敏"</f>
        <v>何慧敏</v>
      </c>
    </row>
    <row r="2132" spans="1:4" ht="34.5" customHeight="1">
      <c r="A2132" s="8">
        <v>2130</v>
      </c>
      <c r="B2132" s="9" t="str">
        <f>"54112023063017151289981"</f>
        <v>54112023063017151289981</v>
      </c>
      <c r="C2132" s="9" t="s">
        <v>22</v>
      </c>
      <c r="D2132" s="9" t="str">
        <f>"张为"</f>
        <v>张为</v>
      </c>
    </row>
    <row r="2133" spans="1:4" ht="34.5" customHeight="1">
      <c r="A2133" s="8">
        <v>2131</v>
      </c>
      <c r="B2133" s="9" t="str">
        <f>"54112023063018450590199"</f>
        <v>54112023063018450590199</v>
      </c>
      <c r="C2133" s="9" t="s">
        <v>22</v>
      </c>
      <c r="D2133" s="9" t="str">
        <f>"林梦雨"</f>
        <v>林梦雨</v>
      </c>
    </row>
    <row r="2134" spans="1:4" ht="34.5" customHeight="1">
      <c r="A2134" s="8">
        <v>2132</v>
      </c>
      <c r="B2134" s="9" t="str">
        <f>"54112023063020541090418"</f>
        <v>54112023063020541090418</v>
      </c>
      <c r="C2134" s="9" t="s">
        <v>22</v>
      </c>
      <c r="D2134" s="9" t="str">
        <f>"符小丽"</f>
        <v>符小丽</v>
      </c>
    </row>
    <row r="2135" spans="1:4" ht="34.5" customHeight="1">
      <c r="A2135" s="8">
        <v>2133</v>
      </c>
      <c r="B2135" s="9" t="str">
        <f>"54112023070120560592366"</f>
        <v>54112023070120560592366</v>
      </c>
      <c r="C2135" s="9" t="s">
        <v>22</v>
      </c>
      <c r="D2135" s="9" t="str">
        <f>"邓奇英"</f>
        <v>邓奇英</v>
      </c>
    </row>
    <row r="2136" spans="1:4" ht="34.5" customHeight="1">
      <c r="A2136" s="8">
        <v>2134</v>
      </c>
      <c r="B2136" s="9" t="str">
        <f>"54112023062900364980368"</f>
        <v>54112023062900364980368</v>
      </c>
      <c r="C2136" s="9" t="s">
        <v>22</v>
      </c>
      <c r="D2136" s="9" t="str">
        <f>"莫小凤"</f>
        <v>莫小凤</v>
      </c>
    </row>
    <row r="2137" spans="1:4" ht="34.5" customHeight="1">
      <c r="A2137" s="8">
        <v>2135</v>
      </c>
      <c r="B2137" s="9" t="str">
        <f>"54112023070215143293892"</f>
        <v>54112023070215143293892</v>
      </c>
      <c r="C2137" s="9" t="s">
        <v>22</v>
      </c>
      <c r="D2137" s="9" t="str">
        <f>"唐宝琴"</f>
        <v>唐宝琴</v>
      </c>
    </row>
    <row r="2138" spans="1:4" ht="34.5" customHeight="1">
      <c r="A2138" s="8">
        <v>2136</v>
      </c>
      <c r="B2138" s="9" t="str">
        <f>"54112023070220032494524"</f>
        <v>54112023070220032494524</v>
      </c>
      <c r="C2138" s="9" t="s">
        <v>22</v>
      </c>
      <c r="D2138" s="9" t="str">
        <f>"唐华雨"</f>
        <v>唐华雨</v>
      </c>
    </row>
    <row r="2139" spans="1:4" ht="34.5" customHeight="1">
      <c r="A2139" s="8">
        <v>2137</v>
      </c>
      <c r="B2139" s="9" t="str">
        <f>"54112023070301542295202"</f>
        <v>54112023070301542295202</v>
      </c>
      <c r="C2139" s="9" t="s">
        <v>22</v>
      </c>
      <c r="D2139" s="9" t="str">
        <f>"罗千玲"</f>
        <v>罗千玲</v>
      </c>
    </row>
    <row r="2140" spans="1:4" ht="34.5" customHeight="1">
      <c r="A2140" s="8">
        <v>2138</v>
      </c>
      <c r="B2140" s="9" t="str">
        <f>"54112023062708115271987"</f>
        <v>54112023062708115271987</v>
      </c>
      <c r="C2140" s="9" t="s">
        <v>22</v>
      </c>
      <c r="D2140" s="9" t="str">
        <f>"张君苑"</f>
        <v>张君苑</v>
      </c>
    </row>
    <row r="2141" spans="1:4" ht="34.5" customHeight="1">
      <c r="A2141" s="8">
        <v>2139</v>
      </c>
      <c r="B2141" s="9" t="str">
        <f>"54112023062617261670077"</f>
        <v>54112023062617261670077</v>
      </c>
      <c r="C2141" s="9" t="s">
        <v>22</v>
      </c>
      <c r="D2141" s="9" t="str">
        <f>"许婷瑾"</f>
        <v>许婷瑾</v>
      </c>
    </row>
    <row r="2142" spans="1:4" ht="34.5" customHeight="1">
      <c r="A2142" s="8">
        <v>2140</v>
      </c>
      <c r="B2142" s="9" t="str">
        <f>"54112023070308400495362"</f>
        <v>54112023070308400495362</v>
      </c>
      <c r="C2142" s="9" t="s">
        <v>22</v>
      </c>
      <c r="D2142" s="9" t="str">
        <f>"夏李慧"</f>
        <v>夏李慧</v>
      </c>
    </row>
    <row r="2143" spans="1:4" ht="34.5" customHeight="1">
      <c r="A2143" s="8">
        <v>2141</v>
      </c>
      <c r="B2143" s="9" t="str">
        <f>"54112023070308535295403"</f>
        <v>54112023070308535295403</v>
      </c>
      <c r="C2143" s="9" t="s">
        <v>22</v>
      </c>
      <c r="D2143" s="9" t="str">
        <f>"苏滢源"</f>
        <v>苏滢源</v>
      </c>
    </row>
    <row r="2144" spans="1:4" ht="34.5" customHeight="1">
      <c r="A2144" s="8">
        <v>2142</v>
      </c>
      <c r="B2144" s="9" t="str">
        <f>"54112023062710464573185"</f>
        <v>54112023062710464573185</v>
      </c>
      <c r="C2144" s="9" t="s">
        <v>22</v>
      </c>
      <c r="D2144" s="9" t="str">
        <f>"罗佳灵"</f>
        <v>罗佳灵</v>
      </c>
    </row>
    <row r="2145" spans="1:4" ht="34.5" customHeight="1">
      <c r="A2145" s="8">
        <v>2143</v>
      </c>
      <c r="B2145" s="9" t="str">
        <f>"54112023070313263397388"</f>
        <v>54112023070313263397388</v>
      </c>
      <c r="C2145" s="9" t="s">
        <v>22</v>
      </c>
      <c r="D2145" s="9" t="str">
        <f>"陈慧鹏"</f>
        <v>陈慧鹏</v>
      </c>
    </row>
    <row r="2146" spans="1:4" ht="34.5" customHeight="1">
      <c r="A2146" s="8">
        <v>2144</v>
      </c>
      <c r="B2146" s="9" t="str">
        <f>"54112023070314521897735"</f>
        <v>54112023070314521897735</v>
      </c>
      <c r="C2146" s="9" t="s">
        <v>22</v>
      </c>
      <c r="D2146" s="9" t="str">
        <f>"陈云娜"</f>
        <v>陈云娜</v>
      </c>
    </row>
    <row r="2147" spans="1:4" ht="34.5" customHeight="1">
      <c r="A2147" s="8">
        <v>2145</v>
      </c>
      <c r="B2147" s="9" t="str">
        <f>"54112023070216390994113"</f>
        <v>54112023070216390994113</v>
      </c>
      <c r="C2147" s="9" t="s">
        <v>22</v>
      </c>
      <c r="D2147" s="9" t="str">
        <f>"蓝平"</f>
        <v>蓝平</v>
      </c>
    </row>
    <row r="2148" spans="1:4" ht="34.5" customHeight="1">
      <c r="A2148" s="8">
        <v>2146</v>
      </c>
      <c r="B2148" s="9" t="str">
        <f>"54112023070316073898208"</f>
        <v>54112023070316073898208</v>
      </c>
      <c r="C2148" s="9" t="s">
        <v>22</v>
      </c>
      <c r="D2148" s="9" t="str">
        <f>"周晓红"</f>
        <v>周晓红</v>
      </c>
    </row>
    <row r="2149" spans="1:4" ht="34.5" customHeight="1">
      <c r="A2149" s="8">
        <v>2147</v>
      </c>
      <c r="B2149" s="9" t="str">
        <f>"54112023070316145798254"</f>
        <v>54112023070316145798254</v>
      </c>
      <c r="C2149" s="9" t="s">
        <v>22</v>
      </c>
      <c r="D2149" s="9" t="str">
        <f>"吴广斌"</f>
        <v>吴广斌</v>
      </c>
    </row>
    <row r="2150" spans="1:4" ht="34.5" customHeight="1">
      <c r="A2150" s="8">
        <v>2148</v>
      </c>
      <c r="B2150" s="9" t="str">
        <f>"54112023062716193074446"</f>
        <v>54112023062716193074446</v>
      </c>
      <c r="C2150" s="9" t="s">
        <v>22</v>
      </c>
      <c r="D2150" s="9" t="str">
        <f>"云艳苗"</f>
        <v>云艳苗</v>
      </c>
    </row>
    <row r="2151" spans="1:4" ht="34.5" customHeight="1">
      <c r="A2151" s="8">
        <v>2149</v>
      </c>
      <c r="B2151" s="9" t="str">
        <f>"54112023070320493699474"</f>
        <v>54112023070320493699474</v>
      </c>
      <c r="C2151" s="9" t="s">
        <v>22</v>
      </c>
      <c r="D2151" s="9" t="str">
        <f>"刘语嫣"</f>
        <v>刘语嫣</v>
      </c>
    </row>
    <row r="2152" spans="1:4" ht="34.5" customHeight="1">
      <c r="A2152" s="8">
        <v>2150</v>
      </c>
      <c r="B2152" s="9" t="str">
        <f>"54112023070321360199727"</f>
        <v>54112023070321360199727</v>
      </c>
      <c r="C2152" s="9" t="s">
        <v>22</v>
      </c>
      <c r="D2152" s="9" t="str">
        <f>"苏文静"</f>
        <v>苏文静</v>
      </c>
    </row>
    <row r="2153" spans="1:4" ht="34.5" customHeight="1">
      <c r="A2153" s="8">
        <v>2151</v>
      </c>
      <c r="B2153" s="9" t="str">
        <f>"541120230703224941100066"</f>
        <v>541120230703224941100066</v>
      </c>
      <c r="C2153" s="9" t="s">
        <v>22</v>
      </c>
      <c r="D2153" s="9" t="str">
        <f>"周圣艳"</f>
        <v>周圣艳</v>
      </c>
    </row>
    <row r="2154" spans="1:4" ht="34.5" customHeight="1">
      <c r="A2154" s="8">
        <v>2152</v>
      </c>
      <c r="B2154" s="9" t="str">
        <f>"541120230703235957100276"</f>
        <v>541120230703235957100276</v>
      </c>
      <c r="C2154" s="9" t="s">
        <v>22</v>
      </c>
      <c r="D2154" s="9" t="str">
        <f>"何秀莉"</f>
        <v>何秀莉</v>
      </c>
    </row>
    <row r="2155" spans="1:4" ht="34.5" customHeight="1">
      <c r="A2155" s="8">
        <v>2153</v>
      </c>
      <c r="B2155" s="9" t="str">
        <f>"54112023062517000563427"</f>
        <v>54112023062517000563427</v>
      </c>
      <c r="C2155" s="9" t="s">
        <v>22</v>
      </c>
      <c r="D2155" s="9" t="str">
        <f>"田雯"</f>
        <v>田雯</v>
      </c>
    </row>
    <row r="2156" spans="1:4" ht="34.5" customHeight="1">
      <c r="A2156" s="8">
        <v>2154</v>
      </c>
      <c r="B2156" s="9" t="str">
        <f>"541120230704084006100627"</f>
        <v>541120230704084006100627</v>
      </c>
      <c r="C2156" s="9" t="s">
        <v>22</v>
      </c>
      <c r="D2156" s="9" t="str">
        <f>"梁静洁"</f>
        <v>梁静洁</v>
      </c>
    </row>
    <row r="2157" spans="1:4" ht="34.5" customHeight="1">
      <c r="A2157" s="8">
        <v>2155</v>
      </c>
      <c r="B2157" s="9" t="str">
        <f>"54112023062713363073829"</f>
        <v>54112023062713363073829</v>
      </c>
      <c r="C2157" s="9" t="s">
        <v>22</v>
      </c>
      <c r="D2157" s="9" t="str">
        <f>"甘昌坍"</f>
        <v>甘昌坍</v>
      </c>
    </row>
    <row r="2158" spans="1:4" ht="34.5" customHeight="1">
      <c r="A2158" s="8">
        <v>2156</v>
      </c>
      <c r="B2158" s="9" t="str">
        <f>"541120230704104817101264"</f>
        <v>541120230704104817101264</v>
      </c>
      <c r="C2158" s="9" t="s">
        <v>22</v>
      </c>
      <c r="D2158" s="9" t="str">
        <f>"王梅灵"</f>
        <v>王梅灵</v>
      </c>
    </row>
    <row r="2159" spans="1:4" ht="34.5" customHeight="1">
      <c r="A2159" s="8">
        <v>2157</v>
      </c>
      <c r="B2159" s="9" t="str">
        <f>"54112023062509002459766"</f>
        <v>54112023062509002459766</v>
      </c>
      <c r="C2159" s="9" t="s">
        <v>23</v>
      </c>
      <c r="D2159" s="9" t="str">
        <f>"王梦茹"</f>
        <v>王梦茹</v>
      </c>
    </row>
    <row r="2160" spans="1:4" ht="34.5" customHeight="1">
      <c r="A2160" s="8">
        <v>2158</v>
      </c>
      <c r="B2160" s="9" t="str">
        <f>"54112023062517294663565"</f>
        <v>54112023062517294663565</v>
      </c>
      <c r="C2160" s="9" t="s">
        <v>23</v>
      </c>
      <c r="D2160" s="9" t="str">
        <f>"麦海殷"</f>
        <v>麦海殷</v>
      </c>
    </row>
    <row r="2161" spans="1:4" ht="34.5" customHeight="1">
      <c r="A2161" s="8">
        <v>2159</v>
      </c>
      <c r="B2161" s="9" t="str">
        <f>"54112023062518240863747"</f>
        <v>54112023062518240863747</v>
      </c>
      <c r="C2161" s="9" t="s">
        <v>23</v>
      </c>
      <c r="D2161" s="9" t="str">
        <f>"蔡阳"</f>
        <v>蔡阳</v>
      </c>
    </row>
    <row r="2162" spans="1:4" ht="34.5" customHeight="1">
      <c r="A2162" s="8">
        <v>2160</v>
      </c>
      <c r="B2162" s="9" t="str">
        <f>"54112023062516525963390"</f>
        <v>54112023062516525963390</v>
      </c>
      <c r="C2162" s="9" t="s">
        <v>23</v>
      </c>
      <c r="D2162" s="9" t="str">
        <f>"徐海"</f>
        <v>徐海</v>
      </c>
    </row>
    <row r="2163" spans="1:4" ht="34.5" customHeight="1">
      <c r="A2163" s="8">
        <v>2161</v>
      </c>
      <c r="B2163" s="9" t="str">
        <f>"54112023062617073469967"</f>
        <v>54112023062617073469967</v>
      </c>
      <c r="C2163" s="9" t="s">
        <v>23</v>
      </c>
      <c r="D2163" s="9" t="str">
        <f>"冯秋梅"</f>
        <v>冯秋梅</v>
      </c>
    </row>
    <row r="2164" spans="1:4" ht="34.5" customHeight="1">
      <c r="A2164" s="8">
        <v>2162</v>
      </c>
      <c r="B2164" s="9" t="str">
        <f>"54112023062611522768014"</f>
        <v>54112023062611522768014</v>
      </c>
      <c r="C2164" s="9" t="s">
        <v>23</v>
      </c>
      <c r="D2164" s="9" t="str">
        <f>"王美芳"</f>
        <v>王美芳</v>
      </c>
    </row>
    <row r="2165" spans="1:4" ht="34.5" customHeight="1">
      <c r="A2165" s="8">
        <v>2163</v>
      </c>
      <c r="B2165" s="9" t="str">
        <f>"54112023062701050471836"</f>
        <v>54112023062701050471836</v>
      </c>
      <c r="C2165" s="9" t="s">
        <v>23</v>
      </c>
      <c r="D2165" s="9" t="str">
        <f>"吴丽婷"</f>
        <v>吴丽婷</v>
      </c>
    </row>
    <row r="2166" spans="1:4" ht="34.5" customHeight="1">
      <c r="A2166" s="8">
        <v>2164</v>
      </c>
      <c r="B2166" s="9" t="str">
        <f>"54112023062517490163620"</f>
        <v>54112023062517490163620</v>
      </c>
      <c r="C2166" s="9" t="s">
        <v>23</v>
      </c>
      <c r="D2166" s="9" t="str">
        <f>"陈云秀"</f>
        <v>陈云秀</v>
      </c>
    </row>
    <row r="2167" spans="1:4" ht="34.5" customHeight="1">
      <c r="A2167" s="8">
        <v>2165</v>
      </c>
      <c r="B2167" s="9" t="str">
        <f>"54112023062710413373145"</f>
        <v>54112023062710413373145</v>
      </c>
      <c r="C2167" s="9" t="s">
        <v>23</v>
      </c>
      <c r="D2167" s="9" t="str">
        <f>"洪利吉"</f>
        <v>洪利吉</v>
      </c>
    </row>
    <row r="2168" spans="1:4" ht="34.5" customHeight="1">
      <c r="A2168" s="8">
        <v>2166</v>
      </c>
      <c r="B2168" s="9" t="str">
        <f>"54112023062721022675830"</f>
        <v>54112023062721022675830</v>
      </c>
      <c r="C2168" s="9" t="s">
        <v>23</v>
      </c>
      <c r="D2168" s="9" t="str">
        <f>"江亚茹"</f>
        <v>江亚茹</v>
      </c>
    </row>
    <row r="2169" spans="1:4" ht="34.5" customHeight="1">
      <c r="A2169" s="8">
        <v>2167</v>
      </c>
      <c r="B2169" s="9" t="str">
        <f>"54112023062810304677186"</f>
        <v>54112023062810304677186</v>
      </c>
      <c r="C2169" s="9" t="s">
        <v>23</v>
      </c>
      <c r="D2169" s="9" t="str">
        <f>"李道思"</f>
        <v>李道思</v>
      </c>
    </row>
    <row r="2170" spans="1:4" ht="34.5" customHeight="1">
      <c r="A2170" s="8">
        <v>2168</v>
      </c>
      <c r="B2170" s="9" t="str">
        <f>"54112023062819395779419"</f>
        <v>54112023062819395779419</v>
      </c>
      <c r="C2170" s="9" t="s">
        <v>23</v>
      </c>
      <c r="D2170" s="9" t="str">
        <f>"吕杰"</f>
        <v>吕杰</v>
      </c>
    </row>
    <row r="2171" spans="1:4" ht="34.5" customHeight="1">
      <c r="A2171" s="8">
        <v>2169</v>
      </c>
      <c r="B2171" s="9" t="str">
        <f>"54112023062518424163810"</f>
        <v>54112023062518424163810</v>
      </c>
      <c r="C2171" s="9" t="s">
        <v>23</v>
      </c>
      <c r="D2171" s="9" t="str">
        <f>"刘咏"</f>
        <v>刘咏</v>
      </c>
    </row>
    <row r="2172" spans="1:4" ht="34.5" customHeight="1">
      <c r="A2172" s="8">
        <v>2170</v>
      </c>
      <c r="B2172" s="9" t="str">
        <f>"54112023062912292582509"</f>
        <v>54112023062912292582509</v>
      </c>
      <c r="C2172" s="9" t="s">
        <v>23</v>
      </c>
      <c r="D2172" s="9" t="str">
        <f>"陈大进"</f>
        <v>陈大进</v>
      </c>
    </row>
    <row r="2173" spans="1:4" ht="34.5" customHeight="1">
      <c r="A2173" s="8">
        <v>2171</v>
      </c>
      <c r="B2173" s="9" t="str">
        <f>"54112023070117221891923"</f>
        <v>54112023070117221891923</v>
      </c>
      <c r="C2173" s="9" t="s">
        <v>23</v>
      </c>
      <c r="D2173" s="9" t="str">
        <f>"陈德良"</f>
        <v>陈德良</v>
      </c>
    </row>
    <row r="2174" spans="1:4" ht="34.5" customHeight="1">
      <c r="A2174" s="8">
        <v>2172</v>
      </c>
      <c r="B2174" s="9" t="str">
        <f>"54112023070315052997819"</f>
        <v>54112023070315052997819</v>
      </c>
      <c r="C2174" s="9" t="s">
        <v>23</v>
      </c>
      <c r="D2174" s="9" t="str">
        <f>"吴庭解"</f>
        <v>吴庭解</v>
      </c>
    </row>
    <row r="2175" spans="1:4" ht="34.5" customHeight="1">
      <c r="A2175" s="8">
        <v>2173</v>
      </c>
      <c r="B2175" s="9" t="str">
        <f>"54112023070314524297741"</f>
        <v>54112023070314524297741</v>
      </c>
      <c r="C2175" s="9" t="s">
        <v>23</v>
      </c>
      <c r="D2175" s="9" t="str">
        <f>"许美丹"</f>
        <v>许美丹</v>
      </c>
    </row>
    <row r="2176" spans="1:4" ht="34.5" customHeight="1">
      <c r="A2176" s="8">
        <v>2174</v>
      </c>
      <c r="B2176" s="9" t="str">
        <f>"54112023070320271199355"</f>
        <v>54112023070320271199355</v>
      </c>
      <c r="C2176" s="9" t="s">
        <v>23</v>
      </c>
      <c r="D2176" s="9" t="str">
        <f>"周婉容"</f>
        <v>周婉容</v>
      </c>
    </row>
    <row r="2177" spans="1:4" ht="34.5" customHeight="1">
      <c r="A2177" s="8">
        <v>2175</v>
      </c>
      <c r="B2177" s="9" t="str">
        <f>"541120230704001544100316"</f>
        <v>541120230704001544100316</v>
      </c>
      <c r="C2177" s="9" t="s">
        <v>23</v>
      </c>
      <c r="D2177" s="9" t="str">
        <f>"吴健强"</f>
        <v>吴健强</v>
      </c>
    </row>
    <row r="2178" spans="1:4" ht="34.5" customHeight="1">
      <c r="A2178" s="8">
        <v>2176</v>
      </c>
      <c r="B2178" s="9" t="str">
        <f>"541120230704101757101039"</f>
        <v>541120230704101757101039</v>
      </c>
      <c r="C2178" s="9" t="s">
        <v>23</v>
      </c>
      <c r="D2178" s="9" t="str">
        <f>"吴为菊"</f>
        <v>吴为菊</v>
      </c>
    </row>
    <row r="2179" spans="1:4" ht="34.5" customHeight="1">
      <c r="A2179" s="8">
        <v>2177</v>
      </c>
      <c r="B2179" s="9" t="str">
        <f>"541120230704102228101087"</f>
        <v>541120230704102228101087</v>
      </c>
      <c r="C2179" s="9" t="s">
        <v>23</v>
      </c>
      <c r="D2179" s="9" t="str">
        <f>"邓小亮"</f>
        <v>邓小亮</v>
      </c>
    </row>
    <row r="2180" spans="1:4" ht="34.5" customHeight="1">
      <c r="A2180" s="8">
        <v>2178</v>
      </c>
      <c r="B2180" s="9" t="str">
        <f>"54112023062508520759732"</f>
        <v>54112023062508520759732</v>
      </c>
      <c r="C2180" s="9" t="s">
        <v>24</v>
      </c>
      <c r="D2180" s="9" t="str">
        <f>"陈竹兰"</f>
        <v>陈竹兰</v>
      </c>
    </row>
    <row r="2181" spans="1:4" ht="34.5" customHeight="1">
      <c r="A2181" s="8">
        <v>2179</v>
      </c>
      <c r="B2181" s="9" t="str">
        <f>"54112023062509054559832"</f>
        <v>54112023062509054559832</v>
      </c>
      <c r="C2181" s="9" t="s">
        <v>24</v>
      </c>
      <c r="D2181" s="9" t="str">
        <f>"陈毓茨"</f>
        <v>陈毓茨</v>
      </c>
    </row>
    <row r="2182" spans="1:4" ht="34.5" customHeight="1">
      <c r="A2182" s="8">
        <v>2180</v>
      </c>
      <c r="B2182" s="9" t="str">
        <f>"54112023062510303660664"</f>
        <v>54112023062510303660664</v>
      </c>
      <c r="C2182" s="9" t="s">
        <v>24</v>
      </c>
      <c r="D2182" s="9" t="str">
        <f>"胡丽美"</f>
        <v>胡丽美</v>
      </c>
    </row>
    <row r="2183" spans="1:4" ht="34.5" customHeight="1">
      <c r="A2183" s="8">
        <v>2181</v>
      </c>
      <c r="B2183" s="9" t="str">
        <f>"54112023062512524662083"</f>
        <v>54112023062512524662083</v>
      </c>
      <c r="C2183" s="9" t="s">
        <v>24</v>
      </c>
      <c r="D2183" s="9" t="str">
        <f>"段迁迁"</f>
        <v>段迁迁</v>
      </c>
    </row>
    <row r="2184" spans="1:4" ht="34.5" customHeight="1">
      <c r="A2184" s="8">
        <v>2182</v>
      </c>
      <c r="B2184" s="9" t="str">
        <f>"54112023062517490763621"</f>
        <v>54112023062517490763621</v>
      </c>
      <c r="C2184" s="9" t="s">
        <v>24</v>
      </c>
      <c r="D2184" s="9" t="str">
        <f>"柳少敏"</f>
        <v>柳少敏</v>
      </c>
    </row>
    <row r="2185" spans="1:4" ht="34.5" customHeight="1">
      <c r="A2185" s="8">
        <v>2183</v>
      </c>
      <c r="B2185" s="9" t="str">
        <f>"54112023062518575263872"</f>
        <v>54112023062518575263872</v>
      </c>
      <c r="C2185" s="9" t="s">
        <v>24</v>
      </c>
      <c r="D2185" s="9" t="str">
        <f>"黄宝玉"</f>
        <v>黄宝玉</v>
      </c>
    </row>
    <row r="2186" spans="1:4" ht="34.5" customHeight="1">
      <c r="A2186" s="8">
        <v>2184</v>
      </c>
      <c r="B2186" s="9" t="str">
        <f>"54112023062521200564493"</f>
        <v>54112023062521200564493</v>
      </c>
      <c r="C2186" s="9" t="s">
        <v>24</v>
      </c>
      <c r="D2186" s="9" t="str">
        <f>"彭夏芳"</f>
        <v>彭夏芳</v>
      </c>
    </row>
    <row r="2187" spans="1:4" ht="34.5" customHeight="1">
      <c r="A2187" s="8">
        <v>2185</v>
      </c>
      <c r="B2187" s="9" t="str">
        <f>"54112023062523465065031"</f>
        <v>54112023062523465065031</v>
      </c>
      <c r="C2187" s="9" t="s">
        <v>24</v>
      </c>
      <c r="D2187" s="9" t="str">
        <f>"陆小曼"</f>
        <v>陆小曼</v>
      </c>
    </row>
    <row r="2188" spans="1:4" ht="34.5" customHeight="1">
      <c r="A2188" s="8">
        <v>2186</v>
      </c>
      <c r="B2188" s="9" t="str">
        <f>"54112023062608403865390"</f>
        <v>54112023062608403865390</v>
      </c>
      <c r="C2188" s="9" t="s">
        <v>24</v>
      </c>
      <c r="D2188" s="9" t="str">
        <f>"谢继梅"</f>
        <v>谢继梅</v>
      </c>
    </row>
    <row r="2189" spans="1:4" ht="34.5" customHeight="1">
      <c r="A2189" s="8">
        <v>2187</v>
      </c>
      <c r="B2189" s="9" t="str">
        <f>"54112023062609262166033"</f>
        <v>54112023062609262166033</v>
      </c>
      <c r="C2189" s="9" t="s">
        <v>24</v>
      </c>
      <c r="D2189" s="9" t="str">
        <f>"符家贇"</f>
        <v>符家贇</v>
      </c>
    </row>
    <row r="2190" spans="1:4" ht="34.5" customHeight="1">
      <c r="A2190" s="8">
        <v>2188</v>
      </c>
      <c r="B2190" s="9" t="str">
        <f>"54112023062609584766583"</f>
        <v>54112023062609584766583</v>
      </c>
      <c r="C2190" s="9" t="s">
        <v>24</v>
      </c>
      <c r="D2190" s="9" t="str">
        <f>"苏小妹"</f>
        <v>苏小妹</v>
      </c>
    </row>
    <row r="2191" spans="1:4" ht="34.5" customHeight="1">
      <c r="A2191" s="8">
        <v>2189</v>
      </c>
      <c r="B2191" s="9" t="str">
        <f>"54112023062616431369813"</f>
        <v>54112023062616431369813</v>
      </c>
      <c r="C2191" s="9" t="s">
        <v>24</v>
      </c>
      <c r="D2191" s="9" t="str">
        <f>"赵佳欣"</f>
        <v>赵佳欣</v>
      </c>
    </row>
    <row r="2192" spans="1:4" ht="34.5" customHeight="1">
      <c r="A2192" s="8">
        <v>2190</v>
      </c>
      <c r="B2192" s="9" t="str">
        <f>"54112023062617271770088"</f>
        <v>54112023062617271770088</v>
      </c>
      <c r="C2192" s="9" t="s">
        <v>24</v>
      </c>
      <c r="D2192" s="9" t="str">
        <f>"王神月"</f>
        <v>王神月</v>
      </c>
    </row>
    <row r="2193" spans="1:4" ht="34.5" customHeight="1">
      <c r="A2193" s="8">
        <v>2191</v>
      </c>
      <c r="B2193" s="9" t="str">
        <f>"54112023062617274770090"</f>
        <v>54112023062617274770090</v>
      </c>
      <c r="C2193" s="9" t="s">
        <v>24</v>
      </c>
      <c r="D2193" s="9" t="str">
        <f>"张顺新"</f>
        <v>张顺新</v>
      </c>
    </row>
    <row r="2194" spans="1:4" ht="34.5" customHeight="1">
      <c r="A2194" s="8">
        <v>2192</v>
      </c>
      <c r="B2194" s="9" t="str">
        <f>"54112023062618234370358"</f>
        <v>54112023062618234370358</v>
      </c>
      <c r="C2194" s="9" t="s">
        <v>24</v>
      </c>
      <c r="D2194" s="9" t="str">
        <f>"吴健婵"</f>
        <v>吴健婵</v>
      </c>
    </row>
    <row r="2195" spans="1:4" ht="34.5" customHeight="1">
      <c r="A2195" s="8">
        <v>2193</v>
      </c>
      <c r="B2195" s="9" t="str">
        <f>"54112023062620112870821"</f>
        <v>54112023062620112870821</v>
      </c>
      <c r="C2195" s="9" t="s">
        <v>24</v>
      </c>
      <c r="D2195" s="9" t="str">
        <f>"金雅丽"</f>
        <v>金雅丽</v>
      </c>
    </row>
    <row r="2196" spans="1:4" ht="34.5" customHeight="1">
      <c r="A2196" s="8">
        <v>2194</v>
      </c>
      <c r="B2196" s="9" t="str">
        <f>"54112023062617543970213"</f>
        <v>54112023062617543970213</v>
      </c>
      <c r="C2196" s="9" t="s">
        <v>24</v>
      </c>
      <c r="D2196" s="9" t="str">
        <f>"谢慧芬"</f>
        <v>谢慧芬</v>
      </c>
    </row>
    <row r="2197" spans="1:4" ht="34.5" customHeight="1">
      <c r="A2197" s="8">
        <v>2195</v>
      </c>
      <c r="B2197" s="9" t="str">
        <f>"54112023062621592371373"</f>
        <v>54112023062621592371373</v>
      </c>
      <c r="C2197" s="9" t="s">
        <v>24</v>
      </c>
      <c r="D2197" s="9" t="str">
        <f>"孙梦瑶"</f>
        <v>孙梦瑶</v>
      </c>
    </row>
    <row r="2198" spans="1:4" ht="34.5" customHeight="1">
      <c r="A2198" s="8">
        <v>2196</v>
      </c>
      <c r="B2198" s="9" t="str">
        <f>"54112023062622224771489"</f>
        <v>54112023062622224771489</v>
      </c>
      <c r="C2198" s="9" t="s">
        <v>24</v>
      </c>
      <c r="D2198" s="9" t="str">
        <f>"李丽芳"</f>
        <v>李丽芳</v>
      </c>
    </row>
    <row r="2199" spans="1:4" ht="34.5" customHeight="1">
      <c r="A2199" s="8">
        <v>2197</v>
      </c>
      <c r="B2199" s="9" t="str">
        <f>"54112023062510062460470"</f>
        <v>54112023062510062460470</v>
      </c>
      <c r="C2199" s="9" t="s">
        <v>24</v>
      </c>
      <c r="D2199" s="9" t="str">
        <f>"吴谢苗"</f>
        <v>吴谢苗</v>
      </c>
    </row>
    <row r="2200" spans="1:4" ht="34.5" customHeight="1">
      <c r="A2200" s="8">
        <v>2198</v>
      </c>
      <c r="B2200" s="9" t="str">
        <f>"54112023062710221472723"</f>
        <v>54112023062710221472723</v>
      </c>
      <c r="C2200" s="9" t="s">
        <v>24</v>
      </c>
      <c r="D2200" s="9" t="str">
        <f>"郭惠莲"</f>
        <v>郭惠莲</v>
      </c>
    </row>
    <row r="2201" spans="1:4" ht="34.5" customHeight="1">
      <c r="A2201" s="8">
        <v>2199</v>
      </c>
      <c r="B2201" s="9" t="str">
        <f>"54112023062710221272722"</f>
        <v>54112023062710221272722</v>
      </c>
      <c r="C2201" s="9" t="s">
        <v>24</v>
      </c>
      <c r="D2201" s="9" t="str">
        <f>"何若云"</f>
        <v>何若云</v>
      </c>
    </row>
    <row r="2202" spans="1:4" ht="34.5" customHeight="1">
      <c r="A2202" s="8">
        <v>2200</v>
      </c>
      <c r="B2202" s="9" t="str">
        <f>"54112023062610140066808"</f>
        <v>54112023062610140066808</v>
      </c>
      <c r="C2202" s="9" t="s">
        <v>24</v>
      </c>
      <c r="D2202" s="9" t="str">
        <f>"谭秋盈"</f>
        <v>谭秋盈</v>
      </c>
    </row>
    <row r="2203" spans="1:4" ht="34.5" customHeight="1">
      <c r="A2203" s="8">
        <v>2201</v>
      </c>
      <c r="B2203" s="9" t="str">
        <f>"54112023062717400975169"</f>
        <v>54112023062717400975169</v>
      </c>
      <c r="C2203" s="9" t="s">
        <v>24</v>
      </c>
      <c r="D2203" s="9" t="str">
        <f>"苏蓉"</f>
        <v>苏蓉</v>
      </c>
    </row>
    <row r="2204" spans="1:4" ht="34.5" customHeight="1">
      <c r="A2204" s="8">
        <v>2202</v>
      </c>
      <c r="B2204" s="9" t="str">
        <f>"54112023062719453675581"</f>
        <v>54112023062719453675581</v>
      </c>
      <c r="C2204" s="9" t="s">
        <v>24</v>
      </c>
      <c r="D2204" s="9" t="str">
        <f>"李雨娜"</f>
        <v>李雨娜</v>
      </c>
    </row>
    <row r="2205" spans="1:4" ht="34.5" customHeight="1">
      <c r="A2205" s="8">
        <v>2203</v>
      </c>
      <c r="B2205" s="9" t="str">
        <f>"54112023062614125768773"</f>
        <v>54112023062614125768773</v>
      </c>
      <c r="C2205" s="9" t="s">
        <v>24</v>
      </c>
      <c r="D2205" s="9" t="str">
        <f>"李海威"</f>
        <v>李海威</v>
      </c>
    </row>
    <row r="2206" spans="1:4" ht="34.5" customHeight="1">
      <c r="A2206" s="8">
        <v>2204</v>
      </c>
      <c r="B2206" s="9" t="str">
        <f>"54112023062720555375809"</f>
        <v>54112023062720555375809</v>
      </c>
      <c r="C2206" s="9" t="s">
        <v>24</v>
      </c>
      <c r="D2206" s="9" t="str">
        <f>"陈德静"</f>
        <v>陈德静</v>
      </c>
    </row>
    <row r="2207" spans="1:4" ht="34.5" customHeight="1">
      <c r="A2207" s="8">
        <v>2205</v>
      </c>
      <c r="B2207" s="9" t="str">
        <f>"54112023062721091775861"</f>
        <v>54112023062721091775861</v>
      </c>
      <c r="C2207" s="9" t="s">
        <v>24</v>
      </c>
      <c r="D2207" s="9" t="str">
        <f>"陈美璇"</f>
        <v>陈美璇</v>
      </c>
    </row>
    <row r="2208" spans="1:4" ht="34.5" customHeight="1">
      <c r="A2208" s="8">
        <v>2206</v>
      </c>
      <c r="B2208" s="9" t="str">
        <f>"54112023062721580476080"</f>
        <v>54112023062721580476080</v>
      </c>
      <c r="C2208" s="9" t="s">
        <v>24</v>
      </c>
      <c r="D2208" s="9" t="str">
        <f>"林晓瑜"</f>
        <v>林晓瑜</v>
      </c>
    </row>
    <row r="2209" spans="1:4" ht="34.5" customHeight="1">
      <c r="A2209" s="8">
        <v>2207</v>
      </c>
      <c r="B2209" s="9" t="str">
        <f>"54112023062722441276208"</f>
        <v>54112023062722441276208</v>
      </c>
      <c r="C2209" s="9" t="s">
        <v>24</v>
      </c>
      <c r="D2209" s="9" t="str">
        <f>"陈红玉"</f>
        <v>陈红玉</v>
      </c>
    </row>
    <row r="2210" spans="1:4" ht="34.5" customHeight="1">
      <c r="A2210" s="8">
        <v>2208</v>
      </c>
      <c r="B2210" s="9" t="str">
        <f>"54112023062716202074449"</f>
        <v>54112023062716202074449</v>
      </c>
      <c r="C2210" s="9" t="s">
        <v>24</v>
      </c>
      <c r="D2210" s="9" t="str">
        <f>"陈秀玲"</f>
        <v>陈秀玲</v>
      </c>
    </row>
    <row r="2211" spans="1:4" ht="34.5" customHeight="1">
      <c r="A2211" s="8">
        <v>2209</v>
      </c>
      <c r="B2211" s="9" t="str">
        <f>"54112023062621405971289"</f>
        <v>54112023062621405971289</v>
      </c>
      <c r="C2211" s="9" t="s">
        <v>24</v>
      </c>
      <c r="D2211" s="9" t="str">
        <f>"张彩兰"</f>
        <v>张彩兰</v>
      </c>
    </row>
    <row r="2212" spans="1:4" ht="34.5" customHeight="1">
      <c r="A2212" s="8">
        <v>2210</v>
      </c>
      <c r="B2212" s="9" t="str">
        <f>"54112023062808565576675"</f>
        <v>54112023062808565576675</v>
      </c>
      <c r="C2212" s="9" t="s">
        <v>24</v>
      </c>
      <c r="D2212" s="9" t="str">
        <f>"文妃容"</f>
        <v>文妃容</v>
      </c>
    </row>
    <row r="2213" spans="1:4" ht="34.5" customHeight="1">
      <c r="A2213" s="8">
        <v>2211</v>
      </c>
      <c r="B2213" s="9" t="str">
        <f>"54112023062715392874273"</f>
        <v>54112023062715392874273</v>
      </c>
      <c r="C2213" s="9" t="s">
        <v>24</v>
      </c>
      <c r="D2213" s="9" t="str">
        <f>"黄祖贤"</f>
        <v>黄祖贤</v>
      </c>
    </row>
    <row r="2214" spans="1:4" ht="34.5" customHeight="1">
      <c r="A2214" s="8">
        <v>2212</v>
      </c>
      <c r="B2214" s="9" t="str">
        <f>"54112023062810531577328"</f>
        <v>54112023062810531577328</v>
      </c>
      <c r="C2214" s="9" t="s">
        <v>24</v>
      </c>
      <c r="D2214" s="9" t="str">
        <f>"全鑫"</f>
        <v>全鑫</v>
      </c>
    </row>
    <row r="2215" spans="1:4" ht="34.5" customHeight="1">
      <c r="A2215" s="8">
        <v>2213</v>
      </c>
      <c r="B2215" s="9" t="str">
        <f>"54112023062610422067229"</f>
        <v>54112023062610422067229</v>
      </c>
      <c r="C2215" s="9" t="s">
        <v>24</v>
      </c>
      <c r="D2215" s="9" t="str">
        <f>"梁晶晶"</f>
        <v>梁晶晶</v>
      </c>
    </row>
    <row r="2216" spans="1:4" ht="34.5" customHeight="1">
      <c r="A2216" s="8">
        <v>2214</v>
      </c>
      <c r="B2216" s="9" t="str">
        <f>"54112023062815121278376"</f>
        <v>54112023062815121278376</v>
      </c>
      <c r="C2216" s="9" t="s">
        <v>24</v>
      </c>
      <c r="D2216" s="9" t="str">
        <f>"关晶晶"</f>
        <v>关晶晶</v>
      </c>
    </row>
    <row r="2217" spans="1:4" ht="34.5" customHeight="1">
      <c r="A2217" s="8">
        <v>2215</v>
      </c>
      <c r="B2217" s="9" t="str">
        <f>"54112023062817133478946"</f>
        <v>54112023062817133478946</v>
      </c>
      <c r="C2217" s="9" t="s">
        <v>24</v>
      </c>
      <c r="D2217" s="9" t="str">
        <f>"郭玉芬"</f>
        <v>郭玉芬</v>
      </c>
    </row>
    <row r="2218" spans="1:4" ht="34.5" customHeight="1">
      <c r="A2218" s="8">
        <v>2216</v>
      </c>
      <c r="B2218" s="9" t="str">
        <f>"54112023062820435279635"</f>
        <v>54112023062820435279635</v>
      </c>
      <c r="C2218" s="9" t="s">
        <v>24</v>
      </c>
      <c r="D2218" s="9" t="str">
        <f>"何柳女"</f>
        <v>何柳女</v>
      </c>
    </row>
    <row r="2219" spans="1:4" ht="34.5" customHeight="1">
      <c r="A2219" s="8">
        <v>2217</v>
      </c>
      <c r="B2219" s="9" t="str">
        <f>"54112023062517271963557"</f>
        <v>54112023062517271963557</v>
      </c>
      <c r="C2219" s="9" t="s">
        <v>24</v>
      </c>
      <c r="D2219" s="9" t="str">
        <f>"陈海文"</f>
        <v>陈海文</v>
      </c>
    </row>
    <row r="2220" spans="1:4" ht="34.5" customHeight="1">
      <c r="A2220" s="8">
        <v>2218</v>
      </c>
      <c r="B2220" s="9" t="str">
        <f>"54112023062908023580512"</f>
        <v>54112023062908023580512</v>
      </c>
      <c r="C2220" s="9" t="s">
        <v>24</v>
      </c>
      <c r="D2220" s="9" t="str">
        <f>"韩丛璟"</f>
        <v>韩丛璟</v>
      </c>
    </row>
    <row r="2221" spans="1:4" ht="34.5" customHeight="1">
      <c r="A2221" s="8">
        <v>2219</v>
      </c>
      <c r="B2221" s="9" t="str">
        <f>"54112023062909144780886"</f>
        <v>54112023062909144780886</v>
      </c>
      <c r="C2221" s="9" t="s">
        <v>24</v>
      </c>
      <c r="D2221" s="9" t="str">
        <f>"曾红"</f>
        <v>曾红</v>
      </c>
    </row>
    <row r="2222" spans="1:4" ht="34.5" customHeight="1">
      <c r="A2222" s="8">
        <v>2220</v>
      </c>
      <c r="B2222" s="9" t="str">
        <f>"54112023062911582682318"</f>
        <v>54112023062911582682318</v>
      </c>
      <c r="C2222" s="9" t="s">
        <v>24</v>
      </c>
      <c r="D2222" s="9" t="str">
        <f>"吴霄燕"</f>
        <v>吴霄燕</v>
      </c>
    </row>
    <row r="2223" spans="1:4" ht="34.5" customHeight="1">
      <c r="A2223" s="8">
        <v>2221</v>
      </c>
      <c r="B2223" s="9" t="str">
        <f>"54112023062917194984235"</f>
        <v>54112023062917194984235</v>
      </c>
      <c r="C2223" s="9" t="s">
        <v>24</v>
      </c>
      <c r="D2223" s="9" t="str">
        <f>"吴晓雪"</f>
        <v>吴晓雪</v>
      </c>
    </row>
    <row r="2224" spans="1:4" ht="34.5" customHeight="1">
      <c r="A2224" s="8">
        <v>2222</v>
      </c>
      <c r="B2224" s="9" t="str">
        <f>"54112023063010194987513"</f>
        <v>54112023063010194987513</v>
      </c>
      <c r="C2224" s="9" t="s">
        <v>24</v>
      </c>
      <c r="D2224" s="9" t="str">
        <f>"林超"</f>
        <v>林超</v>
      </c>
    </row>
    <row r="2225" spans="1:4" ht="34.5" customHeight="1">
      <c r="A2225" s="8">
        <v>2223</v>
      </c>
      <c r="B2225" s="9" t="str">
        <f>"54112023063011260887984"</f>
        <v>54112023063011260887984</v>
      </c>
      <c r="C2225" s="9" t="s">
        <v>24</v>
      </c>
      <c r="D2225" s="9" t="str">
        <f>"陈欣莹"</f>
        <v>陈欣莹</v>
      </c>
    </row>
    <row r="2226" spans="1:4" ht="34.5" customHeight="1">
      <c r="A2226" s="8">
        <v>2224</v>
      </c>
      <c r="B2226" s="9" t="str">
        <f>"54112023063011494288103"</f>
        <v>54112023063011494288103</v>
      </c>
      <c r="C2226" s="9" t="s">
        <v>24</v>
      </c>
      <c r="D2226" s="9" t="str">
        <f>"李青"</f>
        <v>李青</v>
      </c>
    </row>
    <row r="2227" spans="1:4" ht="34.5" customHeight="1">
      <c r="A2227" s="8">
        <v>2225</v>
      </c>
      <c r="B2227" s="9" t="str">
        <f>"54112023063011502888106"</f>
        <v>54112023063011502888106</v>
      </c>
      <c r="C2227" s="9" t="s">
        <v>24</v>
      </c>
      <c r="D2227" s="9" t="str">
        <f>"孙颖"</f>
        <v>孙颖</v>
      </c>
    </row>
    <row r="2228" spans="1:4" ht="34.5" customHeight="1">
      <c r="A2228" s="8">
        <v>2226</v>
      </c>
      <c r="B2228" s="9" t="str">
        <f>"54112023062818464979275"</f>
        <v>54112023062818464979275</v>
      </c>
      <c r="C2228" s="9" t="s">
        <v>24</v>
      </c>
      <c r="D2228" s="9" t="str">
        <f>"黄晓瑶"</f>
        <v>黄晓瑶</v>
      </c>
    </row>
    <row r="2229" spans="1:4" ht="34.5" customHeight="1">
      <c r="A2229" s="8">
        <v>2227</v>
      </c>
      <c r="B2229" s="9" t="str">
        <f>"54112023063022213590586"</f>
        <v>54112023063022213590586</v>
      </c>
      <c r="C2229" s="9" t="s">
        <v>24</v>
      </c>
      <c r="D2229" s="9" t="str">
        <f>"王江莲"</f>
        <v>王江莲</v>
      </c>
    </row>
    <row r="2230" spans="1:4" ht="34.5" customHeight="1">
      <c r="A2230" s="8">
        <v>2228</v>
      </c>
      <c r="B2230" s="9" t="str">
        <f>"54112023070110022291029"</f>
        <v>54112023070110022291029</v>
      </c>
      <c r="C2230" s="9" t="s">
        <v>24</v>
      </c>
      <c r="D2230" s="9" t="str">
        <f>"欧敬萍"</f>
        <v>欧敬萍</v>
      </c>
    </row>
    <row r="2231" spans="1:4" ht="34.5" customHeight="1">
      <c r="A2231" s="8">
        <v>2229</v>
      </c>
      <c r="B2231" s="9" t="str">
        <f>"54112023070112083691336"</f>
        <v>54112023070112083691336</v>
      </c>
      <c r="C2231" s="9" t="s">
        <v>24</v>
      </c>
      <c r="D2231" s="9" t="str">
        <f>"孟园园"</f>
        <v>孟园园</v>
      </c>
    </row>
    <row r="2232" spans="1:4" ht="34.5" customHeight="1">
      <c r="A2232" s="8">
        <v>2230</v>
      </c>
      <c r="B2232" s="9" t="str">
        <f>"54112023063010351287634"</f>
        <v>54112023063010351287634</v>
      </c>
      <c r="C2232" s="9" t="s">
        <v>24</v>
      </c>
      <c r="D2232" s="9" t="str">
        <f>"吴培玉"</f>
        <v>吴培玉</v>
      </c>
    </row>
    <row r="2233" spans="1:4" ht="34.5" customHeight="1">
      <c r="A2233" s="8">
        <v>2231</v>
      </c>
      <c r="B2233" s="9" t="str">
        <f>"54112023070200130492728"</f>
        <v>54112023070200130492728</v>
      </c>
      <c r="C2233" s="9" t="s">
        <v>24</v>
      </c>
      <c r="D2233" s="9" t="str">
        <f>"刘上"</f>
        <v>刘上</v>
      </c>
    </row>
    <row r="2234" spans="1:4" ht="34.5" customHeight="1">
      <c r="A2234" s="8">
        <v>2232</v>
      </c>
      <c r="B2234" s="9" t="str">
        <f>"54112023063023395590710"</f>
        <v>54112023063023395590710</v>
      </c>
      <c r="C2234" s="9" t="s">
        <v>24</v>
      </c>
      <c r="D2234" s="9" t="str">
        <f>"熊秋红"</f>
        <v>熊秋红</v>
      </c>
    </row>
    <row r="2235" spans="1:4" ht="34.5" customHeight="1">
      <c r="A2235" s="8">
        <v>2233</v>
      </c>
      <c r="B2235" s="9" t="str">
        <f>"54112023070212494393548"</f>
        <v>54112023070212494393548</v>
      </c>
      <c r="C2235" s="9" t="s">
        <v>24</v>
      </c>
      <c r="D2235" s="9" t="str">
        <f>"符连芳"</f>
        <v>符连芳</v>
      </c>
    </row>
    <row r="2236" spans="1:4" ht="34.5" customHeight="1">
      <c r="A2236" s="8">
        <v>2234</v>
      </c>
      <c r="B2236" s="9" t="str">
        <f>"54112023062915551383662"</f>
        <v>54112023062915551383662</v>
      </c>
      <c r="C2236" s="9" t="s">
        <v>24</v>
      </c>
      <c r="D2236" s="9" t="str">
        <f>"麦璇"</f>
        <v>麦璇</v>
      </c>
    </row>
    <row r="2237" spans="1:4" ht="34.5" customHeight="1">
      <c r="A2237" s="8">
        <v>2235</v>
      </c>
      <c r="B2237" s="9" t="str">
        <f>"54112023070308521795402"</f>
        <v>54112023070308521795402</v>
      </c>
      <c r="C2237" s="9" t="s">
        <v>24</v>
      </c>
      <c r="D2237" s="9" t="str">
        <f>"吕锡娜"</f>
        <v>吕锡娜</v>
      </c>
    </row>
    <row r="2238" spans="1:4" ht="34.5" customHeight="1">
      <c r="A2238" s="8">
        <v>2236</v>
      </c>
      <c r="B2238" s="9" t="str">
        <f>"54112023070310381396351"</f>
        <v>54112023070310381396351</v>
      </c>
      <c r="C2238" s="9" t="s">
        <v>24</v>
      </c>
      <c r="D2238" s="9" t="str">
        <f>"何潮潮"</f>
        <v>何潮潮</v>
      </c>
    </row>
    <row r="2239" spans="1:4" ht="34.5" customHeight="1">
      <c r="A2239" s="8">
        <v>2237</v>
      </c>
      <c r="B2239" s="9" t="str">
        <f>"54112023070313265697392"</f>
        <v>54112023070313265697392</v>
      </c>
      <c r="C2239" s="9" t="s">
        <v>24</v>
      </c>
      <c r="D2239" s="9" t="str">
        <f>"符英梅"</f>
        <v>符英梅</v>
      </c>
    </row>
    <row r="2240" spans="1:4" ht="34.5" customHeight="1">
      <c r="A2240" s="8">
        <v>2238</v>
      </c>
      <c r="B2240" s="9" t="str">
        <f>"54112023070314342597644"</f>
        <v>54112023070314342597644</v>
      </c>
      <c r="C2240" s="9" t="s">
        <v>24</v>
      </c>
      <c r="D2240" s="9" t="str">
        <f>"周雯静"</f>
        <v>周雯静</v>
      </c>
    </row>
    <row r="2241" spans="1:4" ht="34.5" customHeight="1">
      <c r="A2241" s="8">
        <v>2239</v>
      </c>
      <c r="B2241" s="9" t="str">
        <f>"54112023070316192898273"</f>
        <v>54112023070316192898273</v>
      </c>
      <c r="C2241" s="9" t="s">
        <v>24</v>
      </c>
      <c r="D2241" s="9" t="str">
        <f>"张龙斌"</f>
        <v>张龙斌</v>
      </c>
    </row>
    <row r="2242" spans="1:4" ht="34.5" customHeight="1">
      <c r="A2242" s="8">
        <v>2240</v>
      </c>
      <c r="B2242" s="9" t="str">
        <f>"54112023070317464698738"</f>
        <v>54112023070317464698738</v>
      </c>
      <c r="C2242" s="9" t="s">
        <v>24</v>
      </c>
      <c r="D2242" s="9" t="str">
        <f>"林壹茹"</f>
        <v>林壹茹</v>
      </c>
    </row>
    <row r="2243" spans="1:4" ht="34.5" customHeight="1">
      <c r="A2243" s="8">
        <v>2241</v>
      </c>
      <c r="B2243" s="9" t="str">
        <f>"54112023070318291398896"</f>
        <v>54112023070318291398896</v>
      </c>
      <c r="C2243" s="9" t="s">
        <v>24</v>
      </c>
      <c r="D2243" s="9" t="str">
        <f>"陈安祺"</f>
        <v>陈安祺</v>
      </c>
    </row>
    <row r="2244" spans="1:4" ht="34.5" customHeight="1">
      <c r="A2244" s="8">
        <v>2242</v>
      </c>
      <c r="B2244" s="9" t="str">
        <f>"54112023070321394399742"</f>
        <v>54112023070321394399742</v>
      </c>
      <c r="C2244" s="9" t="s">
        <v>24</v>
      </c>
      <c r="D2244" s="9" t="str">
        <f>"林小娇"</f>
        <v>林小娇</v>
      </c>
    </row>
    <row r="2245" spans="1:4" ht="34.5" customHeight="1">
      <c r="A2245" s="8">
        <v>2243</v>
      </c>
      <c r="B2245" s="9" t="str">
        <f>"54112023070322282899976"</f>
        <v>54112023070322282899976</v>
      </c>
      <c r="C2245" s="9" t="s">
        <v>24</v>
      </c>
      <c r="D2245" s="9" t="str">
        <f>"许德妹"</f>
        <v>许德妹</v>
      </c>
    </row>
    <row r="2246" spans="1:4" ht="34.5" customHeight="1">
      <c r="A2246" s="8">
        <v>2244</v>
      </c>
      <c r="B2246" s="9" t="str">
        <f>"541120230704085712100689"</f>
        <v>541120230704085712100689</v>
      </c>
      <c r="C2246" s="9" t="s">
        <v>24</v>
      </c>
      <c r="D2246" s="9" t="str">
        <f>"陈彩娥"</f>
        <v>陈彩娥</v>
      </c>
    </row>
    <row r="2247" spans="1:4" ht="34.5" customHeight="1">
      <c r="A2247" s="8">
        <v>2245</v>
      </c>
      <c r="B2247" s="9" t="str">
        <f>"54112023062508362959673"</f>
        <v>54112023062508362959673</v>
      </c>
      <c r="C2247" s="9" t="s">
        <v>25</v>
      </c>
      <c r="D2247" s="9" t="str">
        <f>"邱优"</f>
        <v>邱优</v>
      </c>
    </row>
    <row r="2248" spans="1:4" ht="34.5" customHeight="1">
      <c r="A2248" s="8">
        <v>2246</v>
      </c>
      <c r="B2248" s="9" t="str">
        <f>"54112023062509282860080"</f>
        <v>54112023062509282860080</v>
      </c>
      <c r="C2248" s="9" t="s">
        <v>25</v>
      </c>
      <c r="D2248" s="9" t="str">
        <f>"符吉子"</f>
        <v>符吉子</v>
      </c>
    </row>
    <row r="2249" spans="1:4" ht="34.5" customHeight="1">
      <c r="A2249" s="8">
        <v>2247</v>
      </c>
      <c r="B2249" s="9" t="str">
        <f>"54112023062510283360646"</f>
        <v>54112023062510283360646</v>
      </c>
      <c r="C2249" s="9" t="s">
        <v>25</v>
      </c>
      <c r="D2249" s="9" t="str">
        <f>"余月香"</f>
        <v>余月香</v>
      </c>
    </row>
    <row r="2250" spans="1:4" ht="34.5" customHeight="1">
      <c r="A2250" s="8">
        <v>2248</v>
      </c>
      <c r="B2250" s="9" t="str">
        <f>"54112023062510043560459"</f>
        <v>54112023062510043560459</v>
      </c>
      <c r="C2250" s="9" t="s">
        <v>25</v>
      </c>
      <c r="D2250" s="9" t="str">
        <f>"黎慧琼"</f>
        <v>黎慧琼</v>
      </c>
    </row>
    <row r="2251" spans="1:4" ht="34.5" customHeight="1">
      <c r="A2251" s="8">
        <v>2249</v>
      </c>
      <c r="B2251" s="9" t="str">
        <f>"54112023062515371962983"</f>
        <v>54112023062515371962983</v>
      </c>
      <c r="C2251" s="9" t="s">
        <v>25</v>
      </c>
      <c r="D2251" s="9" t="str">
        <f>"吉送杏"</f>
        <v>吉送杏</v>
      </c>
    </row>
    <row r="2252" spans="1:4" ht="34.5" customHeight="1">
      <c r="A2252" s="8">
        <v>2250</v>
      </c>
      <c r="B2252" s="9" t="str">
        <f>"54112023062516111663192"</f>
        <v>54112023062516111663192</v>
      </c>
      <c r="C2252" s="9" t="s">
        <v>25</v>
      </c>
      <c r="D2252" s="9" t="str">
        <f>"卓书泉"</f>
        <v>卓书泉</v>
      </c>
    </row>
    <row r="2253" spans="1:4" ht="34.5" customHeight="1">
      <c r="A2253" s="8">
        <v>2251</v>
      </c>
      <c r="B2253" s="9" t="str">
        <f>"54112023062516323063296"</f>
        <v>54112023062516323063296</v>
      </c>
      <c r="C2253" s="9" t="s">
        <v>25</v>
      </c>
      <c r="D2253" s="9" t="str">
        <f>"赵廷谟"</f>
        <v>赵廷谟</v>
      </c>
    </row>
    <row r="2254" spans="1:4" ht="34.5" customHeight="1">
      <c r="A2254" s="8">
        <v>2252</v>
      </c>
      <c r="B2254" s="9" t="str">
        <f>"54112023062610242266979"</f>
        <v>54112023062610242266979</v>
      </c>
      <c r="C2254" s="9" t="s">
        <v>25</v>
      </c>
      <c r="D2254" s="9" t="str">
        <f>"林亚姣"</f>
        <v>林亚姣</v>
      </c>
    </row>
    <row r="2255" spans="1:4" ht="34.5" customHeight="1">
      <c r="A2255" s="8">
        <v>2253</v>
      </c>
      <c r="B2255" s="9" t="str">
        <f>"54112023062518495063837"</f>
        <v>54112023062518495063837</v>
      </c>
      <c r="C2255" s="9" t="s">
        <v>25</v>
      </c>
      <c r="D2255" s="9" t="str">
        <f>"符英玲"</f>
        <v>符英玲</v>
      </c>
    </row>
    <row r="2256" spans="1:4" ht="34.5" customHeight="1">
      <c r="A2256" s="8">
        <v>2254</v>
      </c>
      <c r="B2256" s="9" t="str">
        <f>"54112023062614482068982"</f>
        <v>54112023062614482068982</v>
      </c>
      <c r="C2256" s="9" t="s">
        <v>25</v>
      </c>
      <c r="D2256" s="9" t="str">
        <f>"张颖"</f>
        <v>张颖</v>
      </c>
    </row>
    <row r="2257" spans="1:4" ht="34.5" customHeight="1">
      <c r="A2257" s="8">
        <v>2255</v>
      </c>
      <c r="B2257" s="9" t="str">
        <f>"54112023062615464369403"</f>
        <v>54112023062615464369403</v>
      </c>
      <c r="C2257" s="9" t="s">
        <v>25</v>
      </c>
      <c r="D2257" s="9" t="str">
        <f>"周慧强"</f>
        <v>周慧强</v>
      </c>
    </row>
    <row r="2258" spans="1:4" ht="34.5" customHeight="1">
      <c r="A2258" s="8">
        <v>2256</v>
      </c>
      <c r="B2258" s="9" t="str">
        <f>"54112023062612340868272"</f>
        <v>54112023062612340868272</v>
      </c>
      <c r="C2258" s="9" t="s">
        <v>25</v>
      </c>
      <c r="D2258" s="9" t="str">
        <f>"王秀宇"</f>
        <v>王秀宇</v>
      </c>
    </row>
    <row r="2259" spans="1:4" ht="34.5" customHeight="1">
      <c r="A2259" s="8">
        <v>2257</v>
      </c>
      <c r="B2259" s="9" t="str">
        <f>"54112023062515473763047"</f>
        <v>54112023062515473763047</v>
      </c>
      <c r="C2259" s="9" t="s">
        <v>25</v>
      </c>
      <c r="D2259" s="9" t="str">
        <f>"李寒"</f>
        <v>李寒</v>
      </c>
    </row>
    <row r="2260" spans="1:4" ht="34.5" customHeight="1">
      <c r="A2260" s="8">
        <v>2258</v>
      </c>
      <c r="B2260" s="9" t="str">
        <f>"54112023062706491371895"</f>
        <v>54112023062706491371895</v>
      </c>
      <c r="C2260" s="9" t="s">
        <v>25</v>
      </c>
      <c r="D2260" s="9" t="str">
        <f>"林士琪"</f>
        <v>林士琪</v>
      </c>
    </row>
    <row r="2261" spans="1:4" ht="34.5" customHeight="1">
      <c r="A2261" s="8">
        <v>2259</v>
      </c>
      <c r="B2261" s="9" t="str">
        <f>"54112023062707312471918"</f>
        <v>54112023062707312471918</v>
      </c>
      <c r="C2261" s="9" t="s">
        <v>25</v>
      </c>
      <c r="D2261" s="9" t="str">
        <f>"虞禄"</f>
        <v>虞禄</v>
      </c>
    </row>
    <row r="2262" spans="1:4" ht="34.5" customHeight="1">
      <c r="A2262" s="8">
        <v>2260</v>
      </c>
      <c r="B2262" s="9" t="str">
        <f>"54112023062713103373756"</f>
        <v>54112023062713103373756</v>
      </c>
      <c r="C2262" s="9" t="s">
        <v>25</v>
      </c>
      <c r="D2262" s="9" t="str">
        <f>"陈和娇"</f>
        <v>陈和娇</v>
      </c>
    </row>
    <row r="2263" spans="1:4" ht="34.5" customHeight="1">
      <c r="A2263" s="8">
        <v>2261</v>
      </c>
      <c r="B2263" s="9" t="str">
        <f>"54112023062715321174241"</f>
        <v>54112023062715321174241</v>
      </c>
      <c r="C2263" s="9" t="s">
        <v>25</v>
      </c>
      <c r="D2263" s="9" t="str">
        <f>"秦小洁"</f>
        <v>秦小洁</v>
      </c>
    </row>
    <row r="2264" spans="1:4" ht="34.5" customHeight="1">
      <c r="A2264" s="8">
        <v>2262</v>
      </c>
      <c r="B2264" s="9" t="str">
        <f>"54112023062716460674569"</f>
        <v>54112023062716460674569</v>
      </c>
      <c r="C2264" s="9" t="s">
        <v>25</v>
      </c>
      <c r="D2264" s="9" t="str">
        <f>"吴晓霞"</f>
        <v>吴晓霞</v>
      </c>
    </row>
    <row r="2265" spans="1:4" ht="34.5" customHeight="1">
      <c r="A2265" s="8">
        <v>2263</v>
      </c>
      <c r="B2265" s="9" t="str">
        <f>"54112023062718421475382"</f>
        <v>54112023062718421475382</v>
      </c>
      <c r="C2265" s="9" t="s">
        <v>25</v>
      </c>
      <c r="D2265" s="9" t="str">
        <f>"符晓寒"</f>
        <v>符晓寒</v>
      </c>
    </row>
    <row r="2266" spans="1:4" ht="34.5" customHeight="1">
      <c r="A2266" s="8">
        <v>2264</v>
      </c>
      <c r="B2266" s="9" t="str">
        <f>"54112023062623455171763"</f>
        <v>54112023062623455171763</v>
      </c>
      <c r="C2266" s="9" t="s">
        <v>25</v>
      </c>
      <c r="D2266" s="9" t="str">
        <f>"陈文娇"</f>
        <v>陈文娇</v>
      </c>
    </row>
    <row r="2267" spans="1:4" ht="34.5" customHeight="1">
      <c r="A2267" s="8">
        <v>2265</v>
      </c>
      <c r="B2267" s="9" t="str">
        <f>"54112023062722082376106"</f>
        <v>54112023062722082376106</v>
      </c>
      <c r="C2267" s="9" t="s">
        <v>25</v>
      </c>
      <c r="D2267" s="9" t="str">
        <f>"郭杜娟"</f>
        <v>郭杜娟</v>
      </c>
    </row>
    <row r="2268" spans="1:4" ht="34.5" customHeight="1">
      <c r="A2268" s="8">
        <v>2266</v>
      </c>
      <c r="B2268" s="9" t="str">
        <f>"54112023062808165676540"</f>
        <v>54112023062808165676540</v>
      </c>
      <c r="C2268" s="9" t="s">
        <v>25</v>
      </c>
      <c r="D2268" s="9" t="str">
        <f>"颜晶晶"</f>
        <v>颜晶晶</v>
      </c>
    </row>
    <row r="2269" spans="1:4" ht="34.5" customHeight="1">
      <c r="A2269" s="8">
        <v>2267</v>
      </c>
      <c r="B2269" s="9" t="str">
        <f>"54112023062719015175435"</f>
        <v>54112023062719015175435</v>
      </c>
      <c r="C2269" s="9" t="s">
        <v>25</v>
      </c>
      <c r="D2269" s="9" t="str">
        <f>"丁友清"</f>
        <v>丁友清</v>
      </c>
    </row>
    <row r="2270" spans="1:4" ht="34.5" customHeight="1">
      <c r="A2270" s="8">
        <v>2268</v>
      </c>
      <c r="B2270" s="9" t="str">
        <f>"54112023062623251871716"</f>
        <v>54112023062623251871716</v>
      </c>
      <c r="C2270" s="9" t="s">
        <v>25</v>
      </c>
      <c r="D2270" s="9" t="str">
        <f>"吴蕾蕾"</f>
        <v>吴蕾蕾</v>
      </c>
    </row>
    <row r="2271" spans="1:4" ht="34.5" customHeight="1">
      <c r="A2271" s="8">
        <v>2269</v>
      </c>
      <c r="B2271" s="9" t="str">
        <f>"54112023062816184278717"</f>
        <v>54112023062816184278717</v>
      </c>
      <c r="C2271" s="9" t="s">
        <v>25</v>
      </c>
      <c r="D2271" s="9" t="str">
        <f>"符晨贝"</f>
        <v>符晨贝</v>
      </c>
    </row>
    <row r="2272" spans="1:4" ht="34.5" customHeight="1">
      <c r="A2272" s="8">
        <v>2270</v>
      </c>
      <c r="B2272" s="9" t="str">
        <f>"54112023062900243580358"</f>
        <v>54112023062900243580358</v>
      </c>
      <c r="C2272" s="9" t="s">
        <v>25</v>
      </c>
      <c r="D2272" s="9" t="str">
        <f>"谢丽许"</f>
        <v>谢丽许</v>
      </c>
    </row>
    <row r="2273" spans="1:4" ht="34.5" customHeight="1">
      <c r="A2273" s="8">
        <v>2271</v>
      </c>
      <c r="B2273" s="9" t="str">
        <f>"54112023062509511260308"</f>
        <v>54112023062509511260308</v>
      </c>
      <c r="C2273" s="9" t="s">
        <v>25</v>
      </c>
      <c r="D2273" s="9" t="str">
        <f>"王菲"</f>
        <v>王菲</v>
      </c>
    </row>
    <row r="2274" spans="1:4" ht="34.5" customHeight="1">
      <c r="A2274" s="8">
        <v>2272</v>
      </c>
      <c r="B2274" s="9" t="str">
        <f>"54112023062910003581328"</f>
        <v>54112023062910003581328</v>
      </c>
      <c r="C2274" s="9" t="s">
        <v>25</v>
      </c>
      <c r="D2274" s="9" t="str">
        <f>"傅丽清"</f>
        <v>傅丽清</v>
      </c>
    </row>
    <row r="2275" spans="1:4" ht="34.5" customHeight="1">
      <c r="A2275" s="8">
        <v>2273</v>
      </c>
      <c r="B2275" s="9" t="str">
        <f>"54112023062821470079907"</f>
        <v>54112023062821470079907</v>
      </c>
      <c r="C2275" s="9" t="s">
        <v>25</v>
      </c>
      <c r="D2275" s="9" t="str">
        <f>"文东俊"</f>
        <v>文东俊</v>
      </c>
    </row>
    <row r="2276" spans="1:4" ht="34.5" customHeight="1">
      <c r="A2276" s="8">
        <v>2274</v>
      </c>
      <c r="B2276" s="9" t="str">
        <f>"54112023062916140483813"</f>
        <v>54112023062916140483813</v>
      </c>
      <c r="C2276" s="9" t="s">
        <v>25</v>
      </c>
      <c r="D2276" s="9" t="str">
        <f>"李逸"</f>
        <v>李逸</v>
      </c>
    </row>
    <row r="2277" spans="1:4" ht="34.5" customHeight="1">
      <c r="A2277" s="8">
        <v>2275</v>
      </c>
      <c r="B2277" s="9" t="str">
        <f>"54112023062915294583476"</f>
        <v>54112023062915294583476</v>
      </c>
      <c r="C2277" s="9" t="s">
        <v>25</v>
      </c>
      <c r="D2277" s="9" t="str">
        <f>"彭锐"</f>
        <v>彭锐</v>
      </c>
    </row>
    <row r="2278" spans="1:4" ht="34.5" customHeight="1">
      <c r="A2278" s="8">
        <v>2276</v>
      </c>
      <c r="B2278" s="9" t="str">
        <f>"54112023062916400483985"</f>
        <v>54112023062916400483985</v>
      </c>
      <c r="C2278" s="9" t="s">
        <v>25</v>
      </c>
      <c r="D2278" s="9" t="str">
        <f>"符致鹏"</f>
        <v>符致鹏</v>
      </c>
    </row>
    <row r="2279" spans="1:4" ht="34.5" customHeight="1">
      <c r="A2279" s="8">
        <v>2277</v>
      </c>
      <c r="B2279" s="9" t="str">
        <f>"54112023062918541284698"</f>
        <v>54112023062918541284698</v>
      </c>
      <c r="C2279" s="9" t="s">
        <v>25</v>
      </c>
      <c r="D2279" s="9" t="str">
        <f>"郄钰"</f>
        <v>郄钰</v>
      </c>
    </row>
    <row r="2280" spans="1:4" ht="34.5" customHeight="1">
      <c r="A2280" s="8">
        <v>2278</v>
      </c>
      <c r="B2280" s="9" t="str">
        <f>"54112023062919174484822"</f>
        <v>54112023062919174484822</v>
      </c>
      <c r="C2280" s="9" t="s">
        <v>25</v>
      </c>
      <c r="D2280" s="9" t="str">
        <f>"符河东"</f>
        <v>符河东</v>
      </c>
    </row>
    <row r="2281" spans="1:4" ht="34.5" customHeight="1">
      <c r="A2281" s="8">
        <v>2279</v>
      </c>
      <c r="B2281" s="9" t="str">
        <f>"54112023062919400184922"</f>
        <v>54112023062919400184922</v>
      </c>
      <c r="C2281" s="9" t="s">
        <v>25</v>
      </c>
      <c r="D2281" s="9" t="str">
        <f>"洪丽丽"</f>
        <v>洪丽丽</v>
      </c>
    </row>
    <row r="2282" spans="1:4" ht="34.5" customHeight="1">
      <c r="A2282" s="8">
        <v>2280</v>
      </c>
      <c r="B2282" s="9" t="str">
        <f>"54112023062922362386023"</f>
        <v>54112023062922362386023</v>
      </c>
      <c r="C2282" s="9" t="s">
        <v>25</v>
      </c>
      <c r="D2282" s="9" t="str">
        <f>"林娅"</f>
        <v>林娅</v>
      </c>
    </row>
    <row r="2283" spans="1:4" ht="34.5" customHeight="1">
      <c r="A2283" s="8">
        <v>2281</v>
      </c>
      <c r="B2283" s="9" t="str">
        <f>"54112023063010322587612"</f>
        <v>54112023063010322587612</v>
      </c>
      <c r="C2283" s="9" t="s">
        <v>25</v>
      </c>
      <c r="D2283" s="9" t="str">
        <f>"陈雯"</f>
        <v>陈雯</v>
      </c>
    </row>
    <row r="2284" spans="1:4" ht="34.5" customHeight="1">
      <c r="A2284" s="8">
        <v>2282</v>
      </c>
      <c r="B2284" s="9" t="str">
        <f>"54112023063009234987095"</f>
        <v>54112023063009234987095</v>
      </c>
      <c r="C2284" s="9" t="s">
        <v>25</v>
      </c>
      <c r="D2284" s="9" t="str">
        <f>"林丽婷"</f>
        <v>林丽婷</v>
      </c>
    </row>
    <row r="2285" spans="1:4" ht="34.5" customHeight="1">
      <c r="A2285" s="8">
        <v>2283</v>
      </c>
      <c r="B2285" s="9" t="str">
        <f>"54112023063014345589065"</f>
        <v>54112023063014345589065</v>
      </c>
      <c r="C2285" s="9" t="s">
        <v>25</v>
      </c>
      <c r="D2285" s="9" t="str">
        <f>"黎玉花"</f>
        <v>黎玉花</v>
      </c>
    </row>
    <row r="2286" spans="1:4" ht="34.5" customHeight="1">
      <c r="A2286" s="8">
        <v>2284</v>
      </c>
      <c r="B2286" s="9" t="str">
        <f>"54112023062709230672352"</f>
        <v>54112023062709230672352</v>
      </c>
      <c r="C2286" s="9" t="s">
        <v>25</v>
      </c>
      <c r="D2286" s="9" t="str">
        <f>"黄玲妹"</f>
        <v>黄玲妹</v>
      </c>
    </row>
    <row r="2287" spans="1:4" ht="34.5" customHeight="1">
      <c r="A2287" s="8">
        <v>2285</v>
      </c>
      <c r="B2287" s="9" t="str">
        <f>"54112023063019381290281"</f>
        <v>54112023063019381290281</v>
      </c>
      <c r="C2287" s="9" t="s">
        <v>25</v>
      </c>
      <c r="D2287" s="9" t="str">
        <f>"叶映枚"</f>
        <v>叶映枚</v>
      </c>
    </row>
    <row r="2288" spans="1:4" ht="34.5" customHeight="1">
      <c r="A2288" s="8">
        <v>2286</v>
      </c>
      <c r="B2288" s="9" t="str">
        <f>"54112023063017415490037"</f>
        <v>54112023063017415490037</v>
      </c>
      <c r="C2288" s="9" t="s">
        <v>25</v>
      </c>
      <c r="D2288" s="9" t="str">
        <f>"周琪滨"</f>
        <v>周琪滨</v>
      </c>
    </row>
    <row r="2289" spans="1:4" ht="34.5" customHeight="1">
      <c r="A2289" s="8">
        <v>2287</v>
      </c>
      <c r="B2289" s="9" t="str">
        <f>"54112023062706585671900"</f>
        <v>54112023062706585671900</v>
      </c>
      <c r="C2289" s="9" t="s">
        <v>25</v>
      </c>
      <c r="D2289" s="9" t="str">
        <f>"孙泰秋"</f>
        <v>孙泰秋</v>
      </c>
    </row>
    <row r="2290" spans="1:4" ht="34.5" customHeight="1">
      <c r="A2290" s="8">
        <v>2288</v>
      </c>
      <c r="B2290" s="9" t="str">
        <f>"54112023062916435284004"</f>
        <v>54112023062916435284004</v>
      </c>
      <c r="C2290" s="9" t="s">
        <v>25</v>
      </c>
      <c r="D2290" s="9" t="str">
        <f>"陈燕腊"</f>
        <v>陈燕腊</v>
      </c>
    </row>
    <row r="2291" spans="1:4" ht="34.5" customHeight="1">
      <c r="A2291" s="8">
        <v>2289</v>
      </c>
      <c r="B2291" s="9" t="str">
        <f>"54112023070123152092647"</f>
        <v>54112023070123152092647</v>
      </c>
      <c r="C2291" s="9" t="s">
        <v>25</v>
      </c>
      <c r="D2291" s="9" t="str">
        <f>"郑春艳"</f>
        <v>郑春艳</v>
      </c>
    </row>
    <row r="2292" spans="1:4" ht="34.5" customHeight="1">
      <c r="A2292" s="8">
        <v>2290</v>
      </c>
      <c r="B2292" s="9" t="str">
        <f>"54112023063014210188971"</f>
        <v>54112023063014210188971</v>
      </c>
      <c r="C2292" s="9" t="s">
        <v>25</v>
      </c>
      <c r="D2292" s="9" t="str">
        <f>"董进诗"</f>
        <v>董进诗</v>
      </c>
    </row>
    <row r="2293" spans="1:4" ht="34.5" customHeight="1">
      <c r="A2293" s="8">
        <v>2291</v>
      </c>
      <c r="B2293" s="9" t="str">
        <f>"54112023062616593569921"</f>
        <v>54112023062616593569921</v>
      </c>
      <c r="C2293" s="9" t="s">
        <v>25</v>
      </c>
      <c r="D2293" s="9" t="str">
        <f>"郑胜蓝"</f>
        <v>郑胜蓝</v>
      </c>
    </row>
    <row r="2294" spans="1:4" ht="34.5" customHeight="1">
      <c r="A2294" s="8">
        <v>2292</v>
      </c>
      <c r="B2294" s="9" t="str">
        <f>"54112023070309272295747"</f>
        <v>54112023070309272295747</v>
      </c>
      <c r="C2294" s="9" t="s">
        <v>25</v>
      </c>
      <c r="D2294" s="9" t="str">
        <f>"何銮"</f>
        <v>何銮</v>
      </c>
    </row>
    <row r="2295" spans="1:4" ht="34.5" customHeight="1">
      <c r="A2295" s="8">
        <v>2293</v>
      </c>
      <c r="B2295" s="9" t="str">
        <f>"54112023070314561897772"</f>
        <v>54112023070314561897772</v>
      </c>
      <c r="C2295" s="9" t="s">
        <v>25</v>
      </c>
      <c r="D2295" s="9" t="str">
        <f>"曾令健"</f>
        <v>曾令健</v>
      </c>
    </row>
    <row r="2296" spans="1:4" ht="34.5" customHeight="1">
      <c r="A2296" s="8">
        <v>2294</v>
      </c>
      <c r="B2296" s="9" t="str">
        <f>"54112023070320342499398"</f>
        <v>54112023070320342499398</v>
      </c>
      <c r="C2296" s="9" t="s">
        <v>25</v>
      </c>
      <c r="D2296" s="9" t="str">
        <f>"陈玉曼"</f>
        <v>陈玉曼</v>
      </c>
    </row>
    <row r="2297" spans="1:4" ht="34.5" customHeight="1">
      <c r="A2297" s="8">
        <v>2295</v>
      </c>
      <c r="B2297" s="9" t="str">
        <f>"54112023070316183298265"</f>
        <v>54112023070316183298265</v>
      </c>
      <c r="C2297" s="9" t="s">
        <v>25</v>
      </c>
      <c r="D2297" s="9" t="str">
        <f>"刘诗欣"</f>
        <v>刘诗欣</v>
      </c>
    </row>
    <row r="2298" spans="1:4" ht="34.5" customHeight="1">
      <c r="A2298" s="8">
        <v>2296</v>
      </c>
      <c r="B2298" s="9" t="str">
        <f>"54112023062621213371190"</f>
        <v>54112023062621213371190</v>
      </c>
      <c r="C2298" s="9" t="s">
        <v>25</v>
      </c>
      <c r="D2298" s="9" t="str">
        <f>"符云倩"</f>
        <v>符云倩</v>
      </c>
    </row>
    <row r="2299" spans="1:4" ht="34.5" customHeight="1">
      <c r="A2299" s="8">
        <v>2297</v>
      </c>
      <c r="B2299" s="9" t="str">
        <f>"541120230704100742101016"</f>
        <v>541120230704100742101016</v>
      </c>
      <c r="C2299" s="9" t="s">
        <v>25</v>
      </c>
      <c r="D2299" s="9" t="str">
        <f>"黄晓秋"</f>
        <v>黄晓秋</v>
      </c>
    </row>
    <row r="2300" spans="1:4" ht="34.5" customHeight="1">
      <c r="A2300" s="8">
        <v>2298</v>
      </c>
      <c r="B2300" s="9" t="str">
        <f>"541120230704091653100791"</f>
        <v>541120230704091653100791</v>
      </c>
      <c r="C2300" s="9" t="s">
        <v>25</v>
      </c>
      <c r="D2300" s="9" t="str">
        <f>"向盈"</f>
        <v>向盈</v>
      </c>
    </row>
    <row r="2301" spans="1:4" ht="34.5" customHeight="1">
      <c r="A2301" s="8">
        <v>2299</v>
      </c>
      <c r="B2301" s="9" t="str">
        <f>"541120230704102707101132"</f>
        <v>541120230704102707101132</v>
      </c>
      <c r="C2301" s="9" t="s">
        <v>25</v>
      </c>
      <c r="D2301" s="9" t="str">
        <f>"徐璟"</f>
        <v>徐璟</v>
      </c>
    </row>
    <row r="2302" spans="1:4" ht="34.5" customHeight="1">
      <c r="A2302" s="8">
        <v>2300</v>
      </c>
      <c r="B2302" s="9" t="str">
        <f>"54112023062508522259736"</f>
        <v>54112023062508522259736</v>
      </c>
      <c r="C2302" s="9" t="s">
        <v>26</v>
      </c>
      <c r="D2302" s="9" t="str">
        <f>"谭慧艳"</f>
        <v>谭慧艳</v>
      </c>
    </row>
    <row r="2303" spans="1:4" ht="34.5" customHeight="1">
      <c r="A2303" s="8">
        <v>2301</v>
      </c>
      <c r="B2303" s="9" t="str">
        <f>"54112023062509104859895"</f>
        <v>54112023062509104859895</v>
      </c>
      <c r="C2303" s="9" t="s">
        <v>26</v>
      </c>
      <c r="D2303" s="9" t="str">
        <f>"张芳梅"</f>
        <v>张芳梅</v>
      </c>
    </row>
    <row r="2304" spans="1:4" ht="34.5" customHeight="1">
      <c r="A2304" s="8">
        <v>2302</v>
      </c>
      <c r="B2304" s="9" t="str">
        <f>"54112023062510145060540"</f>
        <v>54112023062510145060540</v>
      </c>
      <c r="C2304" s="9" t="s">
        <v>26</v>
      </c>
      <c r="D2304" s="9" t="str">
        <f>"韦福浪"</f>
        <v>韦福浪</v>
      </c>
    </row>
    <row r="2305" spans="1:4" ht="34.5" customHeight="1">
      <c r="A2305" s="8">
        <v>2303</v>
      </c>
      <c r="B2305" s="9" t="str">
        <f>"54112023062510020560427"</f>
        <v>54112023062510020560427</v>
      </c>
      <c r="C2305" s="9" t="s">
        <v>26</v>
      </c>
      <c r="D2305" s="9" t="str">
        <f>"陈春金"</f>
        <v>陈春金</v>
      </c>
    </row>
    <row r="2306" spans="1:4" ht="34.5" customHeight="1">
      <c r="A2306" s="8">
        <v>2304</v>
      </c>
      <c r="B2306" s="9" t="str">
        <f>"54112023062511255161055"</f>
        <v>54112023062511255161055</v>
      </c>
      <c r="C2306" s="9" t="s">
        <v>26</v>
      </c>
      <c r="D2306" s="9" t="str">
        <f>"洪莉燕"</f>
        <v>洪莉燕</v>
      </c>
    </row>
    <row r="2307" spans="1:4" ht="34.5" customHeight="1">
      <c r="A2307" s="8">
        <v>2305</v>
      </c>
      <c r="B2307" s="9" t="str">
        <f>"54112023062509201759986"</f>
        <v>54112023062509201759986</v>
      </c>
      <c r="C2307" s="9" t="s">
        <v>26</v>
      </c>
      <c r="D2307" s="9" t="str">
        <f>"郭圣汝"</f>
        <v>郭圣汝</v>
      </c>
    </row>
    <row r="2308" spans="1:4" ht="34.5" customHeight="1">
      <c r="A2308" s="8">
        <v>2306</v>
      </c>
      <c r="B2308" s="9" t="str">
        <f>"54112023062512091661776"</f>
        <v>54112023062512091661776</v>
      </c>
      <c r="C2308" s="9" t="s">
        <v>26</v>
      </c>
      <c r="D2308" s="9" t="str">
        <f>"梁德娟"</f>
        <v>梁德娟</v>
      </c>
    </row>
    <row r="2309" spans="1:4" ht="34.5" customHeight="1">
      <c r="A2309" s="8">
        <v>2307</v>
      </c>
      <c r="B2309" s="9" t="str">
        <f>"54112023062509092359873"</f>
        <v>54112023062509092359873</v>
      </c>
      <c r="C2309" s="9" t="s">
        <v>26</v>
      </c>
      <c r="D2309" s="9" t="str">
        <f>"邢文完"</f>
        <v>邢文完</v>
      </c>
    </row>
    <row r="2310" spans="1:4" ht="34.5" customHeight="1">
      <c r="A2310" s="8">
        <v>2308</v>
      </c>
      <c r="B2310" s="9" t="str">
        <f>"54112023062515473763048"</f>
        <v>54112023062515473763048</v>
      </c>
      <c r="C2310" s="9" t="s">
        <v>26</v>
      </c>
      <c r="D2310" s="9" t="str">
        <f>"黎楚怡"</f>
        <v>黎楚怡</v>
      </c>
    </row>
    <row r="2311" spans="1:4" ht="34.5" customHeight="1">
      <c r="A2311" s="8">
        <v>2309</v>
      </c>
      <c r="B2311" s="9" t="str">
        <f>"54112023062510483660797"</f>
        <v>54112023062510483660797</v>
      </c>
      <c r="C2311" s="9" t="s">
        <v>26</v>
      </c>
      <c r="D2311" s="9" t="str">
        <f>"赵瑞华"</f>
        <v>赵瑞华</v>
      </c>
    </row>
    <row r="2312" spans="1:4" ht="34.5" customHeight="1">
      <c r="A2312" s="8">
        <v>2310</v>
      </c>
      <c r="B2312" s="9" t="str">
        <f>"54112023062518391563792"</f>
        <v>54112023062518391563792</v>
      </c>
      <c r="C2312" s="9" t="s">
        <v>26</v>
      </c>
      <c r="D2312" s="9" t="str">
        <f>"王小琴"</f>
        <v>王小琴</v>
      </c>
    </row>
    <row r="2313" spans="1:4" ht="34.5" customHeight="1">
      <c r="A2313" s="8">
        <v>2311</v>
      </c>
      <c r="B2313" s="9" t="str">
        <f>"54112023062520204764190"</f>
        <v>54112023062520204764190</v>
      </c>
      <c r="C2313" s="9" t="s">
        <v>26</v>
      </c>
      <c r="D2313" s="9" t="str">
        <f>"谢丹"</f>
        <v>谢丹</v>
      </c>
    </row>
    <row r="2314" spans="1:4" ht="34.5" customHeight="1">
      <c r="A2314" s="8">
        <v>2312</v>
      </c>
      <c r="B2314" s="9" t="str">
        <f>"54112023062520301564235"</f>
        <v>54112023062520301564235</v>
      </c>
      <c r="C2314" s="9" t="s">
        <v>26</v>
      </c>
      <c r="D2314" s="9" t="str">
        <f>"蔡小瑜"</f>
        <v>蔡小瑜</v>
      </c>
    </row>
    <row r="2315" spans="1:4" ht="34.5" customHeight="1">
      <c r="A2315" s="8">
        <v>2313</v>
      </c>
      <c r="B2315" s="9" t="str">
        <f>"54112023062521032164394"</f>
        <v>54112023062521032164394</v>
      </c>
      <c r="C2315" s="9" t="s">
        <v>26</v>
      </c>
      <c r="D2315" s="9" t="str">
        <f>"周梅英"</f>
        <v>周梅英</v>
      </c>
    </row>
    <row r="2316" spans="1:4" ht="34.5" customHeight="1">
      <c r="A2316" s="8">
        <v>2314</v>
      </c>
      <c r="B2316" s="9" t="str">
        <f>"54112023062521262264520"</f>
        <v>54112023062521262264520</v>
      </c>
      <c r="C2316" s="9" t="s">
        <v>26</v>
      </c>
      <c r="D2316" s="9" t="str">
        <f>"吴蔓"</f>
        <v>吴蔓</v>
      </c>
    </row>
    <row r="2317" spans="1:4" ht="34.5" customHeight="1">
      <c r="A2317" s="8">
        <v>2315</v>
      </c>
      <c r="B2317" s="9" t="str">
        <f>"54112023062521380464590"</f>
        <v>54112023062521380464590</v>
      </c>
      <c r="C2317" s="9" t="s">
        <v>26</v>
      </c>
      <c r="D2317" s="9" t="str">
        <f>"符妍彩"</f>
        <v>符妍彩</v>
      </c>
    </row>
    <row r="2318" spans="1:4" ht="34.5" customHeight="1">
      <c r="A2318" s="8">
        <v>2316</v>
      </c>
      <c r="B2318" s="9" t="str">
        <f>"54112023062522210864774"</f>
        <v>54112023062522210864774</v>
      </c>
      <c r="C2318" s="9" t="s">
        <v>26</v>
      </c>
      <c r="D2318" s="9" t="str">
        <f>"陈妮"</f>
        <v>陈妮</v>
      </c>
    </row>
    <row r="2319" spans="1:4" ht="34.5" customHeight="1">
      <c r="A2319" s="8">
        <v>2317</v>
      </c>
      <c r="B2319" s="9" t="str">
        <f>"54112023062608170865331"</f>
        <v>54112023062608170865331</v>
      </c>
      <c r="C2319" s="9" t="s">
        <v>26</v>
      </c>
      <c r="D2319" s="9" t="str">
        <f>"王卫玲"</f>
        <v>王卫玲</v>
      </c>
    </row>
    <row r="2320" spans="1:4" ht="34.5" customHeight="1">
      <c r="A2320" s="8">
        <v>2318</v>
      </c>
      <c r="B2320" s="9" t="str">
        <f>"54112023062521475664650"</f>
        <v>54112023062521475664650</v>
      </c>
      <c r="C2320" s="9" t="s">
        <v>26</v>
      </c>
      <c r="D2320" s="9" t="str">
        <f>"吴帆"</f>
        <v>吴帆</v>
      </c>
    </row>
    <row r="2321" spans="1:4" ht="34.5" customHeight="1">
      <c r="A2321" s="8">
        <v>2319</v>
      </c>
      <c r="B2321" s="9" t="str">
        <f>"54112023062519391564025"</f>
        <v>54112023062519391564025</v>
      </c>
      <c r="C2321" s="9" t="s">
        <v>26</v>
      </c>
      <c r="D2321" s="9" t="str">
        <f>"陈桂来"</f>
        <v>陈桂来</v>
      </c>
    </row>
    <row r="2322" spans="1:4" ht="34.5" customHeight="1">
      <c r="A2322" s="8">
        <v>2320</v>
      </c>
      <c r="B2322" s="9" t="str">
        <f>"54112023062610301267067"</f>
        <v>54112023062610301267067</v>
      </c>
      <c r="C2322" s="9" t="s">
        <v>26</v>
      </c>
      <c r="D2322" s="9" t="str">
        <f>"梁海妹"</f>
        <v>梁海妹</v>
      </c>
    </row>
    <row r="2323" spans="1:4" ht="34.5" customHeight="1">
      <c r="A2323" s="8">
        <v>2321</v>
      </c>
      <c r="B2323" s="9" t="str">
        <f>"54112023062611182167683"</f>
        <v>54112023062611182167683</v>
      </c>
      <c r="C2323" s="9" t="s">
        <v>26</v>
      </c>
      <c r="D2323" s="9" t="str">
        <f>"许金兰"</f>
        <v>许金兰</v>
      </c>
    </row>
    <row r="2324" spans="1:4" ht="34.5" customHeight="1">
      <c r="A2324" s="8">
        <v>2322</v>
      </c>
      <c r="B2324" s="9" t="str">
        <f>"54112023062611351267856"</f>
        <v>54112023062611351267856</v>
      </c>
      <c r="C2324" s="9" t="s">
        <v>26</v>
      </c>
      <c r="D2324" s="9" t="str">
        <f>"刘玉花"</f>
        <v>刘玉花</v>
      </c>
    </row>
    <row r="2325" spans="1:4" ht="34.5" customHeight="1">
      <c r="A2325" s="8">
        <v>2323</v>
      </c>
      <c r="B2325" s="9" t="str">
        <f>"54112023062611591368076"</f>
        <v>54112023062611591368076</v>
      </c>
      <c r="C2325" s="9" t="s">
        <v>26</v>
      </c>
      <c r="D2325" s="9" t="str">
        <f>"吴帅玲"</f>
        <v>吴帅玲</v>
      </c>
    </row>
    <row r="2326" spans="1:4" ht="34.5" customHeight="1">
      <c r="A2326" s="8">
        <v>2324</v>
      </c>
      <c r="B2326" s="9" t="str">
        <f>"54112023062621230071200"</f>
        <v>54112023062621230071200</v>
      </c>
      <c r="C2326" s="9" t="s">
        <v>26</v>
      </c>
      <c r="D2326" s="9" t="str">
        <f>"薛伟积"</f>
        <v>薛伟积</v>
      </c>
    </row>
    <row r="2327" spans="1:4" ht="34.5" customHeight="1">
      <c r="A2327" s="8">
        <v>2325</v>
      </c>
      <c r="B2327" s="9" t="str">
        <f>"54112023062701384371843"</f>
        <v>54112023062701384371843</v>
      </c>
      <c r="C2327" s="9" t="s">
        <v>26</v>
      </c>
      <c r="D2327" s="9" t="str">
        <f>"林蔓蕾"</f>
        <v>林蔓蕾</v>
      </c>
    </row>
    <row r="2328" spans="1:4" ht="34.5" customHeight="1">
      <c r="A2328" s="8">
        <v>2326</v>
      </c>
      <c r="B2328" s="9" t="str">
        <f>"54112023062519062563905"</f>
        <v>54112023062519062563905</v>
      </c>
      <c r="C2328" s="9" t="s">
        <v>26</v>
      </c>
      <c r="D2328" s="9" t="str">
        <f>"符传丹"</f>
        <v>符传丹</v>
      </c>
    </row>
    <row r="2329" spans="1:4" ht="34.5" customHeight="1">
      <c r="A2329" s="8">
        <v>2327</v>
      </c>
      <c r="B2329" s="9" t="str">
        <f>"54112023062710230972727"</f>
        <v>54112023062710230972727</v>
      </c>
      <c r="C2329" s="9" t="s">
        <v>26</v>
      </c>
      <c r="D2329" s="9" t="str">
        <f>"麦琼媛"</f>
        <v>麦琼媛</v>
      </c>
    </row>
    <row r="2330" spans="1:4" ht="34.5" customHeight="1">
      <c r="A2330" s="8">
        <v>2328</v>
      </c>
      <c r="B2330" s="9" t="str">
        <f>"54112023062615111069133"</f>
        <v>54112023062615111069133</v>
      </c>
      <c r="C2330" s="9" t="s">
        <v>26</v>
      </c>
      <c r="D2330" s="9" t="str">
        <f>"杜小菊"</f>
        <v>杜小菊</v>
      </c>
    </row>
    <row r="2331" spans="1:4" ht="34.5" customHeight="1">
      <c r="A2331" s="8">
        <v>2329</v>
      </c>
      <c r="B2331" s="9" t="str">
        <f>"54112023062714211173942"</f>
        <v>54112023062714211173942</v>
      </c>
      <c r="C2331" s="9" t="s">
        <v>26</v>
      </c>
      <c r="D2331" s="9" t="str">
        <f>"邓丽"</f>
        <v>邓丽</v>
      </c>
    </row>
    <row r="2332" spans="1:4" ht="34.5" customHeight="1">
      <c r="A2332" s="8">
        <v>2330</v>
      </c>
      <c r="B2332" s="9" t="str">
        <f>"54112023062718135175281"</f>
        <v>54112023062718135175281</v>
      </c>
      <c r="C2332" s="9" t="s">
        <v>26</v>
      </c>
      <c r="D2332" s="9" t="str">
        <f>"禤海玲"</f>
        <v>禤海玲</v>
      </c>
    </row>
    <row r="2333" spans="1:4" ht="34.5" customHeight="1">
      <c r="A2333" s="8">
        <v>2331</v>
      </c>
      <c r="B2333" s="9" t="str">
        <f>"54112023062718561575421"</f>
        <v>54112023062718561575421</v>
      </c>
      <c r="C2333" s="9" t="s">
        <v>26</v>
      </c>
      <c r="D2333" s="9" t="str">
        <f>"唐海丽"</f>
        <v>唐海丽</v>
      </c>
    </row>
    <row r="2334" spans="1:4" ht="34.5" customHeight="1">
      <c r="A2334" s="8">
        <v>2332</v>
      </c>
      <c r="B2334" s="9" t="str">
        <f>"54112023062720283375710"</f>
        <v>54112023062720283375710</v>
      </c>
      <c r="C2334" s="9" t="s">
        <v>26</v>
      </c>
      <c r="D2334" s="9" t="str">
        <f>"林英"</f>
        <v>林英</v>
      </c>
    </row>
    <row r="2335" spans="1:4" ht="34.5" customHeight="1">
      <c r="A2335" s="8">
        <v>2333</v>
      </c>
      <c r="B2335" s="9" t="str">
        <f>"54112023062610141766814"</f>
        <v>54112023062610141766814</v>
      </c>
      <c r="C2335" s="9" t="s">
        <v>26</v>
      </c>
      <c r="D2335" s="9" t="str">
        <f>"周小兰"</f>
        <v>周小兰</v>
      </c>
    </row>
    <row r="2336" spans="1:4" ht="34.5" customHeight="1">
      <c r="A2336" s="8">
        <v>2334</v>
      </c>
      <c r="B2336" s="9" t="str">
        <f>"54112023062717263575122"</f>
        <v>54112023062717263575122</v>
      </c>
      <c r="C2336" s="9" t="s">
        <v>26</v>
      </c>
      <c r="D2336" s="9" t="str">
        <f>"梁译艺"</f>
        <v>梁译艺</v>
      </c>
    </row>
    <row r="2337" spans="1:4" ht="34.5" customHeight="1">
      <c r="A2337" s="8">
        <v>2335</v>
      </c>
      <c r="B2337" s="9" t="str">
        <f>"54112023062721285675966"</f>
        <v>54112023062721285675966</v>
      </c>
      <c r="C2337" s="9" t="s">
        <v>26</v>
      </c>
      <c r="D2337" s="9" t="str">
        <f>"郑耀顺"</f>
        <v>郑耀顺</v>
      </c>
    </row>
    <row r="2338" spans="1:4" ht="34.5" customHeight="1">
      <c r="A2338" s="8">
        <v>2336</v>
      </c>
      <c r="B2338" s="9" t="str">
        <f>"54112023062521390964596"</f>
        <v>54112023062521390964596</v>
      </c>
      <c r="C2338" s="9" t="s">
        <v>26</v>
      </c>
      <c r="D2338" s="9" t="str">
        <f>"谢晓霞"</f>
        <v>谢晓霞</v>
      </c>
    </row>
    <row r="2339" spans="1:4" ht="34.5" customHeight="1">
      <c r="A2339" s="8">
        <v>2337</v>
      </c>
      <c r="B2339" s="9" t="str">
        <f>"54112023062808352876586"</f>
        <v>54112023062808352876586</v>
      </c>
      <c r="C2339" s="9" t="s">
        <v>26</v>
      </c>
      <c r="D2339" s="9" t="str">
        <f>"余欣瑶"</f>
        <v>余欣瑶</v>
      </c>
    </row>
    <row r="2340" spans="1:4" ht="34.5" customHeight="1">
      <c r="A2340" s="8">
        <v>2338</v>
      </c>
      <c r="B2340" s="9" t="str">
        <f>"54112023062521045364397"</f>
        <v>54112023062521045364397</v>
      </c>
      <c r="C2340" s="9" t="s">
        <v>26</v>
      </c>
      <c r="D2340" s="9" t="str">
        <f>"陈小燕"</f>
        <v>陈小燕</v>
      </c>
    </row>
    <row r="2341" spans="1:4" ht="34.5" customHeight="1">
      <c r="A2341" s="8">
        <v>2339</v>
      </c>
      <c r="B2341" s="9" t="str">
        <f>"54112023062811572277643"</f>
        <v>54112023062811572277643</v>
      </c>
      <c r="C2341" s="9" t="s">
        <v>26</v>
      </c>
      <c r="D2341" s="9" t="str">
        <f>"符云星"</f>
        <v>符云星</v>
      </c>
    </row>
    <row r="2342" spans="1:4" ht="34.5" customHeight="1">
      <c r="A2342" s="8">
        <v>2340</v>
      </c>
      <c r="B2342" s="9" t="str">
        <f>"54112023062815192278411"</f>
        <v>54112023062815192278411</v>
      </c>
      <c r="C2342" s="9" t="s">
        <v>26</v>
      </c>
      <c r="D2342" s="9" t="str">
        <f>"陈太易"</f>
        <v>陈太易</v>
      </c>
    </row>
    <row r="2343" spans="1:4" ht="34.5" customHeight="1">
      <c r="A2343" s="8">
        <v>2341</v>
      </c>
      <c r="B2343" s="9" t="str">
        <f>"54112023062816175278709"</f>
        <v>54112023062816175278709</v>
      </c>
      <c r="C2343" s="9" t="s">
        <v>26</v>
      </c>
      <c r="D2343" s="9" t="str">
        <f>"苏丽晓"</f>
        <v>苏丽晓</v>
      </c>
    </row>
    <row r="2344" spans="1:4" ht="34.5" customHeight="1">
      <c r="A2344" s="8">
        <v>2342</v>
      </c>
      <c r="B2344" s="9" t="str">
        <f>"54112023062816401678808"</f>
        <v>54112023062816401678808</v>
      </c>
      <c r="C2344" s="9" t="s">
        <v>26</v>
      </c>
      <c r="D2344" s="9" t="str">
        <f>"李助桂"</f>
        <v>李助桂</v>
      </c>
    </row>
    <row r="2345" spans="1:4" ht="34.5" customHeight="1">
      <c r="A2345" s="8">
        <v>2343</v>
      </c>
      <c r="B2345" s="9" t="str">
        <f>"54112023062816440278824"</f>
        <v>54112023062816440278824</v>
      </c>
      <c r="C2345" s="9" t="s">
        <v>26</v>
      </c>
      <c r="D2345" s="9" t="str">
        <f>"李小燕"</f>
        <v>李小燕</v>
      </c>
    </row>
    <row r="2346" spans="1:4" ht="34.5" customHeight="1">
      <c r="A2346" s="8">
        <v>2344</v>
      </c>
      <c r="B2346" s="9" t="str">
        <f>"54112023062817001378902"</f>
        <v>54112023062817001378902</v>
      </c>
      <c r="C2346" s="9" t="s">
        <v>26</v>
      </c>
      <c r="D2346" s="9" t="str">
        <f>"罗莘"</f>
        <v>罗莘</v>
      </c>
    </row>
    <row r="2347" spans="1:4" ht="34.5" customHeight="1">
      <c r="A2347" s="8">
        <v>2345</v>
      </c>
      <c r="B2347" s="9" t="str">
        <f>"54112023062816300778768"</f>
        <v>54112023062816300778768</v>
      </c>
      <c r="C2347" s="9" t="s">
        <v>26</v>
      </c>
      <c r="D2347" s="9" t="str">
        <f>"李誉丹"</f>
        <v>李誉丹</v>
      </c>
    </row>
    <row r="2348" spans="1:4" ht="34.5" customHeight="1">
      <c r="A2348" s="8">
        <v>2346</v>
      </c>
      <c r="B2348" s="9" t="str">
        <f>"54112023062817410879054"</f>
        <v>54112023062817410879054</v>
      </c>
      <c r="C2348" s="9" t="s">
        <v>26</v>
      </c>
      <c r="D2348" s="9" t="str">
        <f>"符丽莹"</f>
        <v>符丽莹</v>
      </c>
    </row>
    <row r="2349" spans="1:4" ht="34.5" customHeight="1">
      <c r="A2349" s="8">
        <v>2347</v>
      </c>
      <c r="B2349" s="9" t="str">
        <f>"54112023062817562879098"</f>
        <v>54112023062817562879098</v>
      </c>
      <c r="C2349" s="9" t="s">
        <v>26</v>
      </c>
      <c r="D2349" s="9" t="str">
        <f>"周灯知"</f>
        <v>周灯知</v>
      </c>
    </row>
    <row r="2350" spans="1:4" ht="34.5" customHeight="1">
      <c r="A2350" s="8">
        <v>2348</v>
      </c>
      <c r="B2350" s="9" t="str">
        <f>"54112023062818514779291"</f>
        <v>54112023062818514779291</v>
      </c>
      <c r="C2350" s="9" t="s">
        <v>26</v>
      </c>
      <c r="D2350" s="9" t="str">
        <f>"陈燕"</f>
        <v>陈燕</v>
      </c>
    </row>
    <row r="2351" spans="1:4" ht="34.5" customHeight="1">
      <c r="A2351" s="8">
        <v>2349</v>
      </c>
      <c r="B2351" s="9" t="str">
        <f>"54112023062819354679409"</f>
        <v>54112023062819354679409</v>
      </c>
      <c r="C2351" s="9" t="s">
        <v>26</v>
      </c>
      <c r="D2351" s="9" t="str">
        <f>"刘萍"</f>
        <v>刘萍</v>
      </c>
    </row>
    <row r="2352" spans="1:4" ht="34.5" customHeight="1">
      <c r="A2352" s="8">
        <v>2350</v>
      </c>
      <c r="B2352" s="9" t="str">
        <f>"54112023062600152165087"</f>
        <v>54112023062600152165087</v>
      </c>
      <c r="C2352" s="9" t="s">
        <v>26</v>
      </c>
      <c r="D2352" s="9" t="str">
        <f>"王爱未"</f>
        <v>王爱未</v>
      </c>
    </row>
    <row r="2353" spans="1:4" ht="34.5" customHeight="1">
      <c r="A2353" s="8">
        <v>2351</v>
      </c>
      <c r="B2353" s="9" t="str">
        <f>"54112023062608412065394"</f>
        <v>54112023062608412065394</v>
      </c>
      <c r="C2353" s="9" t="s">
        <v>26</v>
      </c>
      <c r="D2353" s="9" t="str">
        <f>"黄源华"</f>
        <v>黄源华</v>
      </c>
    </row>
    <row r="2354" spans="1:4" ht="34.5" customHeight="1">
      <c r="A2354" s="8">
        <v>2352</v>
      </c>
      <c r="B2354" s="9" t="str">
        <f>"54112023062908414680627"</f>
        <v>54112023062908414680627</v>
      </c>
      <c r="C2354" s="9" t="s">
        <v>26</v>
      </c>
      <c r="D2354" s="9" t="str">
        <f>"赵春娇"</f>
        <v>赵春娇</v>
      </c>
    </row>
    <row r="2355" spans="1:4" ht="34.5" customHeight="1">
      <c r="A2355" s="8">
        <v>2353</v>
      </c>
      <c r="B2355" s="9" t="str">
        <f>"54112023062816214978730"</f>
        <v>54112023062816214978730</v>
      </c>
      <c r="C2355" s="9" t="s">
        <v>26</v>
      </c>
      <c r="D2355" s="9" t="str">
        <f>"符永程"</f>
        <v>符永程</v>
      </c>
    </row>
    <row r="2356" spans="1:4" ht="34.5" customHeight="1">
      <c r="A2356" s="8">
        <v>2354</v>
      </c>
      <c r="B2356" s="9" t="str">
        <f>"54112023062910155481490"</f>
        <v>54112023062910155481490</v>
      </c>
      <c r="C2356" s="9" t="s">
        <v>26</v>
      </c>
      <c r="D2356" s="9" t="str">
        <f>"黄小燕"</f>
        <v>黄小燕</v>
      </c>
    </row>
    <row r="2357" spans="1:4" ht="34.5" customHeight="1">
      <c r="A2357" s="8">
        <v>2355</v>
      </c>
      <c r="B2357" s="9" t="str">
        <f>"54112023062903391980434"</f>
        <v>54112023062903391980434</v>
      </c>
      <c r="C2357" s="9" t="s">
        <v>26</v>
      </c>
      <c r="D2357" s="9" t="str">
        <f>"冯海平"</f>
        <v>冯海平</v>
      </c>
    </row>
    <row r="2358" spans="1:4" ht="34.5" customHeight="1">
      <c r="A2358" s="8">
        <v>2356</v>
      </c>
      <c r="B2358" s="9" t="str">
        <f>"54112023062721531376058"</f>
        <v>54112023062721531376058</v>
      </c>
      <c r="C2358" s="9" t="s">
        <v>26</v>
      </c>
      <c r="D2358" s="9" t="str">
        <f>"符方惠"</f>
        <v>符方惠</v>
      </c>
    </row>
    <row r="2359" spans="1:4" ht="34.5" customHeight="1">
      <c r="A2359" s="8">
        <v>2357</v>
      </c>
      <c r="B2359" s="9" t="str">
        <f>"54112023062818563179303"</f>
        <v>54112023062818563179303</v>
      </c>
      <c r="C2359" s="9" t="s">
        <v>26</v>
      </c>
      <c r="D2359" s="9" t="str">
        <f>"李星乐"</f>
        <v>李星乐</v>
      </c>
    </row>
    <row r="2360" spans="1:4" ht="34.5" customHeight="1">
      <c r="A2360" s="8">
        <v>2358</v>
      </c>
      <c r="B2360" s="9" t="str">
        <f>"54112023062619530770744"</f>
        <v>54112023062619530770744</v>
      </c>
      <c r="C2360" s="9" t="s">
        <v>26</v>
      </c>
      <c r="D2360" s="9" t="str">
        <f>"李黔勇"</f>
        <v>李黔勇</v>
      </c>
    </row>
    <row r="2361" spans="1:4" ht="34.5" customHeight="1">
      <c r="A2361" s="8">
        <v>2359</v>
      </c>
      <c r="B2361" s="9" t="str">
        <f>"54112023062913160482760"</f>
        <v>54112023062913160482760</v>
      </c>
      <c r="C2361" s="9" t="s">
        <v>26</v>
      </c>
      <c r="D2361" s="9" t="str">
        <f>"吉亚琴"</f>
        <v>吉亚琴</v>
      </c>
    </row>
    <row r="2362" spans="1:4" ht="34.5" customHeight="1">
      <c r="A2362" s="8">
        <v>2360</v>
      </c>
      <c r="B2362" s="9" t="str">
        <f>"54112023062919563785014"</f>
        <v>54112023062919563785014</v>
      </c>
      <c r="C2362" s="9" t="s">
        <v>26</v>
      </c>
      <c r="D2362" s="9" t="str">
        <f>"廖小娴"</f>
        <v>廖小娴</v>
      </c>
    </row>
    <row r="2363" spans="1:4" ht="34.5" customHeight="1">
      <c r="A2363" s="8">
        <v>2361</v>
      </c>
      <c r="B2363" s="9" t="str">
        <f>"54112023062518060663689"</f>
        <v>54112023062518060663689</v>
      </c>
      <c r="C2363" s="9" t="s">
        <v>26</v>
      </c>
      <c r="D2363" s="9" t="str">
        <f>"蔡文静"</f>
        <v>蔡文静</v>
      </c>
    </row>
    <row r="2364" spans="1:4" ht="34.5" customHeight="1">
      <c r="A2364" s="8">
        <v>2362</v>
      </c>
      <c r="B2364" s="9" t="str">
        <f>"54112023063007573586679"</f>
        <v>54112023063007573586679</v>
      </c>
      <c r="C2364" s="9" t="s">
        <v>26</v>
      </c>
      <c r="D2364" s="9" t="str">
        <f>"李锦"</f>
        <v>李锦</v>
      </c>
    </row>
    <row r="2365" spans="1:4" ht="34.5" customHeight="1">
      <c r="A2365" s="8">
        <v>2363</v>
      </c>
      <c r="B2365" s="9" t="str">
        <f>"54112023062910395881727"</f>
        <v>54112023062910395881727</v>
      </c>
      <c r="C2365" s="9" t="s">
        <v>26</v>
      </c>
      <c r="D2365" s="9" t="str">
        <f>"林志芬"</f>
        <v>林志芬</v>
      </c>
    </row>
    <row r="2366" spans="1:4" ht="34.5" customHeight="1">
      <c r="A2366" s="8">
        <v>2364</v>
      </c>
      <c r="B2366" s="9" t="str">
        <f>"54112023062721284075963"</f>
        <v>54112023062721284075963</v>
      </c>
      <c r="C2366" s="9" t="s">
        <v>26</v>
      </c>
      <c r="D2366" s="9" t="str">
        <f>"符秋丹"</f>
        <v>符秋丹</v>
      </c>
    </row>
    <row r="2367" spans="1:4" ht="34.5" customHeight="1">
      <c r="A2367" s="8">
        <v>2365</v>
      </c>
      <c r="B2367" s="9" t="str">
        <f>"54112023063011032487846"</f>
        <v>54112023063011032487846</v>
      </c>
      <c r="C2367" s="9" t="s">
        <v>26</v>
      </c>
      <c r="D2367" s="9" t="str">
        <f>"颜森莹"</f>
        <v>颜森莹</v>
      </c>
    </row>
    <row r="2368" spans="1:4" ht="34.5" customHeight="1">
      <c r="A2368" s="8">
        <v>2366</v>
      </c>
      <c r="B2368" s="9" t="str">
        <f>"54112023063015584789782"</f>
        <v>54112023063015584789782</v>
      </c>
      <c r="C2368" s="9" t="s">
        <v>26</v>
      </c>
      <c r="D2368" s="9" t="str">
        <f>"韩小燕"</f>
        <v>韩小燕</v>
      </c>
    </row>
    <row r="2369" spans="1:4" ht="34.5" customHeight="1">
      <c r="A2369" s="8">
        <v>2367</v>
      </c>
      <c r="B2369" s="9" t="str">
        <f>"54112023063016094289815"</f>
        <v>54112023063016094289815</v>
      </c>
      <c r="C2369" s="9" t="s">
        <v>26</v>
      </c>
      <c r="D2369" s="9" t="str">
        <f>"周小妙"</f>
        <v>周小妙</v>
      </c>
    </row>
    <row r="2370" spans="1:4" ht="34.5" customHeight="1">
      <c r="A2370" s="8">
        <v>2368</v>
      </c>
      <c r="B2370" s="9" t="str">
        <f>"54112023063017525290057"</f>
        <v>54112023063017525290057</v>
      </c>
      <c r="C2370" s="9" t="s">
        <v>26</v>
      </c>
      <c r="D2370" s="9" t="str">
        <f>"许彩熊"</f>
        <v>许彩熊</v>
      </c>
    </row>
    <row r="2371" spans="1:4" ht="34.5" customHeight="1">
      <c r="A2371" s="8">
        <v>2369</v>
      </c>
      <c r="B2371" s="9" t="str">
        <f>"54112023070100160890765"</f>
        <v>54112023070100160890765</v>
      </c>
      <c r="C2371" s="9" t="s">
        <v>26</v>
      </c>
      <c r="D2371" s="9" t="str">
        <f>"李禹衡"</f>
        <v>李禹衡</v>
      </c>
    </row>
    <row r="2372" spans="1:4" ht="34.5" customHeight="1">
      <c r="A2372" s="8">
        <v>2370</v>
      </c>
      <c r="B2372" s="9" t="str">
        <f>"54112023063019071390229"</f>
        <v>54112023063019071390229</v>
      </c>
      <c r="C2372" s="9" t="s">
        <v>26</v>
      </c>
      <c r="D2372" s="9" t="str">
        <f>"符喜钊"</f>
        <v>符喜钊</v>
      </c>
    </row>
    <row r="2373" spans="1:4" ht="34.5" customHeight="1">
      <c r="A2373" s="8">
        <v>2371</v>
      </c>
      <c r="B2373" s="9" t="str">
        <f>"54112023070113154591473"</f>
        <v>54112023070113154591473</v>
      </c>
      <c r="C2373" s="9" t="s">
        <v>26</v>
      </c>
      <c r="D2373" s="9" t="str">
        <f>"周亚莲"</f>
        <v>周亚莲</v>
      </c>
    </row>
    <row r="2374" spans="1:4" ht="34.5" customHeight="1">
      <c r="A2374" s="8">
        <v>2372</v>
      </c>
      <c r="B2374" s="9" t="str">
        <f>"54112023070207452792810"</f>
        <v>54112023070207452792810</v>
      </c>
      <c r="C2374" s="9" t="s">
        <v>26</v>
      </c>
      <c r="D2374" s="9" t="str">
        <f>"余碧卉"</f>
        <v>余碧卉</v>
      </c>
    </row>
    <row r="2375" spans="1:4" ht="34.5" customHeight="1">
      <c r="A2375" s="8">
        <v>2373</v>
      </c>
      <c r="B2375" s="9" t="str">
        <f>"54112023062909480981203"</f>
        <v>54112023062909480981203</v>
      </c>
      <c r="C2375" s="9" t="s">
        <v>26</v>
      </c>
      <c r="D2375" s="9" t="str">
        <f>"许炳菲"</f>
        <v>许炳菲</v>
      </c>
    </row>
    <row r="2376" spans="1:4" ht="34.5" customHeight="1">
      <c r="A2376" s="8">
        <v>2374</v>
      </c>
      <c r="B2376" s="9" t="str">
        <f>"54112023070211174393318"</f>
        <v>54112023070211174393318</v>
      </c>
      <c r="C2376" s="9" t="s">
        <v>26</v>
      </c>
      <c r="D2376" s="9" t="str">
        <f>"杨贵草"</f>
        <v>杨贵草</v>
      </c>
    </row>
    <row r="2377" spans="1:4" ht="34.5" customHeight="1">
      <c r="A2377" s="8">
        <v>2375</v>
      </c>
      <c r="B2377" s="9" t="str">
        <f>"54112023070213072993598"</f>
        <v>54112023070213072993598</v>
      </c>
      <c r="C2377" s="9" t="s">
        <v>26</v>
      </c>
      <c r="D2377" s="9" t="str">
        <f>"吴姨美"</f>
        <v>吴姨美</v>
      </c>
    </row>
    <row r="2378" spans="1:4" ht="34.5" customHeight="1">
      <c r="A2378" s="8">
        <v>2376</v>
      </c>
      <c r="B2378" s="9" t="str">
        <f>"54112023070213020693587"</f>
        <v>54112023070213020693587</v>
      </c>
      <c r="C2378" s="9" t="s">
        <v>26</v>
      </c>
      <c r="D2378" s="9" t="str">
        <f>"刘顺静"</f>
        <v>刘顺静</v>
      </c>
    </row>
    <row r="2379" spans="1:4" ht="34.5" customHeight="1">
      <c r="A2379" s="8">
        <v>2377</v>
      </c>
      <c r="B2379" s="9" t="str">
        <f>"54112023062511192361008"</f>
        <v>54112023062511192361008</v>
      </c>
      <c r="C2379" s="9" t="s">
        <v>26</v>
      </c>
      <c r="D2379" s="9" t="str">
        <f>"符兰秀"</f>
        <v>符兰秀</v>
      </c>
    </row>
    <row r="2380" spans="1:4" ht="34.5" customHeight="1">
      <c r="A2380" s="8">
        <v>2378</v>
      </c>
      <c r="B2380" s="9" t="str">
        <f>"54112023062516003463143"</f>
        <v>54112023062516003463143</v>
      </c>
      <c r="C2380" s="9" t="s">
        <v>26</v>
      </c>
      <c r="D2380" s="9" t="str">
        <f>"许洪亮"</f>
        <v>许洪亮</v>
      </c>
    </row>
    <row r="2381" spans="1:4" ht="34.5" customHeight="1">
      <c r="A2381" s="8">
        <v>2379</v>
      </c>
      <c r="B2381" s="9" t="str">
        <f>"54112023070220453194624"</f>
        <v>54112023070220453194624</v>
      </c>
      <c r="C2381" s="9" t="s">
        <v>26</v>
      </c>
      <c r="D2381" s="9" t="str">
        <f>"符淑乾"</f>
        <v>符淑乾</v>
      </c>
    </row>
    <row r="2382" spans="1:4" ht="34.5" customHeight="1">
      <c r="A2382" s="8">
        <v>2380</v>
      </c>
      <c r="B2382" s="9" t="str">
        <f>"54112023070300022595131"</f>
        <v>54112023070300022595131</v>
      </c>
      <c r="C2382" s="9" t="s">
        <v>26</v>
      </c>
      <c r="D2382" s="9" t="str">
        <f>"黄叶莹"</f>
        <v>黄叶莹</v>
      </c>
    </row>
    <row r="2383" spans="1:4" ht="34.5" customHeight="1">
      <c r="A2383" s="8">
        <v>2381</v>
      </c>
      <c r="B2383" s="9" t="str">
        <f>"54112023070314361197655"</f>
        <v>54112023070314361197655</v>
      </c>
      <c r="C2383" s="9" t="s">
        <v>26</v>
      </c>
      <c r="D2383" s="9" t="str">
        <f>"宋方霞"</f>
        <v>宋方霞</v>
      </c>
    </row>
    <row r="2384" spans="1:4" ht="34.5" customHeight="1">
      <c r="A2384" s="8">
        <v>2382</v>
      </c>
      <c r="B2384" s="9" t="str">
        <f>"54112023070316281798327"</f>
        <v>54112023070316281798327</v>
      </c>
      <c r="C2384" s="9" t="s">
        <v>26</v>
      </c>
      <c r="D2384" s="9" t="str">
        <f>"李兰琼"</f>
        <v>李兰琼</v>
      </c>
    </row>
    <row r="2385" spans="1:4" ht="34.5" customHeight="1">
      <c r="A2385" s="8">
        <v>2383</v>
      </c>
      <c r="B2385" s="9" t="str">
        <f>"54112023070318450398962"</f>
        <v>54112023070318450398962</v>
      </c>
      <c r="C2385" s="9" t="s">
        <v>26</v>
      </c>
      <c r="D2385" s="9" t="str">
        <f>"卢燕"</f>
        <v>卢燕</v>
      </c>
    </row>
    <row r="2386" spans="1:4" ht="34.5" customHeight="1">
      <c r="A2386" s="8">
        <v>2384</v>
      </c>
      <c r="B2386" s="9" t="str">
        <f>"54112023070318230498876"</f>
        <v>54112023070318230498876</v>
      </c>
      <c r="C2386" s="9" t="s">
        <v>26</v>
      </c>
      <c r="D2386" s="9" t="str">
        <f>"徐宝贝"</f>
        <v>徐宝贝</v>
      </c>
    </row>
    <row r="2387" spans="1:4" ht="34.5" customHeight="1">
      <c r="A2387" s="8">
        <v>2385</v>
      </c>
      <c r="B2387" s="9" t="str">
        <f>"54112023070321415699750"</f>
        <v>54112023070321415699750</v>
      </c>
      <c r="C2387" s="9" t="s">
        <v>26</v>
      </c>
      <c r="D2387" s="9" t="str">
        <f>"曾莹"</f>
        <v>曾莹</v>
      </c>
    </row>
    <row r="2388" spans="1:4" ht="34.5" customHeight="1">
      <c r="A2388" s="8">
        <v>2386</v>
      </c>
      <c r="B2388" s="9" t="str">
        <f>"54112023062609180565871"</f>
        <v>54112023062609180565871</v>
      </c>
      <c r="C2388" s="9" t="s">
        <v>26</v>
      </c>
      <c r="D2388" s="9" t="str">
        <f>"王学扬"</f>
        <v>王学扬</v>
      </c>
    </row>
    <row r="2389" spans="1:4" ht="34.5" customHeight="1">
      <c r="A2389" s="8">
        <v>2387</v>
      </c>
      <c r="B2389" s="9" t="str">
        <f>"54112023070310164496178"</f>
        <v>54112023070310164496178</v>
      </c>
      <c r="C2389" s="9" t="s">
        <v>26</v>
      </c>
      <c r="D2389" s="9" t="str">
        <f>"刘信倪"</f>
        <v>刘信倪</v>
      </c>
    </row>
    <row r="2390" spans="1:4" ht="34.5" customHeight="1">
      <c r="A2390" s="8">
        <v>2388</v>
      </c>
      <c r="B2390" s="9" t="str">
        <f>"54112023070122444692587"</f>
        <v>54112023070122444692587</v>
      </c>
      <c r="C2390" s="9" t="s">
        <v>26</v>
      </c>
      <c r="D2390" s="9" t="str">
        <f>"于晓梅"</f>
        <v>于晓梅</v>
      </c>
    </row>
    <row r="2391" spans="1:4" ht="34.5" customHeight="1">
      <c r="A2391" s="8">
        <v>2389</v>
      </c>
      <c r="B2391" s="9" t="str">
        <f>"541120230704005514100360"</f>
        <v>541120230704005514100360</v>
      </c>
      <c r="C2391" s="9" t="s">
        <v>26</v>
      </c>
      <c r="D2391" s="9" t="str">
        <f>"周晶晶"</f>
        <v>周晶晶</v>
      </c>
    </row>
    <row r="2392" spans="1:4" ht="34.5" customHeight="1">
      <c r="A2392" s="8">
        <v>2390</v>
      </c>
      <c r="B2392" s="9" t="str">
        <f>"54112023062910102881429"</f>
        <v>54112023062910102881429</v>
      </c>
      <c r="C2392" s="9" t="s">
        <v>26</v>
      </c>
      <c r="D2392" s="9" t="str">
        <f>"符开彩"</f>
        <v>符开彩</v>
      </c>
    </row>
    <row r="2393" spans="1:4" ht="34.5" customHeight="1">
      <c r="A2393" s="8">
        <v>2391</v>
      </c>
      <c r="B2393" s="9" t="str">
        <f>"54112023070322323799993"</f>
        <v>54112023070322323799993</v>
      </c>
      <c r="C2393" s="9" t="s">
        <v>26</v>
      </c>
      <c r="D2393" s="9" t="str">
        <f>"邢曾敏"</f>
        <v>邢曾敏</v>
      </c>
    </row>
    <row r="2394" spans="1:4" ht="34.5" customHeight="1">
      <c r="A2394" s="8">
        <v>2392</v>
      </c>
      <c r="B2394" s="9" t="str">
        <f>"54112023070322222799952"</f>
        <v>54112023070322222799952</v>
      </c>
      <c r="C2394" s="9" t="s">
        <v>26</v>
      </c>
      <c r="D2394" s="9" t="str">
        <f>"刘乐乐"</f>
        <v>刘乐乐</v>
      </c>
    </row>
    <row r="2395" spans="1:4" ht="34.5" customHeight="1">
      <c r="A2395" s="8">
        <v>2393</v>
      </c>
      <c r="B2395" s="9" t="str">
        <f>"54112023063011110787886"</f>
        <v>54112023063011110787886</v>
      </c>
      <c r="C2395" s="9" t="s">
        <v>26</v>
      </c>
      <c r="D2395" s="9" t="str">
        <f>"周美慧"</f>
        <v>周美慧</v>
      </c>
    </row>
    <row r="2396" spans="1:4" ht="34.5" customHeight="1">
      <c r="A2396" s="8">
        <v>2394</v>
      </c>
      <c r="B2396" s="9" t="str">
        <f>"54112023062508470259710"</f>
        <v>54112023062508470259710</v>
      </c>
      <c r="C2396" s="9" t="s">
        <v>27</v>
      </c>
      <c r="D2396" s="9" t="str">
        <f>"符小倩"</f>
        <v>符小倩</v>
      </c>
    </row>
    <row r="2397" spans="1:4" ht="34.5" customHeight="1">
      <c r="A2397" s="8">
        <v>2395</v>
      </c>
      <c r="B2397" s="9" t="str">
        <f>"54112023062510230260603"</f>
        <v>54112023062510230260603</v>
      </c>
      <c r="C2397" s="9" t="s">
        <v>27</v>
      </c>
      <c r="D2397" s="9" t="str">
        <f>"朱才潘"</f>
        <v>朱才潘</v>
      </c>
    </row>
    <row r="2398" spans="1:4" ht="34.5" customHeight="1">
      <c r="A2398" s="8">
        <v>2396</v>
      </c>
      <c r="B2398" s="9" t="str">
        <f>"54112023062511161160984"</f>
        <v>54112023062511161160984</v>
      </c>
      <c r="C2398" s="9" t="s">
        <v>27</v>
      </c>
      <c r="D2398" s="9" t="str">
        <f>"李小林"</f>
        <v>李小林</v>
      </c>
    </row>
    <row r="2399" spans="1:4" ht="34.5" customHeight="1">
      <c r="A2399" s="8">
        <v>2397</v>
      </c>
      <c r="B2399" s="9" t="str">
        <f>"54112023062510492660804"</f>
        <v>54112023062510492660804</v>
      </c>
      <c r="C2399" s="9" t="s">
        <v>27</v>
      </c>
      <c r="D2399" s="9" t="str">
        <f>"陆发荣"</f>
        <v>陆发荣</v>
      </c>
    </row>
    <row r="2400" spans="1:4" ht="34.5" customHeight="1">
      <c r="A2400" s="8">
        <v>2398</v>
      </c>
      <c r="B2400" s="9" t="str">
        <f>"54112023062521185464485"</f>
        <v>54112023062521185464485</v>
      </c>
      <c r="C2400" s="9" t="s">
        <v>27</v>
      </c>
      <c r="D2400" s="9" t="str">
        <f>"陈梅"</f>
        <v>陈梅</v>
      </c>
    </row>
    <row r="2401" spans="1:4" ht="34.5" customHeight="1">
      <c r="A2401" s="8">
        <v>2399</v>
      </c>
      <c r="B2401" s="9" t="str">
        <f>"54112023062521473564645"</f>
        <v>54112023062521473564645</v>
      </c>
      <c r="C2401" s="9" t="s">
        <v>27</v>
      </c>
      <c r="D2401" s="9" t="str">
        <f>"麦永怀"</f>
        <v>麦永怀</v>
      </c>
    </row>
    <row r="2402" spans="1:4" ht="34.5" customHeight="1">
      <c r="A2402" s="8">
        <v>2400</v>
      </c>
      <c r="B2402" s="9" t="str">
        <f>"54112023062523404465016"</f>
        <v>54112023062523404465016</v>
      </c>
      <c r="C2402" s="9" t="s">
        <v>27</v>
      </c>
      <c r="D2402" s="9" t="str">
        <f>"陈花香"</f>
        <v>陈花香</v>
      </c>
    </row>
    <row r="2403" spans="1:4" ht="34.5" customHeight="1">
      <c r="A2403" s="8">
        <v>2401</v>
      </c>
      <c r="B2403" s="9" t="str">
        <f>"54112023062607500965273"</f>
        <v>54112023062607500965273</v>
      </c>
      <c r="C2403" s="9" t="s">
        <v>27</v>
      </c>
      <c r="D2403" s="9" t="str">
        <f>"廖梦琦"</f>
        <v>廖梦琦</v>
      </c>
    </row>
    <row r="2404" spans="1:4" ht="34.5" customHeight="1">
      <c r="A2404" s="8">
        <v>2402</v>
      </c>
      <c r="B2404" s="9" t="str">
        <f>"54112023062607442965269"</f>
        <v>54112023062607442965269</v>
      </c>
      <c r="C2404" s="9" t="s">
        <v>27</v>
      </c>
      <c r="D2404" s="9" t="str">
        <f>"朱照桃"</f>
        <v>朱照桃</v>
      </c>
    </row>
    <row r="2405" spans="1:4" ht="34.5" customHeight="1">
      <c r="A2405" s="8">
        <v>2403</v>
      </c>
      <c r="B2405" s="9" t="str">
        <f>"54112023062509114959912"</f>
        <v>54112023062509114959912</v>
      </c>
      <c r="C2405" s="9" t="s">
        <v>27</v>
      </c>
      <c r="D2405" s="9" t="str">
        <f>"符琪萱"</f>
        <v>符琪萱</v>
      </c>
    </row>
    <row r="2406" spans="1:4" ht="34.5" customHeight="1">
      <c r="A2406" s="8">
        <v>2404</v>
      </c>
      <c r="B2406" s="9" t="str">
        <f>"54112023062620110870817"</f>
        <v>54112023062620110870817</v>
      </c>
      <c r="C2406" s="9" t="s">
        <v>27</v>
      </c>
      <c r="D2406" s="9" t="str">
        <f>"符玉君"</f>
        <v>符玉君</v>
      </c>
    </row>
    <row r="2407" spans="1:4" ht="34.5" customHeight="1">
      <c r="A2407" s="8">
        <v>2405</v>
      </c>
      <c r="B2407" s="9" t="str">
        <f>"54112023062522412964842"</f>
        <v>54112023062522412964842</v>
      </c>
      <c r="C2407" s="9" t="s">
        <v>27</v>
      </c>
      <c r="D2407" s="9" t="str">
        <f>"谢茜"</f>
        <v>谢茜</v>
      </c>
    </row>
    <row r="2408" spans="1:4" ht="34.5" customHeight="1">
      <c r="A2408" s="8">
        <v>2406</v>
      </c>
      <c r="B2408" s="9" t="str">
        <f>"54112023062621020371085"</f>
        <v>54112023062621020371085</v>
      </c>
      <c r="C2408" s="9" t="s">
        <v>27</v>
      </c>
      <c r="D2408" s="9" t="str">
        <f>"刘上娜"</f>
        <v>刘上娜</v>
      </c>
    </row>
    <row r="2409" spans="1:4" ht="34.5" customHeight="1">
      <c r="A2409" s="8">
        <v>2407</v>
      </c>
      <c r="B2409" s="9" t="str">
        <f>"54112023062623105171678"</f>
        <v>54112023062623105171678</v>
      </c>
      <c r="C2409" s="9" t="s">
        <v>27</v>
      </c>
      <c r="D2409" s="9" t="str">
        <f>"李水花"</f>
        <v>李水花</v>
      </c>
    </row>
    <row r="2410" spans="1:4" ht="34.5" customHeight="1">
      <c r="A2410" s="8">
        <v>2408</v>
      </c>
      <c r="B2410" s="9" t="str">
        <f>"54112023062711575973502"</f>
        <v>54112023062711575973502</v>
      </c>
      <c r="C2410" s="9" t="s">
        <v>27</v>
      </c>
      <c r="D2410" s="9" t="str">
        <f>"王翠莹"</f>
        <v>王翠莹</v>
      </c>
    </row>
    <row r="2411" spans="1:4" ht="34.5" customHeight="1">
      <c r="A2411" s="8">
        <v>2409</v>
      </c>
      <c r="B2411" s="9" t="str">
        <f>"54112023062714084073907"</f>
        <v>54112023062714084073907</v>
      </c>
      <c r="C2411" s="9" t="s">
        <v>27</v>
      </c>
      <c r="D2411" s="9" t="str">
        <f>"李学艺"</f>
        <v>李学艺</v>
      </c>
    </row>
    <row r="2412" spans="1:4" ht="34.5" customHeight="1">
      <c r="A2412" s="8">
        <v>2410</v>
      </c>
      <c r="B2412" s="9" t="str">
        <f>"54112023062611143367647"</f>
        <v>54112023062611143367647</v>
      </c>
      <c r="C2412" s="9" t="s">
        <v>27</v>
      </c>
      <c r="D2412" s="9" t="str">
        <f>"陈盈盈"</f>
        <v>陈盈盈</v>
      </c>
    </row>
    <row r="2413" spans="1:4" ht="34.5" customHeight="1">
      <c r="A2413" s="8">
        <v>2411</v>
      </c>
      <c r="B2413" s="9" t="str">
        <f>"54112023062517033763447"</f>
        <v>54112023062517033763447</v>
      </c>
      <c r="C2413" s="9" t="s">
        <v>27</v>
      </c>
      <c r="D2413" s="9" t="str">
        <f>"黄慧欣"</f>
        <v>黄慧欣</v>
      </c>
    </row>
    <row r="2414" spans="1:4" ht="34.5" customHeight="1">
      <c r="A2414" s="8">
        <v>2412</v>
      </c>
      <c r="B2414" s="9" t="str">
        <f>"54112023062808400076604"</f>
        <v>54112023062808400076604</v>
      </c>
      <c r="C2414" s="9" t="s">
        <v>27</v>
      </c>
      <c r="D2414" s="9" t="str">
        <f>"廖忠基"</f>
        <v>廖忠基</v>
      </c>
    </row>
    <row r="2415" spans="1:4" ht="34.5" customHeight="1">
      <c r="A2415" s="8">
        <v>2413</v>
      </c>
      <c r="B2415" s="9" t="str">
        <f>"54112023062820422179628"</f>
        <v>54112023062820422179628</v>
      </c>
      <c r="C2415" s="9" t="s">
        <v>27</v>
      </c>
      <c r="D2415" s="9" t="str">
        <f>"刘亚银"</f>
        <v>刘亚银</v>
      </c>
    </row>
    <row r="2416" spans="1:4" ht="34.5" customHeight="1">
      <c r="A2416" s="8">
        <v>2414</v>
      </c>
      <c r="B2416" s="9" t="str">
        <f>"54112023062821361379855"</f>
        <v>54112023062821361379855</v>
      </c>
      <c r="C2416" s="9" t="s">
        <v>27</v>
      </c>
      <c r="D2416" s="9" t="str">
        <f>"林美"</f>
        <v>林美</v>
      </c>
    </row>
    <row r="2417" spans="1:4" ht="34.5" customHeight="1">
      <c r="A2417" s="8">
        <v>2415</v>
      </c>
      <c r="B2417" s="9" t="str">
        <f>"54112023062812411977838"</f>
        <v>54112023062812411977838</v>
      </c>
      <c r="C2417" s="9" t="s">
        <v>27</v>
      </c>
      <c r="D2417" s="9" t="str">
        <f>"邓少欣"</f>
        <v>邓少欣</v>
      </c>
    </row>
    <row r="2418" spans="1:4" ht="34.5" customHeight="1">
      <c r="A2418" s="8">
        <v>2416</v>
      </c>
      <c r="B2418" s="9" t="str">
        <f>"54112023062911515982276"</f>
        <v>54112023062911515982276</v>
      </c>
      <c r="C2418" s="9" t="s">
        <v>27</v>
      </c>
      <c r="D2418" s="9" t="str">
        <f>"陈眉丽"</f>
        <v>陈眉丽</v>
      </c>
    </row>
    <row r="2419" spans="1:4" ht="34.5" customHeight="1">
      <c r="A2419" s="8">
        <v>2417</v>
      </c>
      <c r="B2419" s="9" t="str">
        <f>"54112023062823342080295"</f>
        <v>54112023062823342080295</v>
      </c>
      <c r="C2419" s="9" t="s">
        <v>27</v>
      </c>
      <c r="D2419" s="9" t="str">
        <f>"郑立波"</f>
        <v>郑立波</v>
      </c>
    </row>
    <row r="2420" spans="1:4" ht="34.5" customHeight="1">
      <c r="A2420" s="8">
        <v>2418</v>
      </c>
      <c r="B2420" s="9" t="str">
        <f>"54112023062917580584421"</f>
        <v>54112023062917580584421</v>
      </c>
      <c r="C2420" s="9" t="s">
        <v>27</v>
      </c>
      <c r="D2420" s="9" t="str">
        <f>"吴晓爱"</f>
        <v>吴晓爱</v>
      </c>
    </row>
    <row r="2421" spans="1:4" ht="34.5" customHeight="1">
      <c r="A2421" s="8">
        <v>2419</v>
      </c>
      <c r="B2421" s="9" t="str">
        <f>"54112023062823261680276"</f>
        <v>54112023062823261680276</v>
      </c>
      <c r="C2421" s="9" t="s">
        <v>27</v>
      </c>
      <c r="D2421" s="9" t="str">
        <f>"李佳进"</f>
        <v>李佳进</v>
      </c>
    </row>
    <row r="2422" spans="1:4" ht="34.5" customHeight="1">
      <c r="A2422" s="8">
        <v>2420</v>
      </c>
      <c r="B2422" s="9" t="str">
        <f>"54112023062815185178407"</f>
        <v>54112023062815185178407</v>
      </c>
      <c r="C2422" s="9" t="s">
        <v>27</v>
      </c>
      <c r="D2422" s="9" t="str">
        <f>"肖云霜"</f>
        <v>肖云霜</v>
      </c>
    </row>
    <row r="2423" spans="1:4" ht="34.5" customHeight="1">
      <c r="A2423" s="8">
        <v>2421</v>
      </c>
      <c r="B2423" s="9" t="str">
        <f>"54112023062908554080693"</f>
        <v>54112023062908554080693</v>
      </c>
      <c r="C2423" s="9" t="s">
        <v>27</v>
      </c>
      <c r="D2423" s="9" t="str">
        <f>"符发冠"</f>
        <v>符发冠</v>
      </c>
    </row>
    <row r="2424" spans="1:4" ht="34.5" customHeight="1">
      <c r="A2424" s="8">
        <v>2422</v>
      </c>
      <c r="B2424" s="9" t="str">
        <f>"54112023062922332086002"</f>
        <v>54112023062922332086002</v>
      </c>
      <c r="C2424" s="9" t="s">
        <v>27</v>
      </c>
      <c r="D2424" s="9" t="str">
        <f>"邢玉虹"</f>
        <v>邢玉虹</v>
      </c>
    </row>
    <row r="2425" spans="1:4" ht="34.5" customHeight="1">
      <c r="A2425" s="8">
        <v>2423</v>
      </c>
      <c r="B2425" s="9" t="str">
        <f>"54112023062816334278789"</f>
        <v>54112023062816334278789</v>
      </c>
      <c r="C2425" s="9" t="s">
        <v>27</v>
      </c>
      <c r="D2425" s="9" t="str">
        <f>"李梦妍"</f>
        <v>李梦妍</v>
      </c>
    </row>
    <row r="2426" spans="1:4" ht="34.5" customHeight="1">
      <c r="A2426" s="8">
        <v>2424</v>
      </c>
      <c r="B2426" s="9" t="str">
        <f>"54112023063012425688406"</f>
        <v>54112023063012425688406</v>
      </c>
      <c r="C2426" s="9" t="s">
        <v>27</v>
      </c>
      <c r="D2426" s="9" t="str">
        <f>"王家昌"</f>
        <v>王家昌</v>
      </c>
    </row>
    <row r="2427" spans="1:4" ht="34.5" customHeight="1">
      <c r="A2427" s="8">
        <v>2425</v>
      </c>
      <c r="B2427" s="9" t="str">
        <f>"54112023063017035789951"</f>
        <v>54112023063017035789951</v>
      </c>
      <c r="C2427" s="9" t="s">
        <v>27</v>
      </c>
      <c r="D2427" s="9" t="str">
        <f>"王冰雪"</f>
        <v>王冰雪</v>
      </c>
    </row>
    <row r="2428" spans="1:4" ht="34.5" customHeight="1">
      <c r="A2428" s="8">
        <v>2426</v>
      </c>
      <c r="B2428" s="9" t="str">
        <f>"54112023063023544390745"</f>
        <v>54112023063023544390745</v>
      </c>
      <c r="C2428" s="9" t="s">
        <v>27</v>
      </c>
      <c r="D2428" s="9" t="str">
        <f>"蔡晶晶"</f>
        <v>蔡晶晶</v>
      </c>
    </row>
    <row r="2429" spans="1:4" ht="34.5" customHeight="1">
      <c r="A2429" s="8">
        <v>2427</v>
      </c>
      <c r="B2429" s="9" t="str">
        <f>"54112023063022023590548"</f>
        <v>54112023063022023590548</v>
      </c>
      <c r="C2429" s="9" t="s">
        <v>27</v>
      </c>
      <c r="D2429" s="9" t="str">
        <f>"孔涛"</f>
        <v>孔涛</v>
      </c>
    </row>
    <row r="2430" spans="1:4" ht="34.5" customHeight="1">
      <c r="A2430" s="8">
        <v>2428</v>
      </c>
      <c r="B2430" s="9" t="str">
        <f>"54112023070223413495096"</f>
        <v>54112023070223413495096</v>
      </c>
      <c r="C2430" s="9" t="s">
        <v>27</v>
      </c>
      <c r="D2430" s="9" t="str">
        <f>"李琼学"</f>
        <v>李琼学</v>
      </c>
    </row>
    <row r="2431" spans="1:4" ht="34.5" customHeight="1">
      <c r="A2431" s="8">
        <v>2429</v>
      </c>
      <c r="B2431" s="9" t="str">
        <f>"54112023070309172895660"</f>
        <v>54112023070309172895660</v>
      </c>
      <c r="C2431" s="9" t="s">
        <v>27</v>
      </c>
      <c r="D2431" s="9" t="str">
        <f>"林娟"</f>
        <v>林娟</v>
      </c>
    </row>
    <row r="2432" spans="1:4" ht="34.5" customHeight="1">
      <c r="A2432" s="8">
        <v>2430</v>
      </c>
      <c r="B2432" s="9" t="str">
        <f>"54112023063018145290124"</f>
        <v>54112023063018145290124</v>
      </c>
      <c r="C2432" s="9" t="s">
        <v>27</v>
      </c>
      <c r="D2432" s="9" t="str">
        <f>"吴多芳"</f>
        <v>吴多芳</v>
      </c>
    </row>
    <row r="2433" spans="1:4" ht="34.5" customHeight="1">
      <c r="A2433" s="8">
        <v>2431</v>
      </c>
      <c r="B2433" s="9" t="str">
        <f>"54112023062819435879426"</f>
        <v>54112023062819435879426</v>
      </c>
      <c r="C2433" s="9" t="s">
        <v>27</v>
      </c>
      <c r="D2433" s="9" t="str">
        <f>"周清风"</f>
        <v>周清风</v>
      </c>
    </row>
    <row r="2434" spans="1:4" ht="34.5" customHeight="1">
      <c r="A2434" s="8">
        <v>2432</v>
      </c>
      <c r="B2434" s="9" t="str">
        <f>"54112023070319491199181"</f>
        <v>54112023070319491199181</v>
      </c>
      <c r="C2434" s="9" t="s">
        <v>27</v>
      </c>
      <c r="D2434" s="9" t="str">
        <f>"陈元冲"</f>
        <v>陈元冲</v>
      </c>
    </row>
    <row r="2435" spans="1:4" ht="34.5" customHeight="1">
      <c r="A2435" s="8">
        <v>2433</v>
      </c>
      <c r="B2435" s="9" t="str">
        <f>"54112023070322121599910"</f>
        <v>54112023070322121599910</v>
      </c>
      <c r="C2435" s="9" t="s">
        <v>27</v>
      </c>
      <c r="D2435" s="9" t="str">
        <f>"苏小妹"</f>
        <v>苏小妹</v>
      </c>
    </row>
    <row r="2436" spans="1:4" ht="34.5" customHeight="1">
      <c r="A2436" s="8">
        <v>2434</v>
      </c>
      <c r="B2436" s="9" t="str">
        <f>"54112023062901115580397"</f>
        <v>54112023062901115580397</v>
      </c>
      <c r="C2436" s="9" t="s">
        <v>27</v>
      </c>
      <c r="D2436" s="9" t="str">
        <f>"罗崇向"</f>
        <v>罗崇向</v>
      </c>
    </row>
    <row r="2437" spans="1:4" ht="34.5" customHeight="1">
      <c r="A2437" s="8">
        <v>2435</v>
      </c>
      <c r="B2437" s="9" t="str">
        <f>"54112023070311205396662"</f>
        <v>54112023070311205396662</v>
      </c>
      <c r="C2437" s="9" t="s">
        <v>27</v>
      </c>
      <c r="D2437" s="9" t="str">
        <f>"邢春柳"</f>
        <v>邢春柳</v>
      </c>
    </row>
    <row r="2438" spans="1:4" ht="34.5" customHeight="1">
      <c r="A2438" s="8">
        <v>2436</v>
      </c>
      <c r="B2438" s="9" t="str">
        <f>"54112023062915444883591"</f>
        <v>54112023062915444883591</v>
      </c>
      <c r="C2438" s="9" t="s">
        <v>27</v>
      </c>
      <c r="D2438" s="9" t="str">
        <f>"梁盈"</f>
        <v>梁盈</v>
      </c>
    </row>
    <row r="2439" spans="1:4" ht="34.5" customHeight="1">
      <c r="A2439" s="8">
        <v>2437</v>
      </c>
      <c r="B2439" s="9" t="str">
        <f>"541120230704093802100894"</f>
        <v>541120230704093802100894</v>
      </c>
      <c r="C2439" s="9" t="s">
        <v>27</v>
      </c>
      <c r="D2439" s="9" t="str">
        <f>"陈莹"</f>
        <v>陈莹</v>
      </c>
    </row>
    <row r="2440" spans="1:4" ht="34.5" customHeight="1">
      <c r="A2440" s="8">
        <v>2438</v>
      </c>
      <c r="B2440" s="9" t="str">
        <f>"541120230704102350101101"</f>
        <v>541120230704102350101101</v>
      </c>
      <c r="C2440" s="9" t="s">
        <v>27</v>
      </c>
      <c r="D2440" s="9" t="str">
        <f>"章玲"</f>
        <v>章玲</v>
      </c>
    </row>
    <row r="2441" spans="1:4" ht="34.5" customHeight="1">
      <c r="A2441" s="8">
        <v>2439</v>
      </c>
      <c r="B2441" s="9" t="str">
        <f>"541120230704113750101505"</f>
        <v>541120230704113750101505</v>
      </c>
      <c r="C2441" s="9" t="s">
        <v>27</v>
      </c>
      <c r="D2441" s="9" t="str">
        <f>"赵明妹"</f>
        <v>赵明妹</v>
      </c>
    </row>
    <row r="2442" spans="1:4" ht="34.5" customHeight="1">
      <c r="A2442" s="8">
        <v>2440</v>
      </c>
      <c r="B2442" s="9" t="str">
        <f>"54112023062508480859716"</f>
        <v>54112023062508480859716</v>
      </c>
      <c r="C2442" s="9" t="s">
        <v>28</v>
      </c>
      <c r="D2442" s="9" t="str">
        <f>"吴多超"</f>
        <v>吴多超</v>
      </c>
    </row>
    <row r="2443" spans="1:4" ht="34.5" customHeight="1">
      <c r="A2443" s="8">
        <v>2441</v>
      </c>
      <c r="B2443" s="9" t="str">
        <f>"54112023062508551659742"</f>
        <v>54112023062508551659742</v>
      </c>
      <c r="C2443" s="9" t="s">
        <v>28</v>
      </c>
      <c r="D2443" s="9" t="str">
        <f>"许哲玮"</f>
        <v>许哲玮</v>
      </c>
    </row>
    <row r="2444" spans="1:4" ht="34.5" customHeight="1">
      <c r="A2444" s="8">
        <v>2442</v>
      </c>
      <c r="B2444" s="9" t="str">
        <f>"54112023062509440460244"</f>
        <v>54112023062509440460244</v>
      </c>
      <c r="C2444" s="9" t="s">
        <v>28</v>
      </c>
      <c r="D2444" s="9" t="str">
        <f>"杨剑"</f>
        <v>杨剑</v>
      </c>
    </row>
    <row r="2445" spans="1:4" ht="34.5" customHeight="1">
      <c r="A2445" s="8">
        <v>2443</v>
      </c>
      <c r="B2445" s="9" t="str">
        <f>"54112023062508460159704"</f>
        <v>54112023062508460159704</v>
      </c>
      <c r="C2445" s="9" t="s">
        <v>28</v>
      </c>
      <c r="D2445" s="9" t="str">
        <f>"李俭刚"</f>
        <v>李俭刚</v>
      </c>
    </row>
    <row r="2446" spans="1:4" ht="34.5" customHeight="1">
      <c r="A2446" s="8">
        <v>2444</v>
      </c>
      <c r="B2446" s="9" t="str">
        <f>"54112023062509495560298"</f>
        <v>54112023062509495560298</v>
      </c>
      <c r="C2446" s="9" t="s">
        <v>28</v>
      </c>
      <c r="D2446" s="9" t="str">
        <f>"吉育伟"</f>
        <v>吉育伟</v>
      </c>
    </row>
    <row r="2447" spans="1:4" ht="34.5" customHeight="1">
      <c r="A2447" s="8">
        <v>2445</v>
      </c>
      <c r="B2447" s="9" t="str">
        <f>"54112023062509564060361"</f>
        <v>54112023062509564060361</v>
      </c>
      <c r="C2447" s="9" t="s">
        <v>28</v>
      </c>
      <c r="D2447" s="9" t="str">
        <f>"李祥"</f>
        <v>李祥</v>
      </c>
    </row>
    <row r="2448" spans="1:4" ht="34.5" customHeight="1">
      <c r="A2448" s="8">
        <v>2446</v>
      </c>
      <c r="B2448" s="9" t="str">
        <f>"54112023062509192459972"</f>
        <v>54112023062509192459972</v>
      </c>
      <c r="C2448" s="9" t="s">
        <v>28</v>
      </c>
      <c r="D2448" s="9" t="str">
        <f>"冯琳"</f>
        <v>冯琳</v>
      </c>
    </row>
    <row r="2449" spans="1:4" ht="34.5" customHeight="1">
      <c r="A2449" s="8">
        <v>2447</v>
      </c>
      <c r="B2449" s="9" t="str">
        <f>"54112023062510572060853"</f>
        <v>54112023062510572060853</v>
      </c>
      <c r="C2449" s="9" t="s">
        <v>28</v>
      </c>
      <c r="D2449" s="9" t="str">
        <f>"黄启彬"</f>
        <v>黄启彬</v>
      </c>
    </row>
    <row r="2450" spans="1:4" ht="34.5" customHeight="1">
      <c r="A2450" s="8">
        <v>2448</v>
      </c>
      <c r="B2450" s="9" t="str">
        <f>"54112023062513331662270"</f>
        <v>54112023062513331662270</v>
      </c>
      <c r="C2450" s="9" t="s">
        <v>28</v>
      </c>
      <c r="D2450" s="9" t="str">
        <f>"王振"</f>
        <v>王振</v>
      </c>
    </row>
    <row r="2451" spans="1:4" ht="34.5" customHeight="1">
      <c r="A2451" s="8">
        <v>2449</v>
      </c>
      <c r="B2451" s="9" t="str">
        <f>"54112023062514520462670"</f>
        <v>54112023062514520462670</v>
      </c>
      <c r="C2451" s="9" t="s">
        <v>28</v>
      </c>
      <c r="D2451" s="9" t="str">
        <f>"何海玲"</f>
        <v>何海玲</v>
      </c>
    </row>
    <row r="2452" spans="1:4" ht="34.5" customHeight="1">
      <c r="A2452" s="8">
        <v>2450</v>
      </c>
      <c r="B2452" s="9" t="str">
        <f>"54112023062515552863103"</f>
        <v>54112023062515552863103</v>
      </c>
      <c r="C2452" s="9" t="s">
        <v>28</v>
      </c>
      <c r="D2452" s="9" t="str">
        <f>"蔡笃锦"</f>
        <v>蔡笃锦</v>
      </c>
    </row>
    <row r="2453" spans="1:4" ht="34.5" customHeight="1">
      <c r="A2453" s="8">
        <v>2451</v>
      </c>
      <c r="B2453" s="9" t="str">
        <f>"54112023062513150562196"</f>
        <v>54112023062513150562196</v>
      </c>
      <c r="C2453" s="9" t="s">
        <v>28</v>
      </c>
      <c r="D2453" s="9" t="str">
        <f>"林海滨"</f>
        <v>林海滨</v>
      </c>
    </row>
    <row r="2454" spans="1:4" ht="34.5" customHeight="1">
      <c r="A2454" s="8">
        <v>2452</v>
      </c>
      <c r="B2454" s="9" t="str">
        <f>"54112023062514142962461"</f>
        <v>54112023062514142962461</v>
      </c>
      <c r="C2454" s="9" t="s">
        <v>28</v>
      </c>
      <c r="D2454" s="9" t="str">
        <f>"王晨润"</f>
        <v>王晨润</v>
      </c>
    </row>
    <row r="2455" spans="1:4" ht="34.5" customHeight="1">
      <c r="A2455" s="8">
        <v>2453</v>
      </c>
      <c r="B2455" s="9" t="str">
        <f>"54112023062609020765535"</f>
        <v>54112023062609020765535</v>
      </c>
      <c r="C2455" s="9" t="s">
        <v>28</v>
      </c>
      <c r="D2455" s="9" t="str">
        <f>"黄晨宏"</f>
        <v>黄晨宏</v>
      </c>
    </row>
    <row r="2456" spans="1:4" ht="34.5" customHeight="1">
      <c r="A2456" s="8">
        <v>2454</v>
      </c>
      <c r="B2456" s="9" t="str">
        <f>"54112023062611532368020"</f>
        <v>54112023062611532368020</v>
      </c>
      <c r="C2456" s="9" t="s">
        <v>28</v>
      </c>
      <c r="D2456" s="9" t="str">
        <f>"林志钢"</f>
        <v>林志钢</v>
      </c>
    </row>
    <row r="2457" spans="1:4" ht="34.5" customHeight="1">
      <c r="A2457" s="8">
        <v>2455</v>
      </c>
      <c r="B2457" s="9" t="str">
        <f>"54112023062610560567405"</f>
        <v>54112023062610560567405</v>
      </c>
      <c r="C2457" s="9" t="s">
        <v>28</v>
      </c>
      <c r="D2457" s="9" t="str">
        <f>"黄家泽"</f>
        <v>黄家泽</v>
      </c>
    </row>
    <row r="2458" spans="1:4" ht="34.5" customHeight="1">
      <c r="A2458" s="8">
        <v>2456</v>
      </c>
      <c r="B2458" s="9" t="str">
        <f>"54112023062616555769901"</f>
        <v>54112023062616555769901</v>
      </c>
      <c r="C2458" s="9" t="s">
        <v>28</v>
      </c>
      <c r="D2458" s="9" t="str">
        <f>"赖理智"</f>
        <v>赖理智</v>
      </c>
    </row>
    <row r="2459" spans="1:4" ht="34.5" customHeight="1">
      <c r="A2459" s="8">
        <v>2457</v>
      </c>
      <c r="B2459" s="9" t="str">
        <f>"54112023062512105261787"</f>
        <v>54112023062512105261787</v>
      </c>
      <c r="C2459" s="9" t="s">
        <v>28</v>
      </c>
      <c r="D2459" s="9" t="str">
        <f>"胡张瑞"</f>
        <v>胡张瑞</v>
      </c>
    </row>
    <row r="2460" spans="1:4" ht="34.5" customHeight="1">
      <c r="A2460" s="8">
        <v>2458</v>
      </c>
      <c r="B2460" s="9" t="str">
        <f>"54112023062619263570629"</f>
        <v>54112023062619263570629</v>
      </c>
      <c r="C2460" s="9" t="s">
        <v>28</v>
      </c>
      <c r="D2460" s="9" t="str">
        <f>"董乾"</f>
        <v>董乾</v>
      </c>
    </row>
    <row r="2461" spans="1:4" ht="34.5" customHeight="1">
      <c r="A2461" s="8">
        <v>2459</v>
      </c>
      <c r="B2461" s="9" t="str">
        <f>"54112023062709545072551"</f>
        <v>54112023062709545072551</v>
      </c>
      <c r="C2461" s="9" t="s">
        <v>28</v>
      </c>
      <c r="D2461" s="9" t="str">
        <f>"陆玉康"</f>
        <v>陆玉康</v>
      </c>
    </row>
    <row r="2462" spans="1:4" ht="34.5" customHeight="1">
      <c r="A2462" s="8">
        <v>2460</v>
      </c>
      <c r="B2462" s="9" t="str">
        <f>"54112023062514024662395"</f>
        <v>54112023062514024662395</v>
      </c>
      <c r="C2462" s="9" t="s">
        <v>28</v>
      </c>
      <c r="D2462" s="9" t="str">
        <f>"李豪"</f>
        <v>李豪</v>
      </c>
    </row>
    <row r="2463" spans="1:4" ht="34.5" customHeight="1">
      <c r="A2463" s="8">
        <v>2461</v>
      </c>
      <c r="B2463" s="9" t="str">
        <f>"54112023062511243861047"</f>
        <v>54112023062511243861047</v>
      </c>
      <c r="C2463" s="9" t="s">
        <v>28</v>
      </c>
      <c r="D2463" s="9" t="str">
        <f>"林海威"</f>
        <v>林海威</v>
      </c>
    </row>
    <row r="2464" spans="1:4" ht="34.5" customHeight="1">
      <c r="A2464" s="8">
        <v>2462</v>
      </c>
      <c r="B2464" s="9" t="str">
        <f>"54112023062714543374069"</f>
        <v>54112023062714543374069</v>
      </c>
      <c r="C2464" s="9" t="s">
        <v>28</v>
      </c>
      <c r="D2464" s="9" t="str">
        <f>"陈晓玲"</f>
        <v>陈晓玲</v>
      </c>
    </row>
    <row r="2465" spans="1:4" ht="34.5" customHeight="1">
      <c r="A2465" s="8">
        <v>2463</v>
      </c>
      <c r="B2465" s="9" t="str">
        <f>"54112023062614110568761"</f>
        <v>54112023062614110568761</v>
      </c>
      <c r="C2465" s="9" t="s">
        <v>28</v>
      </c>
      <c r="D2465" s="9" t="str">
        <f>"李明霞"</f>
        <v>李明霞</v>
      </c>
    </row>
    <row r="2466" spans="1:4" ht="34.5" customHeight="1">
      <c r="A2466" s="8">
        <v>2464</v>
      </c>
      <c r="B2466" s="9" t="str">
        <f>"54112023062810042477031"</f>
        <v>54112023062810042477031</v>
      </c>
      <c r="C2466" s="9" t="s">
        <v>28</v>
      </c>
      <c r="D2466" s="9" t="str">
        <f>"陈益浮"</f>
        <v>陈益浮</v>
      </c>
    </row>
    <row r="2467" spans="1:4" ht="34.5" customHeight="1">
      <c r="A2467" s="8">
        <v>2465</v>
      </c>
      <c r="B2467" s="9" t="str">
        <f>"54112023062816514978855"</f>
        <v>54112023062816514978855</v>
      </c>
      <c r="C2467" s="9" t="s">
        <v>28</v>
      </c>
      <c r="D2467" s="9" t="str">
        <f>"邓明达"</f>
        <v>邓明达</v>
      </c>
    </row>
    <row r="2468" spans="1:4" ht="34.5" customHeight="1">
      <c r="A2468" s="8">
        <v>2466</v>
      </c>
      <c r="B2468" s="9" t="str">
        <f>"54112023062819345379407"</f>
        <v>54112023062819345379407</v>
      </c>
      <c r="C2468" s="9" t="s">
        <v>28</v>
      </c>
      <c r="D2468" s="9" t="str">
        <f>"栗翔"</f>
        <v>栗翔</v>
      </c>
    </row>
    <row r="2469" spans="1:4" ht="34.5" customHeight="1">
      <c r="A2469" s="8">
        <v>2467</v>
      </c>
      <c r="B2469" s="9" t="str">
        <f>"54112023062821145879755"</f>
        <v>54112023062821145879755</v>
      </c>
      <c r="C2469" s="9" t="s">
        <v>28</v>
      </c>
      <c r="D2469" s="9" t="str">
        <f>"吴启高"</f>
        <v>吴启高</v>
      </c>
    </row>
    <row r="2470" spans="1:4" ht="34.5" customHeight="1">
      <c r="A2470" s="8">
        <v>2468</v>
      </c>
      <c r="B2470" s="9" t="str">
        <f>"54112023062908110280522"</f>
        <v>54112023062908110280522</v>
      </c>
      <c r="C2470" s="9" t="s">
        <v>28</v>
      </c>
      <c r="D2470" s="9" t="str">
        <f>"杨洋"</f>
        <v>杨洋</v>
      </c>
    </row>
    <row r="2471" spans="1:4" ht="34.5" customHeight="1">
      <c r="A2471" s="8">
        <v>2469</v>
      </c>
      <c r="B2471" s="9" t="str">
        <f>"54112023062910231781558"</f>
        <v>54112023062910231781558</v>
      </c>
      <c r="C2471" s="9" t="s">
        <v>28</v>
      </c>
      <c r="D2471" s="9" t="str">
        <f>"黄亚雷"</f>
        <v>黄亚雷</v>
      </c>
    </row>
    <row r="2472" spans="1:4" ht="34.5" customHeight="1">
      <c r="A2472" s="8">
        <v>2470</v>
      </c>
      <c r="B2472" s="9" t="str">
        <f>"54112023062514500862657"</f>
        <v>54112023062514500862657</v>
      </c>
      <c r="C2472" s="9" t="s">
        <v>28</v>
      </c>
      <c r="D2472" s="9" t="str">
        <f>"黄修锦"</f>
        <v>黄修锦</v>
      </c>
    </row>
    <row r="2473" spans="1:4" ht="34.5" customHeight="1">
      <c r="A2473" s="8">
        <v>2471</v>
      </c>
      <c r="B2473" s="9" t="str">
        <f>"54112023062916102483777"</f>
        <v>54112023062916102483777</v>
      </c>
      <c r="C2473" s="9" t="s">
        <v>28</v>
      </c>
      <c r="D2473" s="9" t="str">
        <f>"符鸿泽"</f>
        <v>符鸿泽</v>
      </c>
    </row>
    <row r="2474" spans="1:4" ht="34.5" customHeight="1">
      <c r="A2474" s="8">
        <v>2472</v>
      </c>
      <c r="B2474" s="9" t="str">
        <f>"54112023062916315283928"</f>
        <v>54112023062916315283928</v>
      </c>
      <c r="C2474" s="9" t="s">
        <v>28</v>
      </c>
      <c r="D2474" s="9" t="str">
        <f>"黎耀知"</f>
        <v>黎耀知</v>
      </c>
    </row>
    <row r="2475" spans="1:4" ht="34.5" customHeight="1">
      <c r="A2475" s="8">
        <v>2473</v>
      </c>
      <c r="B2475" s="9" t="str">
        <f>"54112023062911474682241"</f>
        <v>54112023062911474682241</v>
      </c>
      <c r="C2475" s="9" t="s">
        <v>28</v>
      </c>
      <c r="D2475" s="9" t="str">
        <f>"廖世俊"</f>
        <v>廖世俊</v>
      </c>
    </row>
    <row r="2476" spans="1:4" ht="34.5" customHeight="1">
      <c r="A2476" s="8">
        <v>2474</v>
      </c>
      <c r="B2476" s="9" t="str">
        <f>"54112023062917471584379"</f>
        <v>54112023062917471584379</v>
      </c>
      <c r="C2476" s="9" t="s">
        <v>28</v>
      </c>
      <c r="D2476" s="9" t="str">
        <f>"林岩"</f>
        <v>林岩</v>
      </c>
    </row>
    <row r="2477" spans="1:4" ht="34.5" customHeight="1">
      <c r="A2477" s="8">
        <v>2475</v>
      </c>
      <c r="B2477" s="9" t="str">
        <f>"54112023063019281490266"</f>
        <v>54112023063019281490266</v>
      </c>
      <c r="C2477" s="9" t="s">
        <v>28</v>
      </c>
      <c r="D2477" s="9" t="str">
        <f>"周王龙"</f>
        <v>周王龙</v>
      </c>
    </row>
    <row r="2478" spans="1:4" ht="34.5" customHeight="1">
      <c r="A2478" s="8">
        <v>2476</v>
      </c>
      <c r="B2478" s="9" t="str">
        <f>"54112023063021334990501"</f>
        <v>54112023063021334990501</v>
      </c>
      <c r="C2478" s="9" t="s">
        <v>28</v>
      </c>
      <c r="D2478" s="9" t="str">
        <f>"刘必钟"</f>
        <v>刘必钟</v>
      </c>
    </row>
    <row r="2479" spans="1:4" ht="34.5" customHeight="1">
      <c r="A2479" s="8">
        <v>2477</v>
      </c>
      <c r="B2479" s="9" t="str">
        <f>"54112023062621472271312"</f>
        <v>54112023062621472271312</v>
      </c>
      <c r="C2479" s="9" t="s">
        <v>28</v>
      </c>
      <c r="D2479" s="9" t="str">
        <f>"王先清"</f>
        <v>王先清</v>
      </c>
    </row>
    <row r="2480" spans="1:4" ht="34.5" customHeight="1">
      <c r="A2480" s="8">
        <v>2478</v>
      </c>
      <c r="B2480" s="9" t="str">
        <f>"54112023070215514393986"</f>
        <v>54112023070215514393986</v>
      </c>
      <c r="C2480" s="9" t="s">
        <v>28</v>
      </c>
      <c r="D2480" s="9" t="str">
        <f>"黄宇欣"</f>
        <v>黄宇欣</v>
      </c>
    </row>
    <row r="2481" spans="1:4" ht="34.5" customHeight="1">
      <c r="A2481" s="8">
        <v>2479</v>
      </c>
      <c r="B2481" s="9" t="str">
        <f>"54112023062816395578806"</f>
        <v>54112023062816395578806</v>
      </c>
      <c r="C2481" s="9" t="s">
        <v>28</v>
      </c>
      <c r="D2481" s="9" t="str">
        <f>"董书铭"</f>
        <v>董书铭</v>
      </c>
    </row>
    <row r="2482" spans="1:4" ht="34.5" customHeight="1">
      <c r="A2482" s="8">
        <v>2480</v>
      </c>
      <c r="B2482" s="9" t="str">
        <f>"54112023070312360697100"</f>
        <v>54112023070312360697100</v>
      </c>
      <c r="C2482" s="9" t="s">
        <v>28</v>
      </c>
      <c r="D2482" s="9" t="str">
        <f>"朱掌章"</f>
        <v>朱掌章</v>
      </c>
    </row>
    <row r="2483" spans="1:4" ht="34.5" customHeight="1">
      <c r="A2483" s="8">
        <v>2481</v>
      </c>
      <c r="B2483" s="9" t="str">
        <f>"54112023070310535496479"</f>
        <v>54112023070310535496479</v>
      </c>
      <c r="C2483" s="9" t="s">
        <v>28</v>
      </c>
      <c r="D2483" s="9" t="str">
        <f>"邓程俊"</f>
        <v>邓程俊</v>
      </c>
    </row>
    <row r="2484" spans="1:4" ht="34.5" customHeight="1">
      <c r="A2484" s="8">
        <v>2482</v>
      </c>
      <c r="B2484" s="9" t="str">
        <f>"54112023070316123298236"</f>
        <v>54112023070316123298236</v>
      </c>
      <c r="C2484" s="9" t="s">
        <v>28</v>
      </c>
      <c r="D2484" s="9" t="str">
        <f>"黄兹炳"</f>
        <v>黄兹炳</v>
      </c>
    </row>
    <row r="2485" spans="1:4" ht="34.5" customHeight="1">
      <c r="A2485" s="8">
        <v>2483</v>
      </c>
      <c r="B2485" s="9" t="str">
        <f>"54112023062815395578526"</f>
        <v>54112023062815395578526</v>
      </c>
      <c r="C2485" s="9" t="s">
        <v>28</v>
      </c>
      <c r="D2485" s="9" t="str">
        <f>"张宗庆"</f>
        <v>张宗庆</v>
      </c>
    </row>
    <row r="2486" spans="1:4" ht="34.5" customHeight="1">
      <c r="A2486" s="8">
        <v>2484</v>
      </c>
      <c r="B2486" s="9" t="str">
        <f>"541120230704033323100424"</f>
        <v>541120230704033323100424</v>
      </c>
      <c r="C2486" s="9" t="s">
        <v>28</v>
      </c>
      <c r="D2486" s="9" t="str">
        <f>"王振雄"</f>
        <v>王振雄</v>
      </c>
    </row>
    <row r="2487" spans="1:4" ht="34.5" customHeight="1">
      <c r="A2487" s="8">
        <v>2485</v>
      </c>
      <c r="B2487" s="9" t="str">
        <f>"541120230704090543100735"</f>
        <v>541120230704090543100735</v>
      </c>
      <c r="C2487" s="9" t="s">
        <v>28</v>
      </c>
      <c r="D2487" s="9" t="str">
        <f>"李玉锦"</f>
        <v>李玉锦</v>
      </c>
    </row>
    <row r="2488" spans="1:4" ht="34.5" customHeight="1">
      <c r="A2488" s="8">
        <v>2486</v>
      </c>
      <c r="B2488" s="9" t="str">
        <f>"54112023062700384271824"</f>
        <v>54112023062700384271824</v>
      </c>
      <c r="C2488" s="9" t="s">
        <v>28</v>
      </c>
      <c r="D2488" s="9" t="str">
        <f>"刘园"</f>
        <v>刘园</v>
      </c>
    </row>
    <row r="2489" spans="1:4" ht="34.5" customHeight="1">
      <c r="A2489" s="8">
        <v>2487</v>
      </c>
      <c r="B2489" s="9" t="str">
        <f>"54112023062509405460217"</f>
        <v>54112023062509405460217</v>
      </c>
      <c r="C2489" s="9" t="s">
        <v>29</v>
      </c>
      <c r="D2489" s="9" t="str">
        <f>"王凯锋"</f>
        <v>王凯锋</v>
      </c>
    </row>
    <row r="2490" spans="1:4" ht="34.5" customHeight="1">
      <c r="A2490" s="8">
        <v>2488</v>
      </c>
      <c r="B2490" s="9" t="str">
        <f>"54112023062510014360421"</f>
        <v>54112023062510014360421</v>
      </c>
      <c r="C2490" s="9" t="s">
        <v>29</v>
      </c>
      <c r="D2490" s="9" t="str">
        <f>"林冰"</f>
        <v>林冰</v>
      </c>
    </row>
    <row r="2491" spans="1:4" ht="34.5" customHeight="1">
      <c r="A2491" s="8">
        <v>2489</v>
      </c>
      <c r="B2491" s="9" t="str">
        <f>"54112023062510370560719"</f>
        <v>54112023062510370560719</v>
      </c>
      <c r="C2491" s="9" t="s">
        <v>29</v>
      </c>
      <c r="D2491" s="9" t="str">
        <f>"林春燕"</f>
        <v>林春燕</v>
      </c>
    </row>
    <row r="2492" spans="1:4" ht="34.5" customHeight="1">
      <c r="A2492" s="8">
        <v>2490</v>
      </c>
      <c r="B2492" s="9" t="str">
        <f>"54112023062510245660618"</f>
        <v>54112023062510245660618</v>
      </c>
      <c r="C2492" s="9" t="s">
        <v>29</v>
      </c>
      <c r="D2492" s="9" t="str">
        <f>"张聪"</f>
        <v>张聪</v>
      </c>
    </row>
    <row r="2493" spans="1:4" ht="34.5" customHeight="1">
      <c r="A2493" s="8">
        <v>2491</v>
      </c>
      <c r="B2493" s="9" t="str">
        <f>"54112023062512110861792"</f>
        <v>54112023062512110861792</v>
      </c>
      <c r="C2493" s="9" t="s">
        <v>29</v>
      </c>
      <c r="D2493" s="9" t="str">
        <f>"林硕"</f>
        <v>林硕</v>
      </c>
    </row>
    <row r="2494" spans="1:4" ht="34.5" customHeight="1">
      <c r="A2494" s="8">
        <v>2492</v>
      </c>
      <c r="B2494" s="9" t="str">
        <f>"54112023062511245161049"</f>
        <v>54112023062511245161049</v>
      </c>
      <c r="C2494" s="9" t="s">
        <v>29</v>
      </c>
      <c r="D2494" s="9" t="str">
        <f>"李翠竹"</f>
        <v>李翠竹</v>
      </c>
    </row>
    <row r="2495" spans="1:4" ht="34.5" customHeight="1">
      <c r="A2495" s="8">
        <v>2493</v>
      </c>
      <c r="B2495" s="9" t="str">
        <f>"54112023062514354162563"</f>
        <v>54112023062514354162563</v>
      </c>
      <c r="C2495" s="9" t="s">
        <v>29</v>
      </c>
      <c r="D2495" s="9" t="str">
        <f>"卢静"</f>
        <v>卢静</v>
      </c>
    </row>
    <row r="2496" spans="1:4" ht="34.5" customHeight="1">
      <c r="A2496" s="8">
        <v>2494</v>
      </c>
      <c r="B2496" s="9" t="str">
        <f>"54112023062515264962908"</f>
        <v>54112023062515264962908</v>
      </c>
      <c r="C2496" s="9" t="s">
        <v>29</v>
      </c>
      <c r="D2496" s="9" t="str">
        <f>"麦汝婷"</f>
        <v>麦汝婷</v>
      </c>
    </row>
    <row r="2497" spans="1:4" ht="34.5" customHeight="1">
      <c r="A2497" s="8">
        <v>2495</v>
      </c>
      <c r="B2497" s="9" t="str">
        <f>"54112023062515180762847"</f>
        <v>54112023062515180762847</v>
      </c>
      <c r="C2497" s="9" t="s">
        <v>29</v>
      </c>
      <c r="D2497" s="9" t="str">
        <f>"冯梁炳"</f>
        <v>冯梁炳</v>
      </c>
    </row>
    <row r="2498" spans="1:4" ht="34.5" customHeight="1">
      <c r="A2498" s="8">
        <v>2496</v>
      </c>
      <c r="B2498" s="9" t="str">
        <f>"54112023062521455964635"</f>
        <v>54112023062521455964635</v>
      </c>
      <c r="C2498" s="9" t="s">
        <v>29</v>
      </c>
      <c r="D2498" s="9" t="str">
        <f>"蔡惠冰"</f>
        <v>蔡惠冰</v>
      </c>
    </row>
    <row r="2499" spans="1:4" ht="34.5" customHeight="1">
      <c r="A2499" s="8">
        <v>2497</v>
      </c>
      <c r="B2499" s="9" t="str">
        <f>"54112023062522120764744"</f>
        <v>54112023062522120764744</v>
      </c>
      <c r="C2499" s="9" t="s">
        <v>29</v>
      </c>
      <c r="D2499" s="9" t="str">
        <f>"黎启亮"</f>
        <v>黎启亮</v>
      </c>
    </row>
    <row r="2500" spans="1:4" ht="34.5" customHeight="1">
      <c r="A2500" s="8">
        <v>2498</v>
      </c>
      <c r="B2500" s="9" t="str">
        <f>"54112023062521302864546"</f>
        <v>54112023062521302864546</v>
      </c>
      <c r="C2500" s="9" t="s">
        <v>29</v>
      </c>
      <c r="D2500" s="9" t="str">
        <f>"王民政"</f>
        <v>王民政</v>
      </c>
    </row>
    <row r="2501" spans="1:4" ht="34.5" customHeight="1">
      <c r="A2501" s="8">
        <v>2499</v>
      </c>
      <c r="B2501" s="9" t="str">
        <f>"54112023062615311669273"</f>
        <v>54112023062615311669273</v>
      </c>
      <c r="C2501" s="9" t="s">
        <v>29</v>
      </c>
      <c r="D2501" s="9" t="str">
        <f>"王敏 "</f>
        <v>王敏 </v>
      </c>
    </row>
    <row r="2502" spans="1:4" ht="34.5" customHeight="1">
      <c r="A2502" s="8">
        <v>2500</v>
      </c>
      <c r="B2502" s="9" t="str">
        <f>"54112023062614123568770"</f>
        <v>54112023062614123568770</v>
      </c>
      <c r="C2502" s="9" t="s">
        <v>29</v>
      </c>
      <c r="D2502" s="9" t="str">
        <f>"张志朋"</f>
        <v>张志朋</v>
      </c>
    </row>
    <row r="2503" spans="1:4" ht="34.5" customHeight="1">
      <c r="A2503" s="8">
        <v>2501</v>
      </c>
      <c r="B2503" s="9" t="str">
        <f>"54112023062511043960902"</f>
        <v>54112023062511043960902</v>
      </c>
      <c r="C2503" s="9" t="s">
        <v>29</v>
      </c>
      <c r="D2503" s="9" t="str">
        <f>"卢妍杏"</f>
        <v>卢妍杏</v>
      </c>
    </row>
    <row r="2504" spans="1:4" ht="34.5" customHeight="1">
      <c r="A2504" s="8">
        <v>2502</v>
      </c>
      <c r="B2504" s="9" t="str">
        <f>"54112023062512484262064"</f>
        <v>54112023062512484262064</v>
      </c>
      <c r="C2504" s="9" t="s">
        <v>29</v>
      </c>
      <c r="D2504" s="9" t="str">
        <f>"王建朝"</f>
        <v>王建朝</v>
      </c>
    </row>
    <row r="2505" spans="1:4" ht="34.5" customHeight="1">
      <c r="A2505" s="8">
        <v>2503</v>
      </c>
      <c r="B2505" s="9" t="str">
        <f>"54112023062620580171070"</f>
        <v>54112023062620580171070</v>
      </c>
      <c r="C2505" s="9" t="s">
        <v>29</v>
      </c>
      <c r="D2505" s="9" t="str">
        <f>"秦晓夏"</f>
        <v>秦晓夏</v>
      </c>
    </row>
    <row r="2506" spans="1:4" ht="34.5" customHeight="1">
      <c r="A2506" s="8">
        <v>2504</v>
      </c>
      <c r="B2506" s="9" t="str">
        <f>"54112023062620411270976"</f>
        <v>54112023062620411270976</v>
      </c>
      <c r="C2506" s="9" t="s">
        <v>29</v>
      </c>
      <c r="D2506" s="9" t="str">
        <f>"黄林欢"</f>
        <v>黄林欢</v>
      </c>
    </row>
    <row r="2507" spans="1:4" ht="34.5" customHeight="1">
      <c r="A2507" s="8">
        <v>2505</v>
      </c>
      <c r="B2507" s="9" t="str">
        <f>"54112023062620440370993"</f>
        <v>54112023062620440370993</v>
      </c>
      <c r="C2507" s="9" t="s">
        <v>29</v>
      </c>
      <c r="D2507" s="9" t="str">
        <f>"秦菁菁"</f>
        <v>秦菁菁</v>
      </c>
    </row>
    <row r="2508" spans="1:4" ht="34.5" customHeight="1">
      <c r="A2508" s="8">
        <v>2506</v>
      </c>
      <c r="B2508" s="9" t="str">
        <f>"54112023062622132471444"</f>
        <v>54112023062622132471444</v>
      </c>
      <c r="C2508" s="9" t="s">
        <v>29</v>
      </c>
      <c r="D2508" s="9" t="str">
        <f>"朱成名"</f>
        <v>朱成名</v>
      </c>
    </row>
    <row r="2509" spans="1:4" ht="34.5" customHeight="1">
      <c r="A2509" s="8">
        <v>2507</v>
      </c>
      <c r="B2509" s="9" t="str">
        <f>"54112023062708251172033"</f>
        <v>54112023062708251172033</v>
      </c>
      <c r="C2509" s="9" t="s">
        <v>29</v>
      </c>
      <c r="D2509" s="9" t="str">
        <f>"陈孟年"</f>
        <v>陈孟年</v>
      </c>
    </row>
    <row r="2510" spans="1:4" ht="34.5" customHeight="1">
      <c r="A2510" s="8">
        <v>2508</v>
      </c>
      <c r="B2510" s="9" t="str">
        <f>"54112023062713081573748"</f>
        <v>54112023062713081573748</v>
      </c>
      <c r="C2510" s="9" t="s">
        <v>29</v>
      </c>
      <c r="D2510" s="9" t="str">
        <f>"李祥平"</f>
        <v>李祥平</v>
      </c>
    </row>
    <row r="2511" spans="1:4" ht="34.5" customHeight="1">
      <c r="A2511" s="8">
        <v>2509</v>
      </c>
      <c r="B2511" s="9" t="str">
        <f>"54112023062715154174161"</f>
        <v>54112023062715154174161</v>
      </c>
      <c r="C2511" s="9" t="s">
        <v>29</v>
      </c>
      <c r="D2511" s="9" t="str">
        <f>"庄华曼"</f>
        <v>庄华曼</v>
      </c>
    </row>
    <row r="2512" spans="1:4" ht="34.5" customHeight="1">
      <c r="A2512" s="8">
        <v>2510</v>
      </c>
      <c r="B2512" s="9" t="str">
        <f>"54112023062710145572686"</f>
        <v>54112023062710145572686</v>
      </c>
      <c r="C2512" s="9" t="s">
        <v>29</v>
      </c>
      <c r="D2512" s="9" t="str">
        <f>"吴智惟"</f>
        <v>吴智惟</v>
      </c>
    </row>
    <row r="2513" spans="1:4" ht="34.5" customHeight="1">
      <c r="A2513" s="8">
        <v>2511</v>
      </c>
      <c r="B2513" s="9" t="str">
        <f>"54112023062711293273387"</f>
        <v>54112023062711293273387</v>
      </c>
      <c r="C2513" s="9" t="s">
        <v>29</v>
      </c>
      <c r="D2513" s="9" t="str">
        <f>"符家乐"</f>
        <v>符家乐</v>
      </c>
    </row>
    <row r="2514" spans="1:4" ht="34.5" customHeight="1">
      <c r="A2514" s="8">
        <v>2512</v>
      </c>
      <c r="B2514" s="9" t="str">
        <f>"54112023062718113875270"</f>
        <v>54112023062718113875270</v>
      </c>
      <c r="C2514" s="9" t="s">
        <v>29</v>
      </c>
      <c r="D2514" s="9" t="str">
        <f>"高世壮"</f>
        <v>高世壮</v>
      </c>
    </row>
    <row r="2515" spans="1:4" ht="34.5" customHeight="1">
      <c r="A2515" s="8">
        <v>2513</v>
      </c>
      <c r="B2515" s="9" t="str">
        <f>"54112023062717405075170"</f>
        <v>54112023062717405075170</v>
      </c>
      <c r="C2515" s="9" t="s">
        <v>29</v>
      </c>
      <c r="D2515" s="9" t="str">
        <f>"裴王艳"</f>
        <v>裴王艳</v>
      </c>
    </row>
    <row r="2516" spans="1:4" ht="34.5" customHeight="1">
      <c r="A2516" s="8">
        <v>2514</v>
      </c>
      <c r="B2516" s="9" t="str">
        <f>"54112023062616310869723"</f>
        <v>54112023062616310869723</v>
      </c>
      <c r="C2516" s="9" t="s">
        <v>29</v>
      </c>
      <c r="D2516" s="9" t="str">
        <f>"陈政澎"</f>
        <v>陈政澎</v>
      </c>
    </row>
    <row r="2517" spans="1:4" ht="34.5" customHeight="1">
      <c r="A2517" s="8">
        <v>2515</v>
      </c>
      <c r="B2517" s="9" t="str">
        <f>"54112023062708533172175"</f>
        <v>54112023062708533172175</v>
      </c>
      <c r="C2517" s="9" t="s">
        <v>29</v>
      </c>
      <c r="D2517" s="9" t="str">
        <f>"郑佳琪"</f>
        <v>郑佳琪</v>
      </c>
    </row>
    <row r="2518" spans="1:4" ht="34.5" customHeight="1">
      <c r="A2518" s="8">
        <v>2516</v>
      </c>
      <c r="B2518" s="9" t="str">
        <f>"54112023062810573877354"</f>
        <v>54112023062810573877354</v>
      </c>
      <c r="C2518" s="9" t="s">
        <v>29</v>
      </c>
      <c r="D2518" s="9" t="str">
        <f>"孙尔禧"</f>
        <v>孙尔禧</v>
      </c>
    </row>
    <row r="2519" spans="1:4" ht="34.5" customHeight="1">
      <c r="A2519" s="8">
        <v>2517</v>
      </c>
      <c r="B2519" s="9" t="str">
        <f>"54112023062818055179133"</f>
        <v>54112023062818055179133</v>
      </c>
      <c r="C2519" s="9" t="s">
        <v>29</v>
      </c>
      <c r="D2519" s="9" t="str">
        <f>"陈荣善"</f>
        <v>陈荣善</v>
      </c>
    </row>
    <row r="2520" spans="1:4" ht="34.5" customHeight="1">
      <c r="A2520" s="8">
        <v>2518</v>
      </c>
      <c r="B2520" s="9" t="str">
        <f>"54112023062816584878894"</f>
        <v>54112023062816584878894</v>
      </c>
      <c r="C2520" s="9" t="s">
        <v>29</v>
      </c>
      <c r="D2520" s="9" t="str">
        <f>"宁可诚"</f>
        <v>宁可诚</v>
      </c>
    </row>
    <row r="2521" spans="1:4" ht="34.5" customHeight="1">
      <c r="A2521" s="8">
        <v>2519</v>
      </c>
      <c r="B2521" s="9" t="str">
        <f>"54112023062717585775224"</f>
        <v>54112023062717585775224</v>
      </c>
      <c r="C2521" s="9" t="s">
        <v>29</v>
      </c>
      <c r="D2521" s="9" t="str">
        <f>"陈来喜"</f>
        <v>陈来喜</v>
      </c>
    </row>
    <row r="2522" spans="1:4" ht="34.5" customHeight="1">
      <c r="A2522" s="8">
        <v>2520</v>
      </c>
      <c r="B2522" s="9" t="str">
        <f>"54112023062900001880331"</f>
        <v>54112023062900001880331</v>
      </c>
      <c r="C2522" s="9" t="s">
        <v>29</v>
      </c>
      <c r="D2522" s="9" t="str">
        <f>"王祚师"</f>
        <v>王祚师</v>
      </c>
    </row>
    <row r="2523" spans="1:4" ht="34.5" customHeight="1">
      <c r="A2523" s="8">
        <v>2521</v>
      </c>
      <c r="B2523" s="9" t="str">
        <f>"54112023062709302872393"</f>
        <v>54112023062709302872393</v>
      </c>
      <c r="C2523" s="9" t="s">
        <v>29</v>
      </c>
      <c r="D2523" s="9" t="str">
        <f>"郭凤茹"</f>
        <v>郭凤茹</v>
      </c>
    </row>
    <row r="2524" spans="1:4" ht="34.5" customHeight="1">
      <c r="A2524" s="8">
        <v>2522</v>
      </c>
      <c r="B2524" s="9" t="str">
        <f>"54112023063016171489835"</f>
        <v>54112023063016171489835</v>
      </c>
      <c r="C2524" s="9" t="s">
        <v>29</v>
      </c>
      <c r="D2524" s="9" t="str">
        <f>"胡绍海"</f>
        <v>胡绍海</v>
      </c>
    </row>
    <row r="2525" spans="1:4" ht="34.5" customHeight="1">
      <c r="A2525" s="8">
        <v>2523</v>
      </c>
      <c r="B2525" s="9" t="str">
        <f>"54112023063021201990475"</f>
        <v>54112023063021201990475</v>
      </c>
      <c r="C2525" s="9" t="s">
        <v>29</v>
      </c>
      <c r="D2525" s="9" t="str">
        <f>"朱晶晶"</f>
        <v>朱晶晶</v>
      </c>
    </row>
    <row r="2526" spans="1:4" ht="34.5" customHeight="1">
      <c r="A2526" s="8">
        <v>2524</v>
      </c>
      <c r="B2526" s="9" t="str">
        <f>"54112023062714553674078"</f>
        <v>54112023062714553674078</v>
      </c>
      <c r="C2526" s="9" t="s">
        <v>29</v>
      </c>
      <c r="D2526" s="9" t="str">
        <f>"许玉琴"</f>
        <v>许玉琴</v>
      </c>
    </row>
    <row r="2527" spans="1:4" ht="34.5" customHeight="1">
      <c r="A2527" s="8">
        <v>2525</v>
      </c>
      <c r="B2527" s="9" t="str">
        <f>"54112023063020263190363"</f>
        <v>54112023063020263190363</v>
      </c>
      <c r="C2527" s="9" t="s">
        <v>29</v>
      </c>
      <c r="D2527" s="9" t="str">
        <f>"王佳琦"</f>
        <v>王佳琦</v>
      </c>
    </row>
    <row r="2528" spans="1:4" ht="34.5" customHeight="1">
      <c r="A2528" s="8">
        <v>2526</v>
      </c>
      <c r="B2528" s="9" t="str">
        <f>"54112023062817005178904"</f>
        <v>54112023062817005178904</v>
      </c>
      <c r="C2528" s="9" t="s">
        <v>29</v>
      </c>
      <c r="D2528" s="9" t="str">
        <f>"陈金敏"</f>
        <v>陈金敏</v>
      </c>
    </row>
    <row r="2529" spans="1:4" ht="34.5" customHeight="1">
      <c r="A2529" s="8">
        <v>2527</v>
      </c>
      <c r="B2529" s="9" t="str">
        <f>"54112023070221203194732"</f>
        <v>54112023070221203194732</v>
      </c>
      <c r="C2529" s="9" t="s">
        <v>29</v>
      </c>
      <c r="D2529" s="9" t="str">
        <f>"徐堂杰"</f>
        <v>徐堂杰</v>
      </c>
    </row>
    <row r="2530" spans="1:4" ht="34.5" customHeight="1">
      <c r="A2530" s="8">
        <v>2528</v>
      </c>
      <c r="B2530" s="9" t="str">
        <f>"54112023070222102394889"</f>
        <v>54112023070222102394889</v>
      </c>
      <c r="C2530" s="9" t="s">
        <v>29</v>
      </c>
      <c r="D2530" s="9" t="str">
        <f>"林丹"</f>
        <v>林丹</v>
      </c>
    </row>
    <row r="2531" spans="1:4" ht="34.5" customHeight="1">
      <c r="A2531" s="8">
        <v>2529</v>
      </c>
      <c r="B2531" s="9" t="str">
        <f>"54112023070222571895007"</f>
        <v>54112023070222571895007</v>
      </c>
      <c r="C2531" s="9" t="s">
        <v>29</v>
      </c>
      <c r="D2531" s="9" t="str">
        <f>"王小柱"</f>
        <v>王小柱</v>
      </c>
    </row>
    <row r="2532" spans="1:4" ht="34.5" customHeight="1">
      <c r="A2532" s="8">
        <v>2530</v>
      </c>
      <c r="B2532" s="9" t="str">
        <f>"54112023070309441795912"</f>
        <v>54112023070309441795912</v>
      </c>
      <c r="C2532" s="9" t="s">
        <v>29</v>
      </c>
      <c r="D2532" s="9" t="str">
        <f>"符春妹"</f>
        <v>符春妹</v>
      </c>
    </row>
    <row r="2533" spans="1:4" ht="34.5" customHeight="1">
      <c r="A2533" s="8">
        <v>2531</v>
      </c>
      <c r="B2533" s="9" t="str">
        <f>"54112023070311385696776"</f>
        <v>54112023070311385696776</v>
      </c>
      <c r="C2533" s="9" t="s">
        <v>29</v>
      </c>
      <c r="D2533" s="9" t="str">
        <f>"秦声文"</f>
        <v>秦声文</v>
      </c>
    </row>
    <row r="2534" spans="1:4" ht="34.5" customHeight="1">
      <c r="A2534" s="8">
        <v>2532</v>
      </c>
      <c r="B2534" s="9" t="str">
        <f>"54112023070311074896583"</f>
        <v>54112023070311074896583</v>
      </c>
      <c r="C2534" s="9" t="s">
        <v>29</v>
      </c>
      <c r="D2534" s="9" t="str">
        <f>"何存存"</f>
        <v>何存存</v>
      </c>
    </row>
    <row r="2535" spans="1:4" ht="34.5" customHeight="1">
      <c r="A2535" s="8">
        <v>2533</v>
      </c>
      <c r="B2535" s="9" t="str">
        <f>"54112023070313573297509"</f>
        <v>54112023070313573297509</v>
      </c>
      <c r="C2535" s="9" t="s">
        <v>29</v>
      </c>
      <c r="D2535" s="9" t="str">
        <f>"吴春妮"</f>
        <v>吴春妮</v>
      </c>
    </row>
    <row r="2536" spans="1:4" ht="34.5" customHeight="1">
      <c r="A2536" s="8">
        <v>2534</v>
      </c>
      <c r="B2536" s="9" t="str">
        <f>"54112023070315255697953"</f>
        <v>54112023070315255697953</v>
      </c>
      <c r="C2536" s="9" t="s">
        <v>29</v>
      </c>
      <c r="D2536" s="9" t="str">
        <f>"吴锦亮"</f>
        <v>吴锦亮</v>
      </c>
    </row>
    <row r="2537" spans="1:4" ht="34.5" customHeight="1">
      <c r="A2537" s="8">
        <v>2535</v>
      </c>
      <c r="B2537" s="9" t="str">
        <f>"54112023070316131498244"</f>
        <v>54112023070316131498244</v>
      </c>
      <c r="C2537" s="9" t="s">
        <v>29</v>
      </c>
      <c r="D2537" s="9" t="str">
        <f>"陈益娇"</f>
        <v>陈益娇</v>
      </c>
    </row>
    <row r="2538" spans="1:4" ht="34.5" customHeight="1">
      <c r="A2538" s="8">
        <v>2536</v>
      </c>
      <c r="B2538" s="9" t="str">
        <f>"54112023070218521194388"</f>
        <v>54112023070218521194388</v>
      </c>
      <c r="C2538" s="9" t="s">
        <v>29</v>
      </c>
      <c r="D2538" s="9" t="str">
        <f>"祁雯丽"</f>
        <v>祁雯丽</v>
      </c>
    </row>
    <row r="2539" spans="1:4" ht="34.5" customHeight="1">
      <c r="A2539" s="8">
        <v>2537</v>
      </c>
      <c r="B2539" s="9" t="str">
        <f>"54112023070319505799190"</f>
        <v>54112023070319505799190</v>
      </c>
      <c r="C2539" s="9" t="s">
        <v>29</v>
      </c>
      <c r="D2539" s="9" t="str">
        <f>"邓万鸿"</f>
        <v>邓万鸿</v>
      </c>
    </row>
    <row r="2540" spans="1:4" ht="34.5" customHeight="1">
      <c r="A2540" s="8">
        <v>2538</v>
      </c>
      <c r="B2540" s="9" t="str">
        <f>"54112023063012252588301"</f>
        <v>54112023063012252588301</v>
      </c>
      <c r="C2540" s="9" t="s">
        <v>29</v>
      </c>
      <c r="D2540" s="9" t="str">
        <f>"潘莉婷"</f>
        <v>潘莉婷</v>
      </c>
    </row>
    <row r="2541" spans="1:4" ht="34.5" customHeight="1">
      <c r="A2541" s="8">
        <v>2539</v>
      </c>
      <c r="B2541" s="9" t="str">
        <f>"54112023070312260997043"</f>
        <v>54112023070312260997043</v>
      </c>
      <c r="C2541" s="9" t="s">
        <v>29</v>
      </c>
      <c r="D2541" s="9" t="str">
        <f>"孟巧璞"</f>
        <v>孟巧璞</v>
      </c>
    </row>
    <row r="2542" spans="1:4" ht="34.5" customHeight="1">
      <c r="A2542" s="8">
        <v>2540</v>
      </c>
      <c r="B2542" s="9" t="str">
        <f>"541120230703231436100155"</f>
        <v>541120230703231436100155</v>
      </c>
      <c r="C2542" s="9" t="s">
        <v>29</v>
      </c>
      <c r="D2542" s="9" t="str">
        <f>"黎德霞"</f>
        <v>黎德霞</v>
      </c>
    </row>
    <row r="2543" spans="1:4" ht="34.5" customHeight="1">
      <c r="A2543" s="8">
        <v>2541</v>
      </c>
      <c r="B2543" s="9" t="str">
        <f>"541120230704000242100287"</f>
        <v>541120230704000242100287</v>
      </c>
      <c r="C2543" s="9" t="s">
        <v>29</v>
      </c>
      <c r="D2543" s="9" t="str">
        <f>"刘珊羽"</f>
        <v>刘珊羽</v>
      </c>
    </row>
    <row r="2544" spans="1:4" ht="34.5" customHeight="1">
      <c r="A2544" s="8">
        <v>2542</v>
      </c>
      <c r="B2544" s="9" t="str">
        <f>"54112023070221100394700"</f>
        <v>54112023070221100394700</v>
      </c>
      <c r="C2544" s="9" t="s">
        <v>29</v>
      </c>
      <c r="D2544" s="9" t="str">
        <f>"郭海婷"</f>
        <v>郭海婷</v>
      </c>
    </row>
    <row r="2545" spans="1:4" ht="34.5" customHeight="1">
      <c r="A2545" s="8">
        <v>2543</v>
      </c>
      <c r="B2545" s="9" t="str">
        <f>"54112023062523174064960"</f>
        <v>54112023062523174064960</v>
      </c>
      <c r="C2545" s="9" t="s">
        <v>29</v>
      </c>
      <c r="D2545" s="9" t="str">
        <f>"梁杰广"</f>
        <v>梁杰广</v>
      </c>
    </row>
    <row r="2546" spans="1:4" ht="34.5" customHeight="1">
      <c r="A2546" s="8">
        <v>2544</v>
      </c>
      <c r="B2546" s="9" t="str">
        <f>"54112023062509255160052"</f>
        <v>54112023062509255160052</v>
      </c>
      <c r="C2546" s="9" t="s">
        <v>30</v>
      </c>
      <c r="D2546" s="9" t="str">
        <f>"王国兴"</f>
        <v>王国兴</v>
      </c>
    </row>
    <row r="2547" spans="1:4" ht="34.5" customHeight="1">
      <c r="A2547" s="8">
        <v>2545</v>
      </c>
      <c r="B2547" s="9" t="str">
        <f>"54112023062509284860084"</f>
        <v>54112023062509284860084</v>
      </c>
      <c r="C2547" s="9" t="s">
        <v>30</v>
      </c>
      <c r="D2547" s="9" t="str">
        <f>"张丽霜"</f>
        <v>张丽霜</v>
      </c>
    </row>
    <row r="2548" spans="1:4" ht="34.5" customHeight="1">
      <c r="A2548" s="8">
        <v>2546</v>
      </c>
      <c r="B2548" s="9" t="str">
        <f>"54112023062514544962689"</f>
        <v>54112023062514544962689</v>
      </c>
      <c r="C2548" s="9" t="s">
        <v>30</v>
      </c>
      <c r="D2548" s="9" t="str">
        <f>"洪艳琪"</f>
        <v>洪艳琪</v>
      </c>
    </row>
    <row r="2549" spans="1:4" ht="34.5" customHeight="1">
      <c r="A2549" s="8">
        <v>2547</v>
      </c>
      <c r="B2549" s="9" t="str">
        <f>"54112023062515392262992"</f>
        <v>54112023062515392262992</v>
      </c>
      <c r="C2549" s="9" t="s">
        <v>30</v>
      </c>
      <c r="D2549" s="9" t="str">
        <f>"王姣"</f>
        <v>王姣</v>
      </c>
    </row>
    <row r="2550" spans="1:4" ht="34.5" customHeight="1">
      <c r="A2550" s="8">
        <v>2548</v>
      </c>
      <c r="B2550" s="9" t="str">
        <f>"54112023062516332063303"</f>
        <v>54112023062516332063303</v>
      </c>
      <c r="C2550" s="9" t="s">
        <v>30</v>
      </c>
      <c r="D2550" s="9" t="str">
        <f>"杨玉秀"</f>
        <v>杨玉秀</v>
      </c>
    </row>
    <row r="2551" spans="1:4" ht="34.5" customHeight="1">
      <c r="A2551" s="8">
        <v>2549</v>
      </c>
      <c r="B2551" s="9" t="str">
        <f>"54112023062518355963779"</f>
        <v>54112023062518355963779</v>
      </c>
      <c r="C2551" s="9" t="s">
        <v>30</v>
      </c>
      <c r="D2551" s="9" t="str">
        <f>"刘妹"</f>
        <v>刘妹</v>
      </c>
    </row>
    <row r="2552" spans="1:4" ht="34.5" customHeight="1">
      <c r="A2552" s="8">
        <v>2550</v>
      </c>
      <c r="B2552" s="9" t="str">
        <f>"54112023062518380263789"</f>
        <v>54112023062518380263789</v>
      </c>
      <c r="C2552" s="9" t="s">
        <v>30</v>
      </c>
      <c r="D2552" s="9" t="str">
        <f>"李兰菊"</f>
        <v>李兰菊</v>
      </c>
    </row>
    <row r="2553" spans="1:4" ht="34.5" customHeight="1">
      <c r="A2553" s="8">
        <v>2551</v>
      </c>
      <c r="B2553" s="9" t="str">
        <f>"54112023062511353061119"</f>
        <v>54112023062511353061119</v>
      </c>
      <c r="C2553" s="9" t="s">
        <v>30</v>
      </c>
      <c r="D2553" s="9" t="str">
        <f>"王子盈"</f>
        <v>王子盈</v>
      </c>
    </row>
    <row r="2554" spans="1:4" ht="34.5" customHeight="1">
      <c r="A2554" s="8">
        <v>2552</v>
      </c>
      <c r="B2554" s="9" t="str">
        <f>"54112023062516533763396"</f>
        <v>54112023062516533763396</v>
      </c>
      <c r="C2554" s="9" t="s">
        <v>30</v>
      </c>
      <c r="D2554" s="9" t="str">
        <f>"洪雅"</f>
        <v>洪雅</v>
      </c>
    </row>
    <row r="2555" spans="1:4" ht="34.5" customHeight="1">
      <c r="A2555" s="8">
        <v>2553</v>
      </c>
      <c r="B2555" s="9" t="str">
        <f>"54112023062520160564170"</f>
        <v>54112023062520160564170</v>
      </c>
      <c r="C2555" s="9" t="s">
        <v>30</v>
      </c>
      <c r="D2555" s="9" t="str">
        <f>"郑政"</f>
        <v>郑政</v>
      </c>
    </row>
    <row r="2556" spans="1:4" ht="34.5" customHeight="1">
      <c r="A2556" s="8">
        <v>2554</v>
      </c>
      <c r="B2556" s="9" t="str">
        <f>"54112023062519230363960"</f>
        <v>54112023062519230363960</v>
      </c>
      <c r="C2556" s="9" t="s">
        <v>30</v>
      </c>
      <c r="D2556" s="9" t="str">
        <f>"张少珍"</f>
        <v>张少珍</v>
      </c>
    </row>
    <row r="2557" spans="1:4" ht="34.5" customHeight="1">
      <c r="A2557" s="8">
        <v>2555</v>
      </c>
      <c r="B2557" s="9" t="str">
        <f>"54112023062520564964366"</f>
        <v>54112023062520564964366</v>
      </c>
      <c r="C2557" s="9" t="s">
        <v>30</v>
      </c>
      <c r="D2557" s="9" t="str">
        <f>"林飞转"</f>
        <v>林飞转</v>
      </c>
    </row>
    <row r="2558" spans="1:4" ht="34.5" customHeight="1">
      <c r="A2558" s="8">
        <v>2556</v>
      </c>
      <c r="B2558" s="9" t="str">
        <f>"54112023062521144164457"</f>
        <v>54112023062521144164457</v>
      </c>
      <c r="C2558" s="9" t="s">
        <v>30</v>
      </c>
      <c r="D2558" s="9" t="str">
        <f>"张芳菊"</f>
        <v>张芳菊</v>
      </c>
    </row>
    <row r="2559" spans="1:4" ht="34.5" customHeight="1">
      <c r="A2559" s="8">
        <v>2557</v>
      </c>
      <c r="B2559" s="9" t="str">
        <f>"54112023062520563264364"</f>
        <v>54112023062520563264364</v>
      </c>
      <c r="C2559" s="9" t="s">
        <v>30</v>
      </c>
      <c r="D2559" s="9" t="str">
        <f>"黄慧环"</f>
        <v>黄慧环</v>
      </c>
    </row>
    <row r="2560" spans="1:4" ht="34.5" customHeight="1">
      <c r="A2560" s="8">
        <v>2558</v>
      </c>
      <c r="B2560" s="9" t="str">
        <f>"54112023062523095864937"</f>
        <v>54112023062523095864937</v>
      </c>
      <c r="C2560" s="9" t="s">
        <v>30</v>
      </c>
      <c r="D2560" s="9" t="str">
        <f>"徐凤翔"</f>
        <v>徐凤翔</v>
      </c>
    </row>
    <row r="2561" spans="1:4" ht="34.5" customHeight="1">
      <c r="A2561" s="8">
        <v>2559</v>
      </c>
      <c r="B2561" s="9" t="str">
        <f>"54112023062512181361845"</f>
        <v>54112023062512181361845</v>
      </c>
      <c r="C2561" s="9" t="s">
        <v>30</v>
      </c>
      <c r="D2561" s="9" t="str">
        <f>"黄海霞"</f>
        <v>黄海霞</v>
      </c>
    </row>
    <row r="2562" spans="1:4" ht="34.5" customHeight="1">
      <c r="A2562" s="8">
        <v>2560</v>
      </c>
      <c r="B2562" s="9" t="str">
        <f>"54112023062609354266182"</f>
        <v>54112023062609354266182</v>
      </c>
      <c r="C2562" s="9" t="s">
        <v>30</v>
      </c>
      <c r="D2562" s="9" t="str">
        <f>"吴昭璇"</f>
        <v>吴昭璇</v>
      </c>
    </row>
    <row r="2563" spans="1:4" ht="34.5" customHeight="1">
      <c r="A2563" s="8">
        <v>2561</v>
      </c>
      <c r="B2563" s="9" t="str">
        <f>"54112023062520293664227"</f>
        <v>54112023062520293664227</v>
      </c>
      <c r="C2563" s="9" t="s">
        <v>30</v>
      </c>
      <c r="D2563" s="9" t="str">
        <f>"赵春慧"</f>
        <v>赵春慧</v>
      </c>
    </row>
    <row r="2564" spans="1:4" ht="34.5" customHeight="1">
      <c r="A2564" s="8">
        <v>2562</v>
      </c>
      <c r="B2564" s="9" t="str">
        <f>"54112023062609505266448"</f>
        <v>54112023062609505266448</v>
      </c>
      <c r="C2564" s="9" t="s">
        <v>30</v>
      </c>
      <c r="D2564" s="9" t="str">
        <f>"符明凯"</f>
        <v>符明凯</v>
      </c>
    </row>
    <row r="2565" spans="1:4" ht="34.5" customHeight="1">
      <c r="A2565" s="8">
        <v>2563</v>
      </c>
      <c r="B2565" s="9" t="str">
        <f>"54112023062608591765465"</f>
        <v>54112023062608591765465</v>
      </c>
      <c r="C2565" s="9" t="s">
        <v>30</v>
      </c>
      <c r="D2565" s="9" t="str">
        <f>"杜文慧"</f>
        <v>杜文慧</v>
      </c>
    </row>
    <row r="2566" spans="1:4" ht="34.5" customHeight="1">
      <c r="A2566" s="8">
        <v>2564</v>
      </c>
      <c r="B2566" s="9" t="str">
        <f>"54112023062609512566459"</f>
        <v>54112023062609512566459</v>
      </c>
      <c r="C2566" s="9" t="s">
        <v>30</v>
      </c>
      <c r="D2566" s="9" t="str">
        <f>"卢惠"</f>
        <v>卢惠</v>
      </c>
    </row>
    <row r="2567" spans="1:4" ht="34.5" customHeight="1">
      <c r="A2567" s="8">
        <v>2565</v>
      </c>
      <c r="B2567" s="9" t="str">
        <f>"54112023062610284167050"</f>
        <v>54112023062610284167050</v>
      </c>
      <c r="C2567" s="9" t="s">
        <v>30</v>
      </c>
      <c r="D2567" s="9" t="str">
        <f>"凌小仪"</f>
        <v>凌小仪</v>
      </c>
    </row>
    <row r="2568" spans="1:4" ht="34.5" customHeight="1">
      <c r="A2568" s="8">
        <v>2566</v>
      </c>
      <c r="B2568" s="9" t="str">
        <f>"54112023062612145668159"</f>
        <v>54112023062612145668159</v>
      </c>
      <c r="C2568" s="9" t="s">
        <v>30</v>
      </c>
      <c r="D2568" s="9" t="str">
        <f>"吴周妮"</f>
        <v>吴周妮</v>
      </c>
    </row>
    <row r="2569" spans="1:4" ht="34.5" customHeight="1">
      <c r="A2569" s="8">
        <v>2567</v>
      </c>
      <c r="B2569" s="9" t="str">
        <f>"54112023062614170468788"</f>
        <v>54112023062614170468788</v>
      </c>
      <c r="C2569" s="9" t="s">
        <v>30</v>
      </c>
      <c r="D2569" s="9" t="str">
        <f>"林朱玲"</f>
        <v>林朱玲</v>
      </c>
    </row>
    <row r="2570" spans="1:4" ht="34.5" customHeight="1">
      <c r="A2570" s="8">
        <v>2568</v>
      </c>
      <c r="B2570" s="9" t="str">
        <f>"54112023062614512669003"</f>
        <v>54112023062614512669003</v>
      </c>
      <c r="C2570" s="9" t="s">
        <v>30</v>
      </c>
      <c r="D2570" s="9" t="str">
        <f>"黄卓行"</f>
        <v>黄卓行</v>
      </c>
    </row>
    <row r="2571" spans="1:4" ht="34.5" customHeight="1">
      <c r="A2571" s="8">
        <v>2569</v>
      </c>
      <c r="B2571" s="9" t="str">
        <f>"54112023062615542969454"</f>
        <v>54112023062615542969454</v>
      </c>
      <c r="C2571" s="9" t="s">
        <v>30</v>
      </c>
      <c r="D2571" s="9" t="str">
        <f>"符春蕾"</f>
        <v>符春蕾</v>
      </c>
    </row>
    <row r="2572" spans="1:4" ht="34.5" customHeight="1">
      <c r="A2572" s="8">
        <v>2570</v>
      </c>
      <c r="B2572" s="9" t="str">
        <f>"54112023062615414169362"</f>
        <v>54112023062615414169362</v>
      </c>
      <c r="C2572" s="9" t="s">
        <v>30</v>
      </c>
      <c r="D2572" s="9" t="str">
        <f>"林秋强"</f>
        <v>林秋强</v>
      </c>
    </row>
    <row r="2573" spans="1:4" ht="34.5" customHeight="1">
      <c r="A2573" s="8">
        <v>2571</v>
      </c>
      <c r="B2573" s="9" t="str">
        <f>"54112023062610523967358"</f>
        <v>54112023062610523967358</v>
      </c>
      <c r="C2573" s="9" t="s">
        <v>30</v>
      </c>
      <c r="D2573" s="9" t="str">
        <f>"吉婷婷"</f>
        <v>吉婷婷</v>
      </c>
    </row>
    <row r="2574" spans="1:4" ht="34.5" customHeight="1">
      <c r="A2574" s="8">
        <v>2572</v>
      </c>
      <c r="B2574" s="9" t="str">
        <f>"54112023062620483071024"</f>
        <v>54112023062620483071024</v>
      </c>
      <c r="C2574" s="9" t="s">
        <v>30</v>
      </c>
      <c r="D2574" s="9" t="str">
        <f>"王艳妃"</f>
        <v>王艳妃</v>
      </c>
    </row>
    <row r="2575" spans="1:4" ht="34.5" customHeight="1">
      <c r="A2575" s="8">
        <v>2573</v>
      </c>
      <c r="B2575" s="9" t="str">
        <f>"54112023062621115671144"</f>
        <v>54112023062621115671144</v>
      </c>
      <c r="C2575" s="9" t="s">
        <v>30</v>
      </c>
      <c r="D2575" s="9" t="str">
        <f>"罗英梅"</f>
        <v>罗英梅</v>
      </c>
    </row>
    <row r="2576" spans="1:4" ht="34.5" customHeight="1">
      <c r="A2576" s="8">
        <v>2574</v>
      </c>
      <c r="B2576" s="9" t="str">
        <f>"54112023062622131171442"</f>
        <v>54112023062622131171442</v>
      </c>
      <c r="C2576" s="9" t="s">
        <v>30</v>
      </c>
      <c r="D2576" s="9" t="str">
        <f>"毛丹妮"</f>
        <v>毛丹妮</v>
      </c>
    </row>
    <row r="2577" spans="1:4" ht="34.5" customHeight="1">
      <c r="A2577" s="8">
        <v>2575</v>
      </c>
      <c r="B2577" s="9" t="str">
        <f>"54112023062622130071439"</f>
        <v>54112023062622130071439</v>
      </c>
      <c r="C2577" s="9" t="s">
        <v>30</v>
      </c>
      <c r="D2577" s="9" t="str">
        <f>"邢文婷"</f>
        <v>邢文婷</v>
      </c>
    </row>
    <row r="2578" spans="1:4" ht="34.5" customHeight="1">
      <c r="A2578" s="8">
        <v>2576</v>
      </c>
      <c r="B2578" s="9" t="str">
        <f>"54112023062700204271813"</f>
        <v>54112023062700204271813</v>
      </c>
      <c r="C2578" s="9" t="s">
        <v>30</v>
      </c>
      <c r="D2578" s="9" t="str">
        <f>"何武"</f>
        <v>何武</v>
      </c>
    </row>
    <row r="2579" spans="1:4" ht="34.5" customHeight="1">
      <c r="A2579" s="8">
        <v>2577</v>
      </c>
      <c r="B2579" s="9" t="str">
        <f>"54112023062700564771832"</f>
        <v>54112023062700564771832</v>
      </c>
      <c r="C2579" s="9" t="s">
        <v>30</v>
      </c>
      <c r="D2579" s="9" t="str">
        <f>"陈妹娟"</f>
        <v>陈妹娟</v>
      </c>
    </row>
    <row r="2580" spans="1:4" ht="34.5" customHeight="1">
      <c r="A2580" s="8">
        <v>2578</v>
      </c>
      <c r="B2580" s="9" t="str">
        <f>"54112023062710100372650"</f>
        <v>54112023062710100372650</v>
      </c>
      <c r="C2580" s="9" t="s">
        <v>30</v>
      </c>
      <c r="D2580" s="9" t="str">
        <f>"罗萍萍"</f>
        <v>罗萍萍</v>
      </c>
    </row>
    <row r="2581" spans="1:4" ht="34.5" customHeight="1">
      <c r="A2581" s="8">
        <v>2579</v>
      </c>
      <c r="B2581" s="9" t="str">
        <f>"54112023062709404372464"</f>
        <v>54112023062709404372464</v>
      </c>
      <c r="C2581" s="9" t="s">
        <v>30</v>
      </c>
      <c r="D2581" s="9" t="str">
        <f>"王慧玲"</f>
        <v>王慧玲</v>
      </c>
    </row>
    <row r="2582" spans="1:4" ht="34.5" customHeight="1">
      <c r="A2582" s="8">
        <v>2580</v>
      </c>
      <c r="B2582" s="9" t="str">
        <f>"54112023062710074172628"</f>
        <v>54112023062710074172628</v>
      </c>
      <c r="C2582" s="9" t="s">
        <v>30</v>
      </c>
      <c r="D2582" s="9" t="str">
        <f>"陈海云"</f>
        <v>陈海云</v>
      </c>
    </row>
    <row r="2583" spans="1:4" ht="34.5" customHeight="1">
      <c r="A2583" s="8">
        <v>2581</v>
      </c>
      <c r="B2583" s="9" t="str">
        <f>"54112023062712081273548"</f>
        <v>54112023062712081273548</v>
      </c>
      <c r="C2583" s="9" t="s">
        <v>30</v>
      </c>
      <c r="D2583" s="9" t="str">
        <f>"曾曼群"</f>
        <v>曾曼群</v>
      </c>
    </row>
    <row r="2584" spans="1:4" ht="34.5" customHeight="1">
      <c r="A2584" s="8">
        <v>2582</v>
      </c>
      <c r="B2584" s="9" t="str">
        <f>"54112023062712202073595"</f>
        <v>54112023062712202073595</v>
      </c>
      <c r="C2584" s="9" t="s">
        <v>30</v>
      </c>
      <c r="D2584" s="9" t="str">
        <f>"曾昭华"</f>
        <v>曾昭华</v>
      </c>
    </row>
    <row r="2585" spans="1:4" ht="34.5" customHeight="1">
      <c r="A2585" s="8">
        <v>2583</v>
      </c>
      <c r="B2585" s="9" t="str">
        <f>"54112023062720392075745"</f>
        <v>54112023062720392075745</v>
      </c>
      <c r="C2585" s="9" t="s">
        <v>30</v>
      </c>
      <c r="D2585" s="9" t="str">
        <f>"罗玉玉"</f>
        <v>罗玉玉</v>
      </c>
    </row>
    <row r="2586" spans="1:4" ht="34.5" customHeight="1">
      <c r="A2586" s="8">
        <v>2584</v>
      </c>
      <c r="B2586" s="9" t="str">
        <f>"54112023062721053975846"</f>
        <v>54112023062721053975846</v>
      </c>
      <c r="C2586" s="9" t="s">
        <v>30</v>
      </c>
      <c r="D2586" s="9" t="str">
        <f>"龙嫔嫔"</f>
        <v>龙嫔嫔</v>
      </c>
    </row>
    <row r="2587" spans="1:4" ht="34.5" customHeight="1">
      <c r="A2587" s="8">
        <v>2585</v>
      </c>
      <c r="B2587" s="9" t="str">
        <f>"54112023062809365676896"</f>
        <v>54112023062809365676896</v>
      </c>
      <c r="C2587" s="9" t="s">
        <v>30</v>
      </c>
      <c r="D2587" s="9" t="str">
        <f>"王来银"</f>
        <v>王来银</v>
      </c>
    </row>
    <row r="2588" spans="1:4" ht="34.5" customHeight="1">
      <c r="A2588" s="8">
        <v>2586</v>
      </c>
      <c r="B2588" s="9" t="str">
        <f>"54112023062511194061011"</f>
        <v>54112023062511194061011</v>
      </c>
      <c r="C2588" s="9" t="s">
        <v>30</v>
      </c>
      <c r="D2588" s="9" t="str">
        <f>"李慧芳"</f>
        <v>李慧芳</v>
      </c>
    </row>
    <row r="2589" spans="1:4" ht="34.5" customHeight="1">
      <c r="A2589" s="8">
        <v>2587</v>
      </c>
      <c r="B2589" s="9" t="str">
        <f>"54112023062812070177685"</f>
        <v>54112023062812070177685</v>
      </c>
      <c r="C2589" s="9" t="s">
        <v>30</v>
      </c>
      <c r="D2589" s="9" t="str">
        <f>"陈朝龙"</f>
        <v>陈朝龙</v>
      </c>
    </row>
    <row r="2590" spans="1:4" ht="34.5" customHeight="1">
      <c r="A2590" s="8">
        <v>2588</v>
      </c>
      <c r="B2590" s="9" t="str">
        <f>"54112023062700431571828"</f>
        <v>54112023062700431571828</v>
      </c>
      <c r="C2590" s="9" t="s">
        <v>30</v>
      </c>
      <c r="D2590" s="9" t="str">
        <f>"符昌君"</f>
        <v>符昌君</v>
      </c>
    </row>
    <row r="2591" spans="1:4" ht="34.5" customHeight="1">
      <c r="A2591" s="8">
        <v>2589</v>
      </c>
      <c r="B2591" s="9" t="str">
        <f>"54112023062521132764444"</f>
        <v>54112023062521132764444</v>
      </c>
      <c r="C2591" s="9" t="s">
        <v>30</v>
      </c>
      <c r="D2591" s="9" t="str">
        <f>"林雅倩"</f>
        <v>林雅倩</v>
      </c>
    </row>
    <row r="2592" spans="1:4" ht="34.5" customHeight="1">
      <c r="A2592" s="8">
        <v>2590</v>
      </c>
      <c r="B2592" s="9" t="str">
        <f>"54112023062816525578861"</f>
        <v>54112023062816525578861</v>
      </c>
      <c r="C2592" s="9" t="s">
        <v>30</v>
      </c>
      <c r="D2592" s="9" t="str">
        <f>"吴海红"</f>
        <v>吴海红</v>
      </c>
    </row>
    <row r="2593" spans="1:4" ht="34.5" customHeight="1">
      <c r="A2593" s="8">
        <v>2591</v>
      </c>
      <c r="B2593" s="9" t="str">
        <f>"54112023062817392079048"</f>
        <v>54112023062817392079048</v>
      </c>
      <c r="C2593" s="9" t="s">
        <v>30</v>
      </c>
      <c r="D2593" s="9" t="str">
        <f>"许华平"</f>
        <v>许华平</v>
      </c>
    </row>
    <row r="2594" spans="1:4" ht="34.5" customHeight="1">
      <c r="A2594" s="8">
        <v>2592</v>
      </c>
      <c r="B2594" s="9" t="str">
        <f>"54112023062600153865090"</f>
        <v>54112023062600153865090</v>
      </c>
      <c r="C2594" s="9" t="s">
        <v>30</v>
      </c>
      <c r="D2594" s="9" t="str">
        <f>"刘凡"</f>
        <v>刘凡</v>
      </c>
    </row>
    <row r="2595" spans="1:4" ht="34.5" customHeight="1">
      <c r="A2595" s="8">
        <v>2593</v>
      </c>
      <c r="B2595" s="9" t="str">
        <f>"54112023062908510880667"</f>
        <v>54112023062908510880667</v>
      </c>
      <c r="C2595" s="9" t="s">
        <v>30</v>
      </c>
      <c r="D2595" s="9" t="str">
        <f>"成静"</f>
        <v>成静</v>
      </c>
    </row>
    <row r="2596" spans="1:4" ht="34.5" customHeight="1">
      <c r="A2596" s="8">
        <v>2594</v>
      </c>
      <c r="B2596" s="9" t="str">
        <f>"54112023062909042680773"</f>
        <v>54112023062909042680773</v>
      </c>
      <c r="C2596" s="9" t="s">
        <v>30</v>
      </c>
      <c r="D2596" s="9" t="str">
        <f>"唐天彩"</f>
        <v>唐天彩</v>
      </c>
    </row>
    <row r="2597" spans="1:4" ht="34.5" customHeight="1">
      <c r="A2597" s="8">
        <v>2595</v>
      </c>
      <c r="B2597" s="9" t="str">
        <f>"54112023062909131980867"</f>
        <v>54112023062909131980867</v>
      </c>
      <c r="C2597" s="9" t="s">
        <v>30</v>
      </c>
      <c r="D2597" s="9" t="str">
        <f>"范小慧"</f>
        <v>范小慧</v>
      </c>
    </row>
    <row r="2598" spans="1:4" ht="34.5" customHeight="1">
      <c r="A2598" s="8">
        <v>2596</v>
      </c>
      <c r="B2598" s="9" t="str">
        <f>"54112023062909023080745"</f>
        <v>54112023062909023080745</v>
      </c>
      <c r="C2598" s="9" t="s">
        <v>30</v>
      </c>
      <c r="D2598" s="9" t="str">
        <f>"杨兰芝"</f>
        <v>杨兰芝</v>
      </c>
    </row>
    <row r="2599" spans="1:4" ht="34.5" customHeight="1">
      <c r="A2599" s="8">
        <v>2597</v>
      </c>
      <c r="B2599" s="9" t="str">
        <f>"54112023062909130280863"</f>
        <v>54112023062909130280863</v>
      </c>
      <c r="C2599" s="9" t="s">
        <v>30</v>
      </c>
      <c r="D2599" s="9" t="str">
        <f>"符羽冰"</f>
        <v>符羽冰</v>
      </c>
    </row>
    <row r="2600" spans="1:4" ht="34.5" customHeight="1">
      <c r="A2600" s="8">
        <v>2598</v>
      </c>
      <c r="B2600" s="9" t="str">
        <f>"54112023062910162381492"</f>
        <v>54112023062910162381492</v>
      </c>
      <c r="C2600" s="9" t="s">
        <v>30</v>
      </c>
      <c r="D2600" s="9" t="str">
        <f>"叶芷芹"</f>
        <v>叶芷芹</v>
      </c>
    </row>
    <row r="2601" spans="1:4" ht="34.5" customHeight="1">
      <c r="A2601" s="8">
        <v>2599</v>
      </c>
      <c r="B2601" s="9" t="str">
        <f>"54112023062900465980382"</f>
        <v>54112023062900465980382</v>
      </c>
      <c r="C2601" s="9" t="s">
        <v>30</v>
      </c>
      <c r="D2601" s="9" t="str">
        <f>"韦云娟"</f>
        <v>韦云娟</v>
      </c>
    </row>
    <row r="2602" spans="1:4" ht="34.5" customHeight="1">
      <c r="A2602" s="8">
        <v>2600</v>
      </c>
      <c r="B2602" s="9" t="str">
        <f>"54112023062913364582861"</f>
        <v>54112023062913364582861</v>
      </c>
      <c r="C2602" s="9" t="s">
        <v>30</v>
      </c>
      <c r="D2602" s="9" t="str">
        <f>"廖紫滢"</f>
        <v>廖紫滢</v>
      </c>
    </row>
    <row r="2603" spans="1:4" ht="34.5" customHeight="1">
      <c r="A2603" s="8">
        <v>2601</v>
      </c>
      <c r="B2603" s="9" t="str">
        <f>"54112023062913480382900"</f>
        <v>54112023062913480382900</v>
      </c>
      <c r="C2603" s="9" t="s">
        <v>30</v>
      </c>
      <c r="D2603" s="9" t="str">
        <f>"吴造云"</f>
        <v>吴造云</v>
      </c>
    </row>
    <row r="2604" spans="1:4" ht="34.5" customHeight="1">
      <c r="A2604" s="8">
        <v>2602</v>
      </c>
      <c r="B2604" s="9" t="str">
        <f>"54112023062914102282988"</f>
        <v>54112023062914102282988</v>
      </c>
      <c r="C2604" s="9" t="s">
        <v>30</v>
      </c>
      <c r="D2604" s="9" t="str">
        <f>"陈夏珠"</f>
        <v>陈夏珠</v>
      </c>
    </row>
    <row r="2605" spans="1:4" ht="34.5" customHeight="1">
      <c r="A2605" s="8">
        <v>2603</v>
      </c>
      <c r="B2605" s="9" t="str">
        <f>"54112023062917414784353"</f>
        <v>54112023062917414784353</v>
      </c>
      <c r="C2605" s="9" t="s">
        <v>30</v>
      </c>
      <c r="D2605" s="9" t="str">
        <f>"何秋连"</f>
        <v>何秋连</v>
      </c>
    </row>
    <row r="2606" spans="1:4" ht="34.5" customHeight="1">
      <c r="A2606" s="8">
        <v>2604</v>
      </c>
      <c r="B2606" s="9" t="str">
        <f>"54112023062911093281998"</f>
        <v>54112023062911093281998</v>
      </c>
      <c r="C2606" s="9" t="s">
        <v>30</v>
      </c>
      <c r="D2606" s="9" t="str">
        <f>"吴晓珍"</f>
        <v>吴晓珍</v>
      </c>
    </row>
    <row r="2607" spans="1:4" ht="34.5" customHeight="1">
      <c r="A2607" s="8">
        <v>2605</v>
      </c>
      <c r="B2607" s="9" t="str">
        <f>"54112023062508331759661"</f>
        <v>54112023062508331759661</v>
      </c>
      <c r="C2607" s="9" t="s">
        <v>30</v>
      </c>
      <c r="D2607" s="9" t="str">
        <f>"范籽江"</f>
        <v>范籽江</v>
      </c>
    </row>
    <row r="2608" spans="1:4" ht="34.5" customHeight="1">
      <c r="A2608" s="8">
        <v>2606</v>
      </c>
      <c r="B2608" s="9" t="str">
        <f>"54112023062922353486018"</f>
        <v>54112023062922353486018</v>
      </c>
      <c r="C2608" s="9" t="s">
        <v>30</v>
      </c>
      <c r="D2608" s="9" t="str">
        <f>"蔡小璐"</f>
        <v>蔡小璐</v>
      </c>
    </row>
    <row r="2609" spans="1:4" ht="34.5" customHeight="1">
      <c r="A2609" s="8">
        <v>2607</v>
      </c>
      <c r="B2609" s="9" t="str">
        <f>"54112023062621212371189"</f>
        <v>54112023062621212371189</v>
      </c>
      <c r="C2609" s="9" t="s">
        <v>30</v>
      </c>
      <c r="D2609" s="9" t="str">
        <f>"覃钰童"</f>
        <v>覃钰童</v>
      </c>
    </row>
    <row r="2610" spans="1:4" ht="34.5" customHeight="1">
      <c r="A2610" s="8">
        <v>2608</v>
      </c>
      <c r="B2610" s="9" t="str">
        <f>"54112023063007543486671"</f>
        <v>54112023063007543486671</v>
      </c>
      <c r="C2610" s="9" t="s">
        <v>30</v>
      </c>
      <c r="D2610" s="9" t="str">
        <f>"王玮娴"</f>
        <v>王玮娴</v>
      </c>
    </row>
    <row r="2611" spans="1:4" ht="34.5" customHeight="1">
      <c r="A2611" s="8">
        <v>2609</v>
      </c>
      <c r="B2611" s="9" t="str">
        <f>"54112023063013162788604"</f>
        <v>54112023063013162788604</v>
      </c>
      <c r="C2611" s="9" t="s">
        <v>30</v>
      </c>
      <c r="D2611" s="9" t="str">
        <f>"颜光钰"</f>
        <v>颜光钰</v>
      </c>
    </row>
    <row r="2612" spans="1:4" ht="34.5" customHeight="1">
      <c r="A2612" s="8">
        <v>2610</v>
      </c>
      <c r="B2612" s="9" t="str">
        <f>"54112023063015304089527"</f>
        <v>54112023063015304089527</v>
      </c>
      <c r="C2612" s="9" t="s">
        <v>30</v>
      </c>
      <c r="D2612" s="9" t="str">
        <f>"梁福俐"</f>
        <v>梁福俐</v>
      </c>
    </row>
    <row r="2613" spans="1:4" ht="34.5" customHeight="1">
      <c r="A2613" s="8">
        <v>2611</v>
      </c>
      <c r="B2613" s="9" t="str">
        <f>"54112023062510284560650"</f>
        <v>54112023062510284560650</v>
      </c>
      <c r="C2613" s="9" t="s">
        <v>30</v>
      </c>
      <c r="D2613" s="9" t="str">
        <f>"王菘"</f>
        <v>王菘</v>
      </c>
    </row>
    <row r="2614" spans="1:4" ht="34.5" customHeight="1">
      <c r="A2614" s="8">
        <v>2612</v>
      </c>
      <c r="B2614" s="9" t="str">
        <f>"54112023063017514890054"</f>
        <v>54112023063017514890054</v>
      </c>
      <c r="C2614" s="9" t="s">
        <v>30</v>
      </c>
      <c r="D2614" s="9" t="str">
        <f>"吴小芬"</f>
        <v>吴小芬</v>
      </c>
    </row>
    <row r="2615" spans="1:4" ht="34.5" customHeight="1">
      <c r="A2615" s="8">
        <v>2613</v>
      </c>
      <c r="B2615" s="9" t="str">
        <f>"54112023070110354091116"</f>
        <v>54112023070110354091116</v>
      </c>
      <c r="C2615" s="9" t="s">
        <v>30</v>
      </c>
      <c r="D2615" s="9" t="str">
        <f>"林怡君"</f>
        <v>林怡君</v>
      </c>
    </row>
    <row r="2616" spans="1:4" ht="34.5" customHeight="1">
      <c r="A2616" s="8">
        <v>2614</v>
      </c>
      <c r="B2616" s="9" t="str">
        <f>"54112023062606531965242"</f>
        <v>54112023062606531965242</v>
      </c>
      <c r="C2616" s="9" t="s">
        <v>30</v>
      </c>
      <c r="D2616" s="9" t="str">
        <f>"王锋"</f>
        <v>王锋</v>
      </c>
    </row>
    <row r="2617" spans="1:4" ht="34.5" customHeight="1">
      <c r="A2617" s="8">
        <v>2615</v>
      </c>
      <c r="B2617" s="9" t="str">
        <f>"54112023070116550891869"</f>
        <v>54112023070116550891869</v>
      </c>
      <c r="C2617" s="9" t="s">
        <v>30</v>
      </c>
      <c r="D2617" s="9" t="str">
        <f>"陈心怡"</f>
        <v>陈心怡</v>
      </c>
    </row>
    <row r="2618" spans="1:4" ht="34.5" customHeight="1">
      <c r="A2618" s="8">
        <v>2616</v>
      </c>
      <c r="B2618" s="9" t="str">
        <f>"54112023070116405891846"</f>
        <v>54112023070116405891846</v>
      </c>
      <c r="C2618" s="9" t="s">
        <v>30</v>
      </c>
      <c r="D2618" s="9" t="str">
        <f>"王少慧"</f>
        <v>王少慧</v>
      </c>
    </row>
    <row r="2619" spans="1:4" ht="34.5" customHeight="1">
      <c r="A2619" s="8">
        <v>2617</v>
      </c>
      <c r="B2619" s="9" t="str">
        <f>"54112023070123201692658"</f>
        <v>54112023070123201692658</v>
      </c>
      <c r="C2619" s="9" t="s">
        <v>30</v>
      </c>
      <c r="D2619" s="9" t="str">
        <f>"陈芸"</f>
        <v>陈芸</v>
      </c>
    </row>
    <row r="2620" spans="1:4" ht="34.5" customHeight="1">
      <c r="A2620" s="8">
        <v>2618</v>
      </c>
      <c r="B2620" s="9" t="str">
        <f>"54112023070209311293016"</f>
        <v>54112023070209311293016</v>
      </c>
      <c r="C2620" s="9" t="s">
        <v>30</v>
      </c>
      <c r="D2620" s="9" t="str">
        <f>"王春月"</f>
        <v>王春月</v>
      </c>
    </row>
    <row r="2621" spans="1:4" ht="34.5" customHeight="1">
      <c r="A2621" s="8">
        <v>2619</v>
      </c>
      <c r="B2621" s="9" t="str">
        <f>"54112023070117280291941"</f>
        <v>54112023070117280291941</v>
      </c>
      <c r="C2621" s="9" t="s">
        <v>30</v>
      </c>
      <c r="D2621" s="9" t="str">
        <f>"孙慧珍"</f>
        <v>孙慧珍</v>
      </c>
    </row>
    <row r="2622" spans="1:4" ht="34.5" customHeight="1">
      <c r="A2622" s="8">
        <v>2620</v>
      </c>
      <c r="B2622" s="9" t="str">
        <f>"54112023070213291993647"</f>
        <v>54112023070213291993647</v>
      </c>
      <c r="C2622" s="9" t="s">
        <v>30</v>
      </c>
      <c r="D2622" s="9" t="str">
        <f>"蒙绪云"</f>
        <v>蒙绪云</v>
      </c>
    </row>
    <row r="2623" spans="1:4" ht="34.5" customHeight="1">
      <c r="A2623" s="8">
        <v>2621</v>
      </c>
      <c r="B2623" s="9" t="str">
        <f>"54112023070214270293782"</f>
        <v>54112023070214270293782</v>
      </c>
      <c r="C2623" s="9" t="s">
        <v>30</v>
      </c>
      <c r="D2623" s="9" t="str">
        <f>"朱正娲"</f>
        <v>朱正娲</v>
      </c>
    </row>
    <row r="2624" spans="1:4" ht="34.5" customHeight="1">
      <c r="A2624" s="8">
        <v>2622</v>
      </c>
      <c r="B2624" s="9" t="str">
        <f>"54112023062923332386287"</f>
        <v>54112023062923332386287</v>
      </c>
      <c r="C2624" s="9" t="s">
        <v>30</v>
      </c>
      <c r="D2624" s="9" t="str">
        <f>"符凤花"</f>
        <v>符凤花</v>
      </c>
    </row>
    <row r="2625" spans="1:4" ht="34.5" customHeight="1">
      <c r="A2625" s="8">
        <v>2623</v>
      </c>
      <c r="B2625" s="9" t="str">
        <f>"54112023070219152794433"</f>
        <v>54112023070219152794433</v>
      </c>
      <c r="C2625" s="9" t="s">
        <v>30</v>
      </c>
      <c r="D2625" s="9" t="str">
        <f>"余佳芬"</f>
        <v>余佳芬</v>
      </c>
    </row>
    <row r="2626" spans="1:4" ht="34.5" customHeight="1">
      <c r="A2626" s="8">
        <v>2624</v>
      </c>
      <c r="B2626" s="9" t="str">
        <f>"54112023062623502471775"</f>
        <v>54112023062623502471775</v>
      </c>
      <c r="C2626" s="9" t="s">
        <v>30</v>
      </c>
      <c r="D2626" s="9" t="str">
        <f>"黄欣欣"</f>
        <v>黄欣欣</v>
      </c>
    </row>
    <row r="2627" spans="1:4" ht="34.5" customHeight="1">
      <c r="A2627" s="8">
        <v>2625</v>
      </c>
      <c r="B2627" s="9" t="str">
        <f>"54112023070220103494533"</f>
        <v>54112023070220103494533</v>
      </c>
      <c r="C2627" s="9" t="s">
        <v>30</v>
      </c>
      <c r="D2627" s="9" t="str">
        <f>"赵颖"</f>
        <v>赵颖</v>
      </c>
    </row>
    <row r="2628" spans="1:4" ht="34.5" customHeight="1">
      <c r="A2628" s="8">
        <v>2626</v>
      </c>
      <c r="B2628" s="9" t="str">
        <f>"54112023070311125396616"</f>
        <v>54112023070311125396616</v>
      </c>
      <c r="C2628" s="9" t="s">
        <v>30</v>
      </c>
      <c r="D2628" s="9" t="str">
        <f>"符大云"</f>
        <v>符大云</v>
      </c>
    </row>
    <row r="2629" spans="1:4" ht="34.5" customHeight="1">
      <c r="A2629" s="8">
        <v>2627</v>
      </c>
      <c r="B2629" s="9" t="str">
        <f>"54112023070312295797066"</f>
        <v>54112023070312295797066</v>
      </c>
      <c r="C2629" s="9" t="s">
        <v>30</v>
      </c>
      <c r="D2629" s="9" t="str">
        <f>"陈丽梅"</f>
        <v>陈丽梅</v>
      </c>
    </row>
    <row r="2630" spans="1:4" ht="34.5" customHeight="1">
      <c r="A2630" s="8">
        <v>2628</v>
      </c>
      <c r="B2630" s="9" t="str">
        <f>"54112023070311051196559"</f>
        <v>54112023070311051196559</v>
      </c>
      <c r="C2630" s="9" t="s">
        <v>30</v>
      </c>
      <c r="D2630" s="9" t="str">
        <f>"黄小楠"</f>
        <v>黄小楠</v>
      </c>
    </row>
    <row r="2631" spans="1:4" ht="34.5" customHeight="1">
      <c r="A2631" s="8">
        <v>2629</v>
      </c>
      <c r="B2631" s="9" t="str">
        <f>"54112023070307040595228"</f>
        <v>54112023070307040595228</v>
      </c>
      <c r="C2631" s="9" t="s">
        <v>30</v>
      </c>
      <c r="D2631" s="9" t="str">
        <f>"马龙"</f>
        <v>马龙</v>
      </c>
    </row>
    <row r="2632" spans="1:4" ht="34.5" customHeight="1">
      <c r="A2632" s="8">
        <v>2630</v>
      </c>
      <c r="B2632" s="9" t="str">
        <f>"54112023070314544997755"</f>
        <v>54112023070314544997755</v>
      </c>
      <c r="C2632" s="9" t="s">
        <v>30</v>
      </c>
      <c r="D2632" s="9" t="str">
        <f>"杜红丹"</f>
        <v>杜红丹</v>
      </c>
    </row>
    <row r="2633" spans="1:4" ht="34.5" customHeight="1">
      <c r="A2633" s="8">
        <v>2631</v>
      </c>
      <c r="B2633" s="9" t="str">
        <f>"54112023070316122898233"</f>
        <v>54112023070316122898233</v>
      </c>
      <c r="C2633" s="9" t="s">
        <v>30</v>
      </c>
      <c r="D2633" s="9" t="str">
        <f>"胡秋艳"</f>
        <v>胡秋艳</v>
      </c>
    </row>
    <row r="2634" spans="1:4" ht="34.5" customHeight="1">
      <c r="A2634" s="8">
        <v>2632</v>
      </c>
      <c r="B2634" s="9" t="str">
        <f>"54112023070316121098232"</f>
        <v>54112023070316121098232</v>
      </c>
      <c r="C2634" s="9" t="s">
        <v>30</v>
      </c>
      <c r="D2634" s="9" t="str">
        <f>"张凌普"</f>
        <v>张凌普</v>
      </c>
    </row>
    <row r="2635" spans="1:4" ht="34.5" customHeight="1">
      <c r="A2635" s="8">
        <v>2633</v>
      </c>
      <c r="B2635" s="9" t="str">
        <f>"54112023070317484998748"</f>
        <v>54112023070317484998748</v>
      </c>
      <c r="C2635" s="9" t="s">
        <v>30</v>
      </c>
      <c r="D2635" s="9" t="str">
        <f>"许泽彬"</f>
        <v>许泽彬</v>
      </c>
    </row>
    <row r="2636" spans="1:4" ht="34.5" customHeight="1">
      <c r="A2636" s="8">
        <v>2634</v>
      </c>
      <c r="B2636" s="9" t="str">
        <f>"54112023062813050077941"</f>
        <v>54112023062813050077941</v>
      </c>
      <c r="C2636" s="9" t="s">
        <v>30</v>
      </c>
      <c r="D2636" s="9" t="str">
        <f>"王小莲"</f>
        <v>王小莲</v>
      </c>
    </row>
    <row r="2637" spans="1:4" ht="34.5" customHeight="1">
      <c r="A2637" s="8">
        <v>2635</v>
      </c>
      <c r="B2637" s="9" t="str">
        <f>"54112023070321512099798"</f>
        <v>54112023070321512099798</v>
      </c>
      <c r="C2637" s="9" t="s">
        <v>30</v>
      </c>
      <c r="D2637" s="9" t="str">
        <f>"黎贵荣"</f>
        <v>黎贵荣</v>
      </c>
    </row>
    <row r="2638" spans="1:4" ht="34.5" customHeight="1">
      <c r="A2638" s="8">
        <v>2636</v>
      </c>
      <c r="B2638" s="9" t="str">
        <f>"54112023070322265899969"</f>
        <v>54112023070322265899969</v>
      </c>
      <c r="C2638" s="9" t="s">
        <v>30</v>
      </c>
      <c r="D2638" s="9" t="str">
        <f>"邹小艳"</f>
        <v>邹小艳</v>
      </c>
    </row>
    <row r="2639" spans="1:4" ht="34.5" customHeight="1">
      <c r="A2639" s="8">
        <v>2637</v>
      </c>
      <c r="B2639" s="9" t="str">
        <f>"54112023070315245797948"</f>
        <v>54112023070315245797948</v>
      </c>
      <c r="C2639" s="9" t="s">
        <v>30</v>
      </c>
      <c r="D2639" s="9" t="str">
        <f>"林小琪"</f>
        <v>林小琪</v>
      </c>
    </row>
    <row r="2640" spans="1:4" ht="34.5" customHeight="1">
      <c r="A2640" s="8">
        <v>2638</v>
      </c>
      <c r="B2640" s="9" t="str">
        <f>"541120230704001511100314"</f>
        <v>541120230704001511100314</v>
      </c>
      <c r="C2640" s="9" t="s">
        <v>30</v>
      </c>
      <c r="D2640" s="9" t="str">
        <f>"林璧冰"</f>
        <v>林璧冰</v>
      </c>
    </row>
    <row r="2641" spans="1:4" ht="34.5" customHeight="1">
      <c r="A2641" s="8">
        <v>2639</v>
      </c>
      <c r="B2641" s="9" t="str">
        <f>"541120230704004209100347"</f>
        <v>541120230704004209100347</v>
      </c>
      <c r="C2641" s="9" t="s">
        <v>30</v>
      </c>
      <c r="D2641" s="9" t="str">
        <f>"张晓晴"</f>
        <v>张晓晴</v>
      </c>
    </row>
    <row r="2642" spans="1:4" ht="34.5" customHeight="1">
      <c r="A2642" s="8">
        <v>2640</v>
      </c>
      <c r="B2642" s="9" t="str">
        <f>"541120230704091640100789"</f>
        <v>541120230704091640100789</v>
      </c>
      <c r="C2642" s="9" t="s">
        <v>30</v>
      </c>
      <c r="D2642" s="9" t="str">
        <f>"倪怡平"</f>
        <v>倪怡平</v>
      </c>
    </row>
    <row r="2643" spans="1:4" ht="34.5" customHeight="1">
      <c r="A2643" s="8">
        <v>2641</v>
      </c>
      <c r="B2643" s="9" t="str">
        <f>"541120230704095205100974"</f>
        <v>541120230704095205100974</v>
      </c>
      <c r="C2643" s="9" t="s">
        <v>30</v>
      </c>
      <c r="D2643" s="9" t="str">
        <f>"杨夏蕊"</f>
        <v>杨夏蕊</v>
      </c>
    </row>
    <row r="2644" spans="1:4" ht="34.5" customHeight="1">
      <c r="A2644" s="8">
        <v>2642</v>
      </c>
      <c r="B2644" s="9" t="str">
        <f>"54112023070122311292563"</f>
        <v>54112023070122311292563</v>
      </c>
      <c r="C2644" s="9" t="s">
        <v>30</v>
      </c>
      <c r="D2644" s="9" t="str">
        <f>"林曼曼"</f>
        <v>林曼曼</v>
      </c>
    </row>
    <row r="2645" spans="1:4" ht="34.5" customHeight="1">
      <c r="A2645" s="8">
        <v>2643</v>
      </c>
      <c r="B2645" s="9" t="str">
        <f>"541120230704102240101088"</f>
        <v>541120230704102240101088</v>
      </c>
      <c r="C2645" s="9" t="s">
        <v>30</v>
      </c>
      <c r="D2645" s="9" t="str">
        <f>"邓道贤"</f>
        <v>邓道贤</v>
      </c>
    </row>
    <row r="2646" spans="1:4" ht="34.5" customHeight="1">
      <c r="A2646" s="8">
        <v>2644</v>
      </c>
      <c r="B2646" s="9" t="str">
        <f>"54112023070114404391626"</f>
        <v>54112023070114404391626</v>
      </c>
      <c r="C2646" s="9" t="s">
        <v>30</v>
      </c>
      <c r="D2646" s="9" t="str">
        <f>"黄蕊蕊"</f>
        <v>黄蕊蕊</v>
      </c>
    </row>
    <row r="2647" spans="1:4" ht="34.5" customHeight="1">
      <c r="A2647" s="8">
        <v>2645</v>
      </c>
      <c r="B2647" s="9" t="str">
        <f>"541120230704104627101254"</f>
        <v>541120230704104627101254</v>
      </c>
      <c r="C2647" s="9" t="s">
        <v>30</v>
      </c>
      <c r="D2647" s="9" t="str">
        <f>"邱小若"</f>
        <v>邱小若</v>
      </c>
    </row>
    <row r="2648" spans="1:4" ht="34.5" customHeight="1">
      <c r="A2648" s="8">
        <v>2646</v>
      </c>
      <c r="B2648" s="9" t="str">
        <f>"541120230703233813100233"</f>
        <v>541120230703233813100233</v>
      </c>
      <c r="C2648" s="9" t="s">
        <v>30</v>
      </c>
      <c r="D2648" s="9" t="str">
        <f>"王晶晶"</f>
        <v>王晶晶</v>
      </c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2023-07-07T02:45:58Z</dcterms:created>
  <dcterms:modified xsi:type="dcterms:W3CDTF">2023-07-10T07:02:17Z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9EF148FF51AA44398AA88E5C97B6A973_13</vt:lpwstr>
  </property>
  <property fmtid="{D5CDD505-2E9C-101B-9397-08002B2CF9AE}" pid="4" name="KSOProductBuildV">
    <vt:lpwstr>2052-11.8.2.11019</vt:lpwstr>
  </property>
</Properties>
</file>