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00" activeTab="0"/>
  </bookViews>
  <sheets>
    <sheet name="体检" sheetId="1" r:id="rId1"/>
    <sheet name="Sheet2" sheetId="2" r:id="rId2"/>
    <sheet name="Sheet3" sheetId="3" r:id="rId3"/>
  </sheets>
  <definedNames>
    <definedName name="_xlnm.Print_Titles" localSheetId="0">'体检'!$3:$3</definedName>
    <definedName name="_xlnm._FilterDatabase" localSheetId="0">'体检'!$A$3:$K$130</definedName>
  </definedNames>
  <calcPr fullCalcOnLoad="1"/>
</workbook>
</file>

<file path=xl/sharedStrings.xml><?xml version="1.0" encoding="utf-8"?>
<sst xmlns="http://schemas.openxmlformats.org/spreadsheetml/2006/main" count="822" uniqueCount="307">
  <si>
    <t>利辛县2022年公开招聘非在编中小学教师拟参加体检、考察人员名单</t>
  </si>
  <si>
    <t>序号</t>
  </si>
  <si>
    <t>岗位代码</t>
  </si>
  <si>
    <t>岗位名称</t>
  </si>
  <si>
    <t>招聘单位</t>
  </si>
  <si>
    <t>姓名</t>
  </si>
  <si>
    <t>准考证号</t>
  </si>
  <si>
    <t>教育综合</t>
  </si>
  <si>
    <t>学科专业</t>
  </si>
  <si>
    <t>笔试合
成成绩</t>
  </si>
  <si>
    <t>面试成绩</t>
  </si>
  <si>
    <t>总成绩</t>
  </si>
  <si>
    <t>语文</t>
  </si>
  <si>
    <t>初中</t>
  </si>
  <si>
    <t>数学</t>
  </si>
  <si>
    <t>英语</t>
  </si>
  <si>
    <t>道德与法治</t>
  </si>
  <si>
    <t>历史</t>
  </si>
  <si>
    <t>化学</t>
  </si>
  <si>
    <t>体育与健康</t>
  </si>
  <si>
    <t xml:space="preserve">信息技术  </t>
  </si>
  <si>
    <t>小学</t>
  </si>
  <si>
    <t>美术</t>
  </si>
  <si>
    <t>信息技术</t>
  </si>
  <si>
    <t>性别</t>
  </si>
  <si>
    <t>身份证号</t>
  </si>
  <si>
    <t>专业</t>
  </si>
  <si>
    <t>是否属于“高校毕业生”</t>
  </si>
  <si>
    <t>是否机关、事业单位在职人员</t>
  </si>
  <si>
    <t>手机</t>
  </si>
  <si>
    <t>专业知识</t>
  </si>
  <si>
    <t>合成成绩</t>
  </si>
  <si>
    <t>加分</t>
  </si>
  <si>
    <t>加分后
笔试成绩</t>
  </si>
  <si>
    <t>名次</t>
  </si>
  <si>
    <t>复审</t>
  </si>
  <si>
    <t>1623010120101</t>
  </si>
  <si>
    <t>中学语文1组</t>
  </si>
  <si>
    <t>周敏</t>
  </si>
  <si>
    <t>女</t>
  </si>
  <si>
    <t>342623199804112525</t>
  </si>
  <si>
    <t>汉语言文学</t>
  </si>
  <si>
    <t>2019年、2020年普通高校未落实工作单位毕业生</t>
  </si>
  <si>
    <t>否</t>
  </si>
  <si>
    <t>15755304780</t>
  </si>
  <si>
    <t>递补</t>
  </si>
  <si>
    <t>高贝贝</t>
  </si>
  <si>
    <t>341623199604083423</t>
  </si>
  <si>
    <t>2021年高校毕业生</t>
  </si>
  <si>
    <t>15178057172</t>
  </si>
  <si>
    <t>孟伟</t>
  </si>
  <si>
    <t>341225199503077105</t>
  </si>
  <si>
    <t>18856627893</t>
  </si>
  <si>
    <t>1623010120102</t>
  </si>
  <si>
    <t>中学语文2组</t>
  </si>
  <si>
    <t>刁兴莉</t>
  </si>
  <si>
    <t>341623198806132022</t>
  </si>
  <si>
    <t>是</t>
  </si>
  <si>
    <t>18256729198</t>
  </si>
  <si>
    <t>李雪娇</t>
  </si>
  <si>
    <t>341623199411185247</t>
  </si>
  <si>
    <t>汉语言文学（文秘方向）</t>
  </si>
  <si>
    <t>18856159772</t>
  </si>
  <si>
    <t>1623010120203</t>
  </si>
  <si>
    <t>中学数学1组</t>
  </si>
  <si>
    <t>刘柱</t>
  </si>
  <si>
    <t>男</t>
  </si>
  <si>
    <t>342423199412164595</t>
  </si>
  <si>
    <t>数学与应用数学（师范）</t>
  </si>
  <si>
    <t>15056195611</t>
  </si>
  <si>
    <t>朱德南</t>
  </si>
  <si>
    <t>340824199512131818</t>
  </si>
  <si>
    <t>18856125982</t>
  </si>
  <si>
    <t>1623010120204</t>
  </si>
  <si>
    <t>中学数学2组</t>
  </si>
  <si>
    <t>夏鸣</t>
  </si>
  <si>
    <t>342622199511174099</t>
  </si>
  <si>
    <t>数学与应用数学</t>
  </si>
  <si>
    <t>15395141718</t>
  </si>
  <si>
    <t>苏东</t>
  </si>
  <si>
    <t>34122619930224441X</t>
  </si>
  <si>
    <t>13966564018</t>
  </si>
  <si>
    <t>冯利芳</t>
  </si>
  <si>
    <t>34122119931106382X</t>
  </si>
  <si>
    <t>15399677363</t>
  </si>
  <si>
    <t>汪萍</t>
  </si>
  <si>
    <t>341222199109084180</t>
  </si>
  <si>
    <t>15256832850</t>
  </si>
  <si>
    <t>张迪迪</t>
  </si>
  <si>
    <t>341623199203017011</t>
  </si>
  <si>
    <t>光学工程</t>
  </si>
  <si>
    <t>18919618291</t>
  </si>
  <si>
    <t>胡云豪</t>
  </si>
  <si>
    <t>341623199702167030</t>
  </si>
  <si>
    <t>19156765923</t>
  </si>
  <si>
    <t>徐均力</t>
  </si>
  <si>
    <t>341225199407127715</t>
  </si>
  <si>
    <t>17355812382</t>
  </si>
  <si>
    <t>1623010120305</t>
  </si>
  <si>
    <t>中学英语1组</t>
  </si>
  <si>
    <t>江慧莹</t>
  </si>
  <si>
    <t>341623199811299024</t>
  </si>
  <si>
    <t>英语（师范）</t>
  </si>
  <si>
    <t>17756448355</t>
  </si>
  <si>
    <t>1623010120306</t>
  </si>
  <si>
    <t>中学英语2组</t>
  </si>
  <si>
    <t>吴艺娜</t>
  </si>
  <si>
    <t>342901199205157420</t>
  </si>
  <si>
    <t>18205668762</t>
  </si>
  <si>
    <t>1623010121210</t>
  </si>
  <si>
    <t>中学化学2组</t>
  </si>
  <si>
    <t>范东洋</t>
  </si>
  <si>
    <t>341221198810274870</t>
  </si>
  <si>
    <t>生物工程专业</t>
  </si>
  <si>
    <t>15855484894</t>
  </si>
  <si>
    <t>纪宗勤</t>
  </si>
  <si>
    <t>341227198811237623</t>
  </si>
  <si>
    <t>18815024400</t>
  </si>
  <si>
    <t>1623010121611</t>
  </si>
  <si>
    <t>中学生物1组</t>
  </si>
  <si>
    <t>李晔</t>
  </si>
  <si>
    <t>341221199708198108</t>
  </si>
  <si>
    <t>生物技术</t>
  </si>
  <si>
    <t>15155790750</t>
  </si>
  <si>
    <t>1623010121612</t>
  </si>
  <si>
    <t>中学生物2组</t>
  </si>
  <si>
    <t>栗兰柳</t>
  </si>
  <si>
    <t>341621199105281318</t>
  </si>
  <si>
    <t>生物科学（师范）</t>
  </si>
  <si>
    <t>18255819503</t>
  </si>
  <si>
    <t>1623010120624</t>
  </si>
  <si>
    <t>中学美术2组</t>
  </si>
  <si>
    <t>张宗青</t>
  </si>
  <si>
    <t>341227199210220046</t>
  </si>
  <si>
    <t>美术学</t>
  </si>
  <si>
    <t>18056859966</t>
  </si>
  <si>
    <t>1623010120822</t>
  </si>
  <si>
    <t>中学体育与健康2组</t>
  </si>
  <si>
    <t>马海</t>
  </si>
  <si>
    <t>341227199503184819</t>
  </si>
  <si>
    <t>社会体育指导与管理</t>
  </si>
  <si>
    <t>19929221286</t>
  </si>
  <si>
    <t>1623010120926</t>
  </si>
  <si>
    <t>中学信息技术2组</t>
  </si>
  <si>
    <t>郑雪琪</t>
  </si>
  <si>
    <t>341623199509069025</t>
  </si>
  <si>
    <t>网络工程</t>
  </si>
  <si>
    <t>19159693709</t>
  </si>
  <si>
    <t>1623010121027</t>
  </si>
  <si>
    <t>心理健康教育</t>
  </si>
  <si>
    <t>樊琼</t>
  </si>
  <si>
    <t>341226198605191621</t>
  </si>
  <si>
    <t>心理学</t>
  </si>
  <si>
    <t>18005585079</t>
  </si>
  <si>
    <t>1623020220101</t>
  </si>
  <si>
    <t>中学语文3组</t>
  </si>
  <si>
    <t>吕晓娜</t>
  </si>
  <si>
    <t>34122719940211044X</t>
  </si>
  <si>
    <t>会计学</t>
  </si>
  <si>
    <t>15256157307</t>
  </si>
  <si>
    <t>刘雪慧</t>
  </si>
  <si>
    <t>341227199801014906</t>
  </si>
  <si>
    <t>18356680636</t>
  </si>
  <si>
    <t>刘洁雅</t>
  </si>
  <si>
    <t>340421199603100629</t>
  </si>
  <si>
    <t>汉语言文学（师范）</t>
  </si>
  <si>
    <t>18815611261</t>
  </si>
  <si>
    <t>1623020220102</t>
  </si>
  <si>
    <t>中学语文4组</t>
  </si>
  <si>
    <t>于真真</t>
  </si>
  <si>
    <t>341281199502161082</t>
  </si>
  <si>
    <t>财务管理</t>
  </si>
  <si>
    <t>15255949459</t>
  </si>
  <si>
    <t>王雨静</t>
  </si>
  <si>
    <t>341227199504122345</t>
  </si>
  <si>
    <t>13956692244</t>
  </si>
  <si>
    <t>1623020220203</t>
  </si>
  <si>
    <t>中学数学3组</t>
  </si>
  <si>
    <t>高静静</t>
  </si>
  <si>
    <t>341227199501265623</t>
  </si>
  <si>
    <t>金融数学</t>
  </si>
  <si>
    <t>15755409112</t>
  </si>
  <si>
    <t>1623020220204</t>
  </si>
  <si>
    <t>中学数学4组</t>
  </si>
  <si>
    <t>李逸</t>
  </si>
  <si>
    <t>341224198907146065</t>
  </si>
  <si>
    <t>宝石及材料工艺学</t>
  </si>
  <si>
    <t>18610773451</t>
  </si>
  <si>
    <t>1623020221611</t>
  </si>
  <si>
    <t>中学生物3组</t>
  </si>
  <si>
    <t>陈丽丽</t>
  </si>
  <si>
    <t>341623199907056027</t>
  </si>
  <si>
    <t>环境生态工程</t>
  </si>
  <si>
    <t>17356138715</t>
  </si>
  <si>
    <t>1623020220718</t>
  </si>
  <si>
    <t>中学音乐3组</t>
  </si>
  <si>
    <t>崔师凡</t>
  </si>
  <si>
    <t>341623199506213415</t>
  </si>
  <si>
    <t>音乐学</t>
  </si>
  <si>
    <t>13225668102</t>
  </si>
  <si>
    <t>1623020220719</t>
  </si>
  <si>
    <t>中学音乐4组</t>
  </si>
  <si>
    <t>潘希中</t>
  </si>
  <si>
    <t>34122719910525261X</t>
  </si>
  <si>
    <t>纺织工程</t>
  </si>
  <si>
    <t>15551888108</t>
  </si>
  <si>
    <t>刘西亚</t>
  </si>
  <si>
    <t>341281199106184215</t>
  </si>
  <si>
    <t>音乐表演</t>
  </si>
  <si>
    <t>17756751637</t>
  </si>
  <si>
    <t>1623020220820</t>
  </si>
  <si>
    <t>中学体育与健康3组</t>
  </si>
  <si>
    <t>刘玉勇</t>
  </si>
  <si>
    <t>341202199509062911</t>
  </si>
  <si>
    <t>18715170607</t>
  </si>
  <si>
    <t>武云霄</t>
  </si>
  <si>
    <t>34122719970301673X</t>
  </si>
  <si>
    <t>18856625237</t>
  </si>
  <si>
    <t>白传才</t>
  </si>
  <si>
    <t>341203199808074011</t>
  </si>
  <si>
    <t>社会指导与管理</t>
  </si>
  <si>
    <t>15556795637</t>
  </si>
  <si>
    <t>1623020220821</t>
  </si>
  <si>
    <t>中学体育与健康4组</t>
  </si>
  <si>
    <t>伊继虎</t>
  </si>
  <si>
    <t>34122719920805611X</t>
  </si>
  <si>
    <t>体育教育</t>
  </si>
  <si>
    <t>13275575509</t>
  </si>
  <si>
    <t>1623030310103</t>
  </si>
  <si>
    <t>小学语文3组</t>
  </si>
  <si>
    <t>邵雪</t>
  </si>
  <si>
    <t>341204199701012028</t>
  </si>
  <si>
    <t>应用英语</t>
  </si>
  <si>
    <t>17355537303</t>
  </si>
  <si>
    <t>朱晓丽</t>
  </si>
  <si>
    <t>340828199809114029</t>
  </si>
  <si>
    <t>小学教育</t>
  </si>
  <si>
    <t>19955630759</t>
  </si>
  <si>
    <t>1623030310205</t>
  </si>
  <si>
    <t>小学数学1组</t>
  </si>
  <si>
    <t>宋会敏</t>
  </si>
  <si>
    <t>341221199602135467</t>
  </si>
  <si>
    <t>报关与国际货运</t>
  </si>
  <si>
    <t>17201768248</t>
  </si>
  <si>
    <t>1623030310207</t>
  </si>
  <si>
    <t>小学数学3组</t>
  </si>
  <si>
    <t>闫晴晴</t>
  </si>
  <si>
    <t>341222199801027705</t>
  </si>
  <si>
    <t>药品经营与管理专业</t>
  </si>
  <si>
    <t>18712559389</t>
  </si>
  <si>
    <t>李月</t>
  </si>
  <si>
    <t>342423199809204663</t>
  </si>
  <si>
    <t>物联网工程专业</t>
  </si>
  <si>
    <t>18715453919</t>
  </si>
  <si>
    <t>1623030310309</t>
  </si>
  <si>
    <t>小学英语1组</t>
  </si>
  <si>
    <t>康伟静</t>
  </si>
  <si>
    <t>34122719950412042X</t>
  </si>
  <si>
    <t>英语教育</t>
  </si>
  <si>
    <t>19856703603</t>
  </si>
  <si>
    <t>杨梦韦</t>
  </si>
  <si>
    <t>340822199612030528</t>
  </si>
  <si>
    <t>13966969831</t>
  </si>
  <si>
    <t>1623030310419</t>
  </si>
  <si>
    <t>小学道德与法治1组</t>
  </si>
  <si>
    <t>彭唯</t>
  </si>
  <si>
    <t>341226199712154441</t>
  </si>
  <si>
    <t>数学教育</t>
  </si>
  <si>
    <t>18900589916</t>
  </si>
  <si>
    <t>1623030310420</t>
  </si>
  <si>
    <t>小学道德与法治2组</t>
  </si>
  <si>
    <t>罗醒醒</t>
  </si>
  <si>
    <t>341602199301207183</t>
  </si>
  <si>
    <t>工商企业管理</t>
  </si>
  <si>
    <t>18895408243</t>
  </si>
  <si>
    <t>1623030310711</t>
  </si>
  <si>
    <t>小学音乐1组</t>
  </si>
  <si>
    <t>张宇</t>
  </si>
  <si>
    <t>341221200008171524</t>
  </si>
  <si>
    <t>音乐教育</t>
  </si>
  <si>
    <t>18298123100</t>
  </si>
  <si>
    <t>1623030310712</t>
  </si>
  <si>
    <t>小学音乐2组</t>
  </si>
  <si>
    <t>赵文静</t>
  </si>
  <si>
    <t>341223198906201126</t>
  </si>
  <si>
    <t>13966875984</t>
  </si>
  <si>
    <t>1623030310813</t>
  </si>
  <si>
    <t>小学体育与健康1组</t>
  </si>
  <si>
    <t>刘晨晨</t>
  </si>
  <si>
    <t>341202199510092317</t>
  </si>
  <si>
    <t>休闲服务与管理</t>
  </si>
  <si>
    <t>15951566363</t>
  </si>
  <si>
    <t>1623030310814</t>
  </si>
  <si>
    <t>小学体育与健康2组</t>
  </si>
  <si>
    <t>徐晨</t>
  </si>
  <si>
    <t>341226198806015165</t>
  </si>
  <si>
    <t>计算机应用技术</t>
  </si>
  <si>
    <t>15256474150</t>
  </si>
  <si>
    <t>1623030321921</t>
  </si>
  <si>
    <t>小学特殊教育1组</t>
  </si>
  <si>
    <t>李悦</t>
  </si>
  <si>
    <t>34012220000405032X</t>
  </si>
  <si>
    <t>特殊教育</t>
  </si>
  <si>
    <t>13966745716</t>
  </si>
  <si>
    <t>李文静</t>
  </si>
  <si>
    <t>341227199712015309</t>
  </si>
  <si>
    <t>17100336990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</si>
</sst>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4.75390625" style="0" bestFit="1" customWidth="1"/>
    <col min="2" max="2" width="10.50390625" style="0" bestFit="1" customWidth="1"/>
    <col min="3" max="3" width="10.75390625" style="0" customWidth="1"/>
    <col min="4" max="4" width="8.375" style="0" bestFit="1" customWidth="1"/>
    <col min="5" max="5" width="7.75390625" style="0" customWidth="1"/>
    <col min="6" max="6" width="12.75390625" style="12" customWidth="1"/>
    <col min="7" max="7" width="8.375" style="0" bestFit="1" customWidth="1"/>
    <col min="8" max="8" width="8.125" style="0" bestFit="1" customWidth="1"/>
    <col min="9" max="9" width="7.875" style="0" bestFit="1" customWidth="1"/>
    <col min="10" max="250" width="8.25390625" style="0" bestFit="1" customWidth="1"/>
  </cols>
  <sheetData>
    <row r="1" spans="1:11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9" ht="12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1" ht="30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7" t="s">
        <v>7</v>
      </c>
      <c r="H3" s="17" t="s">
        <v>8</v>
      </c>
      <c r="I3" s="23" t="s">
        <v>9</v>
      </c>
      <c r="J3" s="24" t="s">
        <v>10</v>
      </c>
      <c r="K3" s="16" t="s">
        <v>11</v>
      </c>
    </row>
    <row r="4" spans="1:11" ht="19.5" customHeight="1">
      <c r="A4" s="15">
        <v>1</v>
      </c>
      <c r="B4" s="16" t="str">
        <f>"2022001"</f>
        <v>2022001</v>
      </c>
      <c r="C4" s="16" t="s">
        <v>12</v>
      </c>
      <c r="D4" s="16" t="s">
        <v>13</v>
      </c>
      <c r="E4" s="16" t="str">
        <f>"江珍珍"</f>
        <v>江珍珍</v>
      </c>
      <c r="F4" s="16" t="str">
        <f>"20229120101"</f>
        <v>20229120101</v>
      </c>
      <c r="G4" s="18">
        <v>95.9</v>
      </c>
      <c r="H4" s="18">
        <v>91</v>
      </c>
      <c r="I4" s="18">
        <v>93.45</v>
      </c>
      <c r="J4" s="25">
        <v>81.1</v>
      </c>
      <c r="K4" s="26">
        <f aca="true" t="shared" si="0" ref="K4:K67">I4/1.2*0.3+J4*0.7</f>
        <v>80.1325</v>
      </c>
    </row>
    <row r="5" spans="1:11" ht="19.5" customHeight="1">
      <c r="A5" s="15">
        <v>2</v>
      </c>
      <c r="B5" s="19" t="str">
        <f aca="true" t="shared" si="1" ref="B5:B9">"2022002"</f>
        <v>2022002</v>
      </c>
      <c r="C5" s="19" t="s">
        <v>12</v>
      </c>
      <c r="D5" s="19" t="s">
        <v>13</v>
      </c>
      <c r="E5" s="19" t="str">
        <f>"沈晓英"</f>
        <v>沈晓英</v>
      </c>
      <c r="F5" s="19" t="str">
        <f>"20229120123"</f>
        <v>20229120123</v>
      </c>
      <c r="G5" s="18">
        <v>91.4</v>
      </c>
      <c r="H5" s="18">
        <v>99.6</v>
      </c>
      <c r="I5" s="18">
        <v>95.5</v>
      </c>
      <c r="J5" s="25">
        <v>81.4</v>
      </c>
      <c r="K5" s="26">
        <f t="shared" si="0"/>
        <v>80.855</v>
      </c>
    </row>
    <row r="6" spans="1:11" ht="19.5" customHeight="1">
      <c r="A6" s="15">
        <v>3</v>
      </c>
      <c r="B6" s="19" t="str">
        <f t="shared" si="1"/>
        <v>2022002</v>
      </c>
      <c r="C6" s="19" t="s">
        <v>12</v>
      </c>
      <c r="D6" s="19" t="s">
        <v>13</v>
      </c>
      <c r="E6" s="19" t="str">
        <f>"张昊"</f>
        <v>张昊</v>
      </c>
      <c r="F6" s="19" t="str">
        <f>"20229120213"</f>
        <v>20229120213</v>
      </c>
      <c r="G6" s="18">
        <v>86.8</v>
      </c>
      <c r="H6" s="18">
        <v>99.2</v>
      </c>
      <c r="I6" s="18">
        <v>93</v>
      </c>
      <c r="J6" s="25">
        <v>80.1</v>
      </c>
      <c r="K6" s="26">
        <f t="shared" si="0"/>
        <v>79.32</v>
      </c>
    </row>
    <row r="7" spans="1:11" ht="19.5" customHeight="1">
      <c r="A7" s="15">
        <v>4</v>
      </c>
      <c r="B7" s="19" t="str">
        <f t="shared" si="1"/>
        <v>2022002</v>
      </c>
      <c r="C7" s="19" t="s">
        <v>12</v>
      </c>
      <c r="D7" s="19" t="s">
        <v>13</v>
      </c>
      <c r="E7" s="19" t="str">
        <f>"李梦庭"</f>
        <v>李梦庭</v>
      </c>
      <c r="F7" s="19" t="str">
        <f>"20229120120"</f>
        <v>20229120120</v>
      </c>
      <c r="G7" s="18">
        <v>90.9</v>
      </c>
      <c r="H7" s="18">
        <v>88.4</v>
      </c>
      <c r="I7" s="18">
        <v>89.65</v>
      </c>
      <c r="J7" s="25">
        <v>80.94</v>
      </c>
      <c r="K7" s="26">
        <f t="shared" si="0"/>
        <v>79.0705</v>
      </c>
    </row>
    <row r="8" spans="1:11" ht="19.5" customHeight="1">
      <c r="A8" s="15">
        <v>5</v>
      </c>
      <c r="B8" s="19" t="str">
        <f t="shared" si="1"/>
        <v>2022002</v>
      </c>
      <c r="C8" s="19" t="s">
        <v>12</v>
      </c>
      <c r="D8" s="19" t="s">
        <v>13</v>
      </c>
      <c r="E8" s="19" t="str">
        <f>"韩勤勤"</f>
        <v>韩勤勤</v>
      </c>
      <c r="F8" s="19" t="str">
        <f>"20229120110"</f>
        <v>20229120110</v>
      </c>
      <c r="G8" s="18">
        <v>97.4</v>
      </c>
      <c r="H8" s="18">
        <v>84.7</v>
      </c>
      <c r="I8" s="18">
        <v>91.05</v>
      </c>
      <c r="J8" s="25">
        <v>80</v>
      </c>
      <c r="K8" s="26">
        <f t="shared" si="0"/>
        <v>78.7625</v>
      </c>
    </row>
    <row r="9" spans="1:11" ht="19.5" customHeight="1">
      <c r="A9" s="15">
        <v>6</v>
      </c>
      <c r="B9" s="19" t="str">
        <f t="shared" si="1"/>
        <v>2022002</v>
      </c>
      <c r="C9" s="19" t="s">
        <v>12</v>
      </c>
      <c r="D9" s="19" t="s">
        <v>13</v>
      </c>
      <c r="E9" s="19" t="str">
        <f>"燕冰"</f>
        <v>燕冰</v>
      </c>
      <c r="F9" s="19" t="str">
        <f>"20229120201"</f>
        <v>20229120201</v>
      </c>
      <c r="G9" s="18">
        <v>94.3</v>
      </c>
      <c r="H9" s="18">
        <v>84.7</v>
      </c>
      <c r="I9" s="18">
        <v>89.5</v>
      </c>
      <c r="J9" s="25">
        <v>80.18</v>
      </c>
      <c r="K9" s="26">
        <f t="shared" si="0"/>
        <v>78.501</v>
      </c>
    </row>
    <row r="10" spans="1:11" ht="19.5" customHeight="1">
      <c r="A10" s="15">
        <v>7</v>
      </c>
      <c r="B10" s="16" t="str">
        <f>"2022003"</f>
        <v>2022003</v>
      </c>
      <c r="C10" s="16" t="s">
        <v>14</v>
      </c>
      <c r="D10" s="16" t="s">
        <v>13</v>
      </c>
      <c r="E10" s="16" t="str">
        <f>"路欣瑶"</f>
        <v>路欣瑶</v>
      </c>
      <c r="F10" s="16" t="str">
        <f>"20229120302"</f>
        <v>20229120302</v>
      </c>
      <c r="G10" s="18">
        <v>94.5</v>
      </c>
      <c r="H10" s="18">
        <v>97.6</v>
      </c>
      <c r="I10" s="18">
        <v>96.05</v>
      </c>
      <c r="J10" s="25">
        <v>74.76</v>
      </c>
      <c r="K10" s="26">
        <f t="shared" si="0"/>
        <v>76.3445</v>
      </c>
    </row>
    <row r="11" spans="1:11" ht="19.5" customHeight="1">
      <c r="A11" s="15">
        <v>8</v>
      </c>
      <c r="B11" s="16" t="str">
        <f aca="true" t="shared" si="2" ref="B11:B15">"2022004"</f>
        <v>2022004</v>
      </c>
      <c r="C11" s="16" t="s">
        <v>14</v>
      </c>
      <c r="D11" s="16" t="s">
        <v>13</v>
      </c>
      <c r="E11" s="16" t="str">
        <f>"张骞"</f>
        <v>张骞</v>
      </c>
      <c r="F11" s="16" t="str">
        <f>"20229120330"</f>
        <v>20229120330</v>
      </c>
      <c r="G11" s="18">
        <v>87.1</v>
      </c>
      <c r="H11" s="18">
        <v>98.4</v>
      </c>
      <c r="I11" s="18">
        <v>92.75</v>
      </c>
      <c r="J11" s="25">
        <v>80.38</v>
      </c>
      <c r="K11" s="26">
        <f t="shared" si="0"/>
        <v>79.45349999999999</v>
      </c>
    </row>
    <row r="12" spans="1:11" ht="19.5" customHeight="1">
      <c r="A12" s="15">
        <v>9</v>
      </c>
      <c r="B12" s="16" t="str">
        <f t="shared" si="2"/>
        <v>2022004</v>
      </c>
      <c r="C12" s="16" t="s">
        <v>14</v>
      </c>
      <c r="D12" s="16" t="s">
        <v>13</v>
      </c>
      <c r="E12" s="16" t="str">
        <f>"江宇辉"</f>
        <v>江宇辉</v>
      </c>
      <c r="F12" s="16" t="str">
        <f>"20229120316"</f>
        <v>20229120316</v>
      </c>
      <c r="G12" s="18">
        <v>84.7</v>
      </c>
      <c r="H12" s="18">
        <v>97.8</v>
      </c>
      <c r="I12" s="18">
        <v>91.25</v>
      </c>
      <c r="J12" s="24">
        <v>79.7</v>
      </c>
      <c r="K12" s="26">
        <f t="shared" si="0"/>
        <v>78.60249999999999</v>
      </c>
    </row>
    <row r="13" spans="1:11" ht="19.5" customHeight="1">
      <c r="A13" s="15">
        <v>10</v>
      </c>
      <c r="B13" s="16" t="str">
        <f t="shared" si="2"/>
        <v>2022004</v>
      </c>
      <c r="C13" s="16" t="s">
        <v>14</v>
      </c>
      <c r="D13" s="16" t="s">
        <v>13</v>
      </c>
      <c r="E13" s="16" t="str">
        <f>"陈欢欢"</f>
        <v>陈欢欢</v>
      </c>
      <c r="F13" s="16" t="str">
        <f>"20229120323"</f>
        <v>20229120323</v>
      </c>
      <c r="G13" s="18">
        <v>77.5</v>
      </c>
      <c r="H13" s="18">
        <v>105</v>
      </c>
      <c r="I13" s="18">
        <v>91.25</v>
      </c>
      <c r="J13" s="24">
        <v>78</v>
      </c>
      <c r="K13" s="26">
        <f t="shared" si="0"/>
        <v>77.4125</v>
      </c>
    </row>
    <row r="14" spans="1:11" ht="19.5" customHeight="1">
      <c r="A14" s="15">
        <v>11</v>
      </c>
      <c r="B14" s="16" t="str">
        <f t="shared" si="2"/>
        <v>2022004</v>
      </c>
      <c r="C14" s="16" t="s">
        <v>14</v>
      </c>
      <c r="D14" s="16" t="s">
        <v>13</v>
      </c>
      <c r="E14" s="16" t="str">
        <f>"李秀争"</f>
        <v>李秀争</v>
      </c>
      <c r="F14" s="16" t="str">
        <f>"20229120408"</f>
        <v>20229120408</v>
      </c>
      <c r="G14" s="18">
        <v>95.8</v>
      </c>
      <c r="H14" s="18">
        <v>91.85</v>
      </c>
      <c r="I14" s="18">
        <v>93.83</v>
      </c>
      <c r="J14" s="25">
        <v>76</v>
      </c>
      <c r="K14" s="26">
        <f t="shared" si="0"/>
        <v>76.6575</v>
      </c>
    </row>
    <row r="15" spans="1:11" ht="19.5" customHeight="1">
      <c r="A15" s="15">
        <v>12</v>
      </c>
      <c r="B15" s="16" t="str">
        <f t="shared" si="2"/>
        <v>2022004</v>
      </c>
      <c r="C15" s="16" t="s">
        <v>14</v>
      </c>
      <c r="D15" s="16" t="s">
        <v>13</v>
      </c>
      <c r="E15" s="16" t="str">
        <f>"刘冰玉"</f>
        <v>刘冰玉</v>
      </c>
      <c r="F15" s="16" t="str">
        <f>"20229120320"</f>
        <v>20229120320</v>
      </c>
      <c r="G15" s="18">
        <v>82</v>
      </c>
      <c r="H15" s="18">
        <v>100.65</v>
      </c>
      <c r="I15" s="18">
        <v>91.33</v>
      </c>
      <c r="J15" s="25">
        <v>76.76</v>
      </c>
      <c r="K15" s="26">
        <f t="shared" si="0"/>
        <v>76.5645</v>
      </c>
    </row>
    <row r="16" spans="1:11" ht="19.5" customHeight="1">
      <c r="A16" s="15">
        <v>13</v>
      </c>
      <c r="B16" s="16" t="str">
        <f>"2022005"</f>
        <v>2022005</v>
      </c>
      <c r="C16" s="16" t="s">
        <v>15</v>
      </c>
      <c r="D16" s="16" t="s">
        <v>13</v>
      </c>
      <c r="E16" s="16" t="str">
        <f>"杨璐"</f>
        <v>杨璐</v>
      </c>
      <c r="F16" s="16" t="str">
        <f>"20229120503"</f>
        <v>20229120503</v>
      </c>
      <c r="G16" s="18">
        <v>91.4</v>
      </c>
      <c r="H16" s="18">
        <v>98.3</v>
      </c>
      <c r="I16" s="18">
        <v>94.85</v>
      </c>
      <c r="J16" s="24">
        <v>81.76</v>
      </c>
      <c r="K16" s="26">
        <f t="shared" si="0"/>
        <v>80.9445</v>
      </c>
    </row>
    <row r="17" spans="1:11" ht="19.5" customHeight="1">
      <c r="A17" s="15">
        <v>14</v>
      </c>
      <c r="B17" s="16" t="str">
        <f>"2022005"</f>
        <v>2022005</v>
      </c>
      <c r="C17" s="16" t="s">
        <v>15</v>
      </c>
      <c r="D17" s="16" t="s">
        <v>13</v>
      </c>
      <c r="E17" s="16" t="str">
        <f>"焦玉倩"</f>
        <v>焦玉倩</v>
      </c>
      <c r="F17" s="16" t="str">
        <f>"20229120504"</f>
        <v>20229120504</v>
      </c>
      <c r="G17" s="18">
        <v>72.6</v>
      </c>
      <c r="H17" s="18">
        <v>79.4</v>
      </c>
      <c r="I17" s="18">
        <v>76</v>
      </c>
      <c r="J17" s="24">
        <v>75.39</v>
      </c>
      <c r="K17" s="26">
        <f t="shared" si="0"/>
        <v>71.773</v>
      </c>
    </row>
    <row r="18" spans="1:11" ht="19.5" customHeight="1">
      <c r="A18" s="15">
        <v>15</v>
      </c>
      <c r="B18" s="16" t="str">
        <f>"2022006"</f>
        <v>2022006</v>
      </c>
      <c r="C18" s="16" t="s">
        <v>15</v>
      </c>
      <c r="D18" s="16" t="s">
        <v>13</v>
      </c>
      <c r="E18" s="16" t="str">
        <f>"贾茹"</f>
        <v>贾茹</v>
      </c>
      <c r="F18" s="16" t="str">
        <f>"20229120520"</f>
        <v>20229120520</v>
      </c>
      <c r="G18" s="18">
        <v>99.3</v>
      </c>
      <c r="H18" s="18">
        <v>109.5</v>
      </c>
      <c r="I18" s="18">
        <v>104.4</v>
      </c>
      <c r="J18" s="24">
        <v>84.53</v>
      </c>
      <c r="K18" s="26">
        <f t="shared" si="0"/>
        <v>85.271</v>
      </c>
    </row>
    <row r="19" spans="1:11" ht="19.5" customHeight="1">
      <c r="A19" s="15">
        <v>16</v>
      </c>
      <c r="B19" s="16" t="str">
        <f>"2022006"</f>
        <v>2022006</v>
      </c>
      <c r="C19" s="16" t="s">
        <v>15</v>
      </c>
      <c r="D19" s="16" t="s">
        <v>13</v>
      </c>
      <c r="E19" s="16" t="str">
        <f>"吴小方"</f>
        <v>吴小方</v>
      </c>
      <c r="F19" s="16" t="str">
        <f>"20229120525"</f>
        <v>20229120525</v>
      </c>
      <c r="G19" s="18">
        <v>97.3</v>
      </c>
      <c r="H19" s="18">
        <v>102.6</v>
      </c>
      <c r="I19" s="18">
        <v>99.95</v>
      </c>
      <c r="J19" s="24">
        <v>83.9</v>
      </c>
      <c r="K19" s="26">
        <f t="shared" si="0"/>
        <v>83.7175</v>
      </c>
    </row>
    <row r="20" spans="1:11" ht="19.5" customHeight="1">
      <c r="A20" s="15">
        <v>17</v>
      </c>
      <c r="B20" s="20" t="str">
        <f>"2022008"</f>
        <v>2022008</v>
      </c>
      <c r="C20" s="20" t="s">
        <v>16</v>
      </c>
      <c r="D20" s="20" t="s">
        <v>13</v>
      </c>
      <c r="E20" s="20" t="str">
        <f>"于鸿浩"</f>
        <v>于鸿浩</v>
      </c>
      <c r="F20" s="20" t="str">
        <f>"20229120617"</f>
        <v>20229120617</v>
      </c>
      <c r="G20" s="21">
        <v>80.6</v>
      </c>
      <c r="H20" s="21">
        <v>103.9</v>
      </c>
      <c r="I20" s="21">
        <v>92.25</v>
      </c>
      <c r="J20" s="25">
        <v>87.14</v>
      </c>
      <c r="K20" s="26">
        <f t="shared" si="0"/>
        <v>84.06049999999999</v>
      </c>
    </row>
    <row r="21" spans="1:11" ht="19.5" customHeight="1">
      <c r="A21" s="15">
        <v>18</v>
      </c>
      <c r="B21" s="16" t="str">
        <f>"2022008"</f>
        <v>2022008</v>
      </c>
      <c r="C21" s="16" t="s">
        <v>16</v>
      </c>
      <c r="D21" s="16" t="s">
        <v>13</v>
      </c>
      <c r="E21" s="16" t="str">
        <f>"韩文文"</f>
        <v>韩文文</v>
      </c>
      <c r="F21" s="16" t="str">
        <f>"20229120614"</f>
        <v>20229120614</v>
      </c>
      <c r="G21" s="18">
        <v>91.9</v>
      </c>
      <c r="H21" s="18">
        <v>104.8</v>
      </c>
      <c r="I21" s="18">
        <v>98.35</v>
      </c>
      <c r="J21" s="24">
        <v>82.54</v>
      </c>
      <c r="K21" s="26">
        <f t="shared" si="0"/>
        <v>82.3655</v>
      </c>
    </row>
    <row r="22" spans="1:11" ht="19.5" customHeight="1">
      <c r="A22" s="15">
        <v>19</v>
      </c>
      <c r="B22" s="16" t="str">
        <f>"2022010"</f>
        <v>2022010</v>
      </c>
      <c r="C22" s="16" t="s">
        <v>17</v>
      </c>
      <c r="D22" s="16" t="s">
        <v>13</v>
      </c>
      <c r="E22" s="16" t="str">
        <f>"吴重庆"</f>
        <v>吴重庆</v>
      </c>
      <c r="F22" s="16" t="str">
        <f>"20229120624"</f>
        <v>20229120624</v>
      </c>
      <c r="G22" s="18">
        <v>95.9</v>
      </c>
      <c r="H22" s="18">
        <v>96.5</v>
      </c>
      <c r="I22" s="18">
        <v>96.2</v>
      </c>
      <c r="J22" s="16">
        <v>86.12</v>
      </c>
      <c r="K22" s="26">
        <f t="shared" si="0"/>
        <v>84.334</v>
      </c>
    </row>
    <row r="23" spans="1:11" ht="19.5" customHeight="1">
      <c r="A23" s="15">
        <v>20</v>
      </c>
      <c r="B23" s="16" t="str">
        <f>"2022010"</f>
        <v>2022010</v>
      </c>
      <c r="C23" s="16" t="s">
        <v>17</v>
      </c>
      <c r="D23" s="16" t="s">
        <v>13</v>
      </c>
      <c r="E23" s="16" t="str">
        <f>"王艳丽"</f>
        <v>王艳丽</v>
      </c>
      <c r="F23" s="16" t="str">
        <f>"20229120626"</f>
        <v>20229120626</v>
      </c>
      <c r="G23" s="18">
        <v>96.8</v>
      </c>
      <c r="H23" s="18">
        <v>87.8</v>
      </c>
      <c r="I23" s="18">
        <v>92.3</v>
      </c>
      <c r="J23" s="16">
        <v>83.92</v>
      </c>
      <c r="K23" s="26">
        <f t="shared" si="0"/>
        <v>81.819</v>
      </c>
    </row>
    <row r="24" spans="1:11" ht="19.5" customHeight="1">
      <c r="A24" s="15">
        <v>21</v>
      </c>
      <c r="B24" s="16" t="str">
        <f>"2022013"</f>
        <v>2022013</v>
      </c>
      <c r="C24" s="16" t="s">
        <v>18</v>
      </c>
      <c r="D24" s="16" t="s">
        <v>13</v>
      </c>
      <c r="E24" s="16" t="str">
        <f>"姚玉友"</f>
        <v>姚玉友</v>
      </c>
      <c r="F24" s="16" t="str">
        <f>"20229120228"</f>
        <v>20229120228</v>
      </c>
      <c r="G24" s="18">
        <v>61.6</v>
      </c>
      <c r="H24" s="18">
        <v>86.7</v>
      </c>
      <c r="I24" s="18">
        <v>74.15</v>
      </c>
      <c r="J24" s="24">
        <v>83.76</v>
      </c>
      <c r="K24" s="26">
        <f t="shared" si="0"/>
        <v>77.1695</v>
      </c>
    </row>
    <row r="25" spans="1:11" ht="19.5" customHeight="1">
      <c r="A25" s="15">
        <v>22</v>
      </c>
      <c r="B25" s="16" t="str">
        <f>"2022016"</f>
        <v>2022016</v>
      </c>
      <c r="C25" s="16" t="s">
        <v>19</v>
      </c>
      <c r="D25" s="16" t="s">
        <v>13</v>
      </c>
      <c r="E25" s="16" t="str">
        <f>"刘雪龙"</f>
        <v>刘雪龙</v>
      </c>
      <c r="F25" s="16" t="str">
        <f>"20229120219"</f>
        <v>20229120219</v>
      </c>
      <c r="G25" s="18">
        <v>82.5</v>
      </c>
      <c r="H25" s="18">
        <v>100</v>
      </c>
      <c r="I25" s="18">
        <v>91.25</v>
      </c>
      <c r="J25" s="16">
        <v>83.8</v>
      </c>
      <c r="K25" s="26">
        <f t="shared" si="0"/>
        <v>81.4725</v>
      </c>
    </row>
    <row r="26" spans="1:11" ht="19.5" customHeight="1">
      <c r="A26" s="15">
        <v>23</v>
      </c>
      <c r="B26" s="16" t="str">
        <f>"2022016"</f>
        <v>2022016</v>
      </c>
      <c r="C26" s="16" t="s">
        <v>19</v>
      </c>
      <c r="D26" s="16" t="s">
        <v>13</v>
      </c>
      <c r="E26" s="16" t="str">
        <f>"马锐"</f>
        <v>马锐</v>
      </c>
      <c r="F26" s="16" t="str">
        <f>"20229120222"</f>
        <v>20229120222</v>
      </c>
      <c r="G26" s="18">
        <v>88.6</v>
      </c>
      <c r="H26" s="18">
        <v>103.34</v>
      </c>
      <c r="I26" s="18">
        <v>95.97</v>
      </c>
      <c r="J26" s="16">
        <v>78.2</v>
      </c>
      <c r="K26" s="26">
        <f t="shared" si="0"/>
        <v>78.7325</v>
      </c>
    </row>
    <row r="27" spans="1:11" ht="19.5" customHeight="1">
      <c r="A27" s="15">
        <v>24</v>
      </c>
      <c r="B27" s="16" t="str">
        <f>"2022017"</f>
        <v>2022017</v>
      </c>
      <c r="C27" s="16" t="s">
        <v>20</v>
      </c>
      <c r="D27" s="16" t="s">
        <v>13</v>
      </c>
      <c r="E27" s="16" t="str">
        <f>"王天慧"</f>
        <v>王天慧</v>
      </c>
      <c r="F27" s="16" t="str">
        <f>"20229120427"</f>
        <v>20229120427</v>
      </c>
      <c r="G27" s="18">
        <v>75.6</v>
      </c>
      <c r="H27" s="18">
        <v>74.8</v>
      </c>
      <c r="I27" s="18">
        <v>75.2</v>
      </c>
      <c r="J27" s="24">
        <v>82.16</v>
      </c>
      <c r="K27" s="26">
        <f t="shared" si="0"/>
        <v>76.312</v>
      </c>
    </row>
    <row r="28" spans="1:11" ht="19.5" customHeight="1">
      <c r="A28" s="15">
        <v>25</v>
      </c>
      <c r="B28" s="16" t="str">
        <f aca="true" t="shared" si="3" ref="B28:B38">"2022018"</f>
        <v>2022018</v>
      </c>
      <c r="C28" s="16" t="s">
        <v>12</v>
      </c>
      <c r="D28" s="16" t="s">
        <v>21</v>
      </c>
      <c r="E28" s="16" t="str">
        <f>"徐玲莉"</f>
        <v>徐玲莉</v>
      </c>
      <c r="F28" s="16" t="str">
        <f>"20229120708"</f>
        <v>20229120708</v>
      </c>
      <c r="G28" s="18">
        <v>88.1</v>
      </c>
      <c r="H28" s="18">
        <v>94.8</v>
      </c>
      <c r="I28" s="18">
        <v>91.45</v>
      </c>
      <c r="J28" s="24">
        <v>85.34</v>
      </c>
      <c r="K28" s="26">
        <f t="shared" si="0"/>
        <v>82.6005</v>
      </c>
    </row>
    <row r="29" spans="1:11" ht="19.5" customHeight="1">
      <c r="A29" s="15">
        <v>26</v>
      </c>
      <c r="B29" s="16" t="str">
        <f t="shared" si="3"/>
        <v>2022018</v>
      </c>
      <c r="C29" s="16" t="s">
        <v>12</v>
      </c>
      <c r="D29" s="16" t="s">
        <v>21</v>
      </c>
      <c r="E29" s="16" t="str">
        <f>"李旭峰"</f>
        <v>李旭峰</v>
      </c>
      <c r="F29" s="16" t="str">
        <f>"20229120726"</f>
        <v>20229120726</v>
      </c>
      <c r="G29" s="18">
        <v>85.8</v>
      </c>
      <c r="H29" s="18">
        <v>94.9</v>
      </c>
      <c r="I29" s="18">
        <v>90.35</v>
      </c>
      <c r="J29" s="24">
        <v>85.44</v>
      </c>
      <c r="K29" s="26">
        <f t="shared" si="0"/>
        <v>82.3955</v>
      </c>
    </row>
    <row r="30" spans="1:11" ht="19.5" customHeight="1">
      <c r="A30" s="15">
        <v>27</v>
      </c>
      <c r="B30" s="16" t="str">
        <f t="shared" si="3"/>
        <v>2022018</v>
      </c>
      <c r="C30" s="16" t="s">
        <v>12</v>
      </c>
      <c r="D30" s="16" t="s">
        <v>21</v>
      </c>
      <c r="E30" s="16" t="str">
        <f>"刁敏"</f>
        <v>刁敏</v>
      </c>
      <c r="F30" s="16" t="str">
        <f>"20229120703"</f>
        <v>20229120703</v>
      </c>
      <c r="G30" s="18">
        <v>90.5</v>
      </c>
      <c r="H30" s="18">
        <v>91.2</v>
      </c>
      <c r="I30" s="18">
        <v>90.85</v>
      </c>
      <c r="J30" s="24">
        <v>84.48</v>
      </c>
      <c r="K30" s="26">
        <f t="shared" si="0"/>
        <v>81.8485</v>
      </c>
    </row>
    <row r="31" spans="1:11" ht="19.5" customHeight="1">
      <c r="A31" s="15">
        <v>28</v>
      </c>
      <c r="B31" s="16" t="str">
        <f t="shared" si="3"/>
        <v>2022018</v>
      </c>
      <c r="C31" s="16" t="s">
        <v>12</v>
      </c>
      <c r="D31" s="16" t="s">
        <v>21</v>
      </c>
      <c r="E31" s="16" t="str">
        <f>"潘媛媛"</f>
        <v>潘媛媛</v>
      </c>
      <c r="F31" s="16" t="str">
        <f>"20229120706"</f>
        <v>20229120706</v>
      </c>
      <c r="G31" s="18">
        <v>98.2</v>
      </c>
      <c r="H31" s="18">
        <v>86.1</v>
      </c>
      <c r="I31" s="18">
        <v>92.15</v>
      </c>
      <c r="J31" s="24">
        <v>83.24</v>
      </c>
      <c r="K31" s="26">
        <f t="shared" si="0"/>
        <v>81.3055</v>
      </c>
    </row>
    <row r="32" spans="1:11" ht="19.5" customHeight="1">
      <c r="A32" s="15">
        <v>29</v>
      </c>
      <c r="B32" s="16" t="str">
        <f t="shared" si="3"/>
        <v>2022018</v>
      </c>
      <c r="C32" s="16" t="s">
        <v>12</v>
      </c>
      <c r="D32" s="16" t="s">
        <v>21</v>
      </c>
      <c r="E32" s="16" t="str">
        <f>"任利军"</f>
        <v>任利军</v>
      </c>
      <c r="F32" s="16" t="str">
        <f>"20229120718"</f>
        <v>20229120718</v>
      </c>
      <c r="G32" s="18">
        <v>85.4</v>
      </c>
      <c r="H32" s="18">
        <v>91.4</v>
      </c>
      <c r="I32" s="18">
        <v>88.4</v>
      </c>
      <c r="J32" s="24">
        <v>84.06</v>
      </c>
      <c r="K32" s="26">
        <f t="shared" si="0"/>
        <v>80.94200000000001</v>
      </c>
    </row>
    <row r="33" spans="1:11" ht="19.5" customHeight="1">
      <c r="A33" s="15">
        <v>30</v>
      </c>
      <c r="B33" s="16" t="str">
        <f t="shared" si="3"/>
        <v>2022018</v>
      </c>
      <c r="C33" s="16" t="s">
        <v>12</v>
      </c>
      <c r="D33" s="16" t="s">
        <v>21</v>
      </c>
      <c r="E33" s="16" t="str">
        <f>"张晓影"</f>
        <v>张晓影</v>
      </c>
      <c r="F33" s="16" t="str">
        <f>"20229120711"</f>
        <v>20229120711</v>
      </c>
      <c r="G33" s="18">
        <v>92.1</v>
      </c>
      <c r="H33" s="18">
        <v>77.3</v>
      </c>
      <c r="I33" s="18">
        <v>84.7</v>
      </c>
      <c r="J33" s="25">
        <v>85.34</v>
      </c>
      <c r="K33" s="26">
        <f t="shared" si="0"/>
        <v>80.913</v>
      </c>
    </row>
    <row r="34" spans="1:11" ht="19.5" customHeight="1">
      <c r="A34" s="15">
        <v>31</v>
      </c>
      <c r="B34" s="16" t="str">
        <f t="shared" si="3"/>
        <v>2022018</v>
      </c>
      <c r="C34" s="16" t="s">
        <v>12</v>
      </c>
      <c r="D34" s="16" t="s">
        <v>21</v>
      </c>
      <c r="E34" s="16" t="str">
        <f>"黄丹丹"</f>
        <v>黄丹丹</v>
      </c>
      <c r="F34" s="16" t="str">
        <f>"20229120723"</f>
        <v>20229120723</v>
      </c>
      <c r="G34" s="18">
        <v>88.1</v>
      </c>
      <c r="H34" s="18">
        <v>87</v>
      </c>
      <c r="I34" s="18">
        <v>87.55</v>
      </c>
      <c r="J34" s="24">
        <v>83.2</v>
      </c>
      <c r="K34" s="26">
        <f t="shared" si="0"/>
        <v>80.1275</v>
      </c>
    </row>
    <row r="35" spans="1:11" ht="19.5" customHeight="1">
      <c r="A35" s="15">
        <v>32</v>
      </c>
      <c r="B35" s="16" t="str">
        <f t="shared" si="3"/>
        <v>2022018</v>
      </c>
      <c r="C35" s="16" t="s">
        <v>12</v>
      </c>
      <c r="D35" s="16" t="s">
        <v>21</v>
      </c>
      <c r="E35" s="16" t="str">
        <f>"李二秀"</f>
        <v>李二秀</v>
      </c>
      <c r="F35" s="16" t="str">
        <f>"20229120704"</f>
        <v>20229120704</v>
      </c>
      <c r="G35" s="18">
        <v>75.3</v>
      </c>
      <c r="H35" s="18">
        <v>87.9</v>
      </c>
      <c r="I35" s="18">
        <v>81.6</v>
      </c>
      <c r="J35" s="24">
        <v>84.26</v>
      </c>
      <c r="K35" s="26">
        <f t="shared" si="0"/>
        <v>79.382</v>
      </c>
    </row>
    <row r="36" spans="1:11" ht="19.5" customHeight="1">
      <c r="A36" s="15">
        <v>33</v>
      </c>
      <c r="B36" s="16" t="str">
        <f t="shared" si="3"/>
        <v>2022018</v>
      </c>
      <c r="C36" s="16" t="s">
        <v>12</v>
      </c>
      <c r="D36" s="16" t="s">
        <v>21</v>
      </c>
      <c r="E36" s="16" t="str">
        <f>"李尚峥"</f>
        <v>李尚峥</v>
      </c>
      <c r="F36" s="16" t="str">
        <f>"20229120716"</f>
        <v>20229120716</v>
      </c>
      <c r="G36" s="18">
        <v>83.2</v>
      </c>
      <c r="H36" s="18">
        <v>89.8</v>
      </c>
      <c r="I36" s="18">
        <v>86.5</v>
      </c>
      <c r="J36" s="24">
        <v>81.9</v>
      </c>
      <c r="K36" s="26">
        <f t="shared" si="0"/>
        <v>78.955</v>
      </c>
    </row>
    <row r="37" spans="1:11" ht="19.5" customHeight="1">
      <c r="A37" s="15">
        <v>34</v>
      </c>
      <c r="B37" s="16" t="str">
        <f t="shared" si="3"/>
        <v>2022018</v>
      </c>
      <c r="C37" s="16" t="s">
        <v>12</v>
      </c>
      <c r="D37" s="16" t="s">
        <v>21</v>
      </c>
      <c r="E37" s="16" t="str">
        <f>"焦雪儿"</f>
        <v>焦雪儿</v>
      </c>
      <c r="F37" s="16" t="str">
        <f>"20229120715"</f>
        <v>20229120715</v>
      </c>
      <c r="G37" s="18">
        <v>80.2</v>
      </c>
      <c r="H37" s="18">
        <v>92.3</v>
      </c>
      <c r="I37" s="18">
        <v>86.25</v>
      </c>
      <c r="J37" s="24">
        <v>81.12</v>
      </c>
      <c r="K37" s="26">
        <f t="shared" si="0"/>
        <v>78.34649999999999</v>
      </c>
    </row>
    <row r="38" spans="1:11" ht="19.5" customHeight="1">
      <c r="A38" s="15">
        <v>35</v>
      </c>
      <c r="B38" s="16" t="str">
        <f t="shared" si="3"/>
        <v>2022018</v>
      </c>
      <c r="C38" s="16" t="s">
        <v>12</v>
      </c>
      <c r="D38" s="16" t="s">
        <v>21</v>
      </c>
      <c r="E38" s="16" t="str">
        <f>"   武习习"</f>
        <v>   武习习</v>
      </c>
      <c r="F38" s="16" t="str">
        <f>"20229120722"</f>
        <v>20229120722</v>
      </c>
      <c r="G38" s="18">
        <v>95.1</v>
      </c>
      <c r="H38" s="18">
        <v>101.3</v>
      </c>
      <c r="I38" s="18">
        <v>98.2</v>
      </c>
      <c r="J38" s="24">
        <v>76.8</v>
      </c>
      <c r="K38" s="26">
        <f t="shared" si="0"/>
        <v>78.31</v>
      </c>
    </row>
    <row r="39" spans="1:11" ht="19.5" customHeight="1">
      <c r="A39" s="15">
        <v>36</v>
      </c>
      <c r="B39" s="16" t="str">
        <f aca="true" t="shared" si="4" ref="B39:B49">"2022019"</f>
        <v>2022019</v>
      </c>
      <c r="C39" s="16" t="s">
        <v>12</v>
      </c>
      <c r="D39" s="16" t="s">
        <v>21</v>
      </c>
      <c r="E39" s="16" t="str">
        <f>"江美想"</f>
        <v>江美想</v>
      </c>
      <c r="F39" s="16" t="str">
        <f>"20229120806"</f>
        <v>20229120806</v>
      </c>
      <c r="G39" s="18">
        <v>87</v>
      </c>
      <c r="H39" s="18">
        <v>89.4</v>
      </c>
      <c r="I39" s="18">
        <v>88.2</v>
      </c>
      <c r="J39" s="16">
        <v>81.96</v>
      </c>
      <c r="K39" s="26">
        <f t="shared" si="0"/>
        <v>79.422</v>
      </c>
    </row>
    <row r="40" spans="1:11" ht="19.5" customHeight="1">
      <c r="A40" s="15">
        <v>37</v>
      </c>
      <c r="B40" s="16" t="str">
        <f t="shared" si="4"/>
        <v>2022019</v>
      </c>
      <c r="C40" s="16" t="s">
        <v>12</v>
      </c>
      <c r="D40" s="16" t="s">
        <v>21</v>
      </c>
      <c r="E40" s="16" t="str">
        <f>"刘晓曼"</f>
        <v>刘晓曼</v>
      </c>
      <c r="F40" s="16" t="str">
        <f>"20229120813"</f>
        <v>20229120813</v>
      </c>
      <c r="G40" s="18">
        <v>93.5</v>
      </c>
      <c r="H40" s="18">
        <v>93.2</v>
      </c>
      <c r="I40" s="18">
        <v>93.35</v>
      </c>
      <c r="J40" s="16">
        <v>80.08</v>
      </c>
      <c r="K40" s="26">
        <f t="shared" si="0"/>
        <v>79.3935</v>
      </c>
    </row>
    <row r="41" spans="1:11" ht="19.5" customHeight="1">
      <c r="A41" s="15">
        <v>38</v>
      </c>
      <c r="B41" s="22" t="str">
        <f t="shared" si="4"/>
        <v>2022019</v>
      </c>
      <c r="C41" s="22" t="s">
        <v>12</v>
      </c>
      <c r="D41" s="22" t="s">
        <v>21</v>
      </c>
      <c r="E41" s="22" t="str">
        <f>"王琼"</f>
        <v>王琼</v>
      </c>
      <c r="F41" s="22" t="str">
        <f>"20229120816"</f>
        <v>20229120816</v>
      </c>
      <c r="G41" s="21">
        <v>94.6</v>
      </c>
      <c r="H41" s="21">
        <v>85.9</v>
      </c>
      <c r="I41" s="21">
        <v>90.25</v>
      </c>
      <c r="J41" s="16">
        <v>80.44</v>
      </c>
      <c r="K41" s="26">
        <f t="shared" si="0"/>
        <v>78.87049999999999</v>
      </c>
    </row>
    <row r="42" spans="1:11" ht="19.5" customHeight="1">
      <c r="A42" s="15">
        <v>39</v>
      </c>
      <c r="B42" s="16" t="str">
        <f t="shared" si="4"/>
        <v>2022019</v>
      </c>
      <c r="C42" s="16" t="s">
        <v>12</v>
      </c>
      <c r="D42" s="16" t="s">
        <v>21</v>
      </c>
      <c r="E42" s="16" t="str">
        <f>"杨盼盼"</f>
        <v>杨盼盼</v>
      </c>
      <c r="F42" s="16" t="str">
        <f>"20229120814"</f>
        <v>20229120814</v>
      </c>
      <c r="G42" s="18">
        <v>89.8</v>
      </c>
      <c r="H42" s="18">
        <v>90.6</v>
      </c>
      <c r="I42" s="18">
        <v>90.2</v>
      </c>
      <c r="J42" s="16">
        <v>78.74</v>
      </c>
      <c r="K42" s="26">
        <f t="shared" si="0"/>
        <v>77.66799999999999</v>
      </c>
    </row>
    <row r="43" spans="1:11" ht="19.5" customHeight="1">
      <c r="A43" s="15">
        <v>40</v>
      </c>
      <c r="B43" s="16" t="str">
        <f t="shared" si="4"/>
        <v>2022019</v>
      </c>
      <c r="C43" s="16" t="s">
        <v>12</v>
      </c>
      <c r="D43" s="16" t="s">
        <v>21</v>
      </c>
      <c r="E43" s="16" t="str">
        <f>"王玉红"</f>
        <v>王玉红</v>
      </c>
      <c r="F43" s="16" t="str">
        <f>"20229120820"</f>
        <v>20229120820</v>
      </c>
      <c r="G43" s="18">
        <v>77.2</v>
      </c>
      <c r="H43" s="18">
        <v>84.5</v>
      </c>
      <c r="I43" s="18">
        <v>80.85</v>
      </c>
      <c r="J43" s="16">
        <v>81.9</v>
      </c>
      <c r="K43" s="26">
        <f t="shared" si="0"/>
        <v>77.54249999999999</v>
      </c>
    </row>
    <row r="44" spans="1:11" ht="19.5" customHeight="1">
      <c r="A44" s="15">
        <v>41</v>
      </c>
      <c r="B44" s="16" t="str">
        <f t="shared" si="4"/>
        <v>2022019</v>
      </c>
      <c r="C44" s="16" t="s">
        <v>12</v>
      </c>
      <c r="D44" s="16" t="s">
        <v>21</v>
      </c>
      <c r="E44" s="16" t="str">
        <f>"解薇"</f>
        <v>解薇</v>
      </c>
      <c r="F44" s="16" t="str">
        <f>"20229120801"</f>
        <v>20229120801</v>
      </c>
      <c r="G44" s="18">
        <v>90.8</v>
      </c>
      <c r="H44" s="18">
        <v>78.2</v>
      </c>
      <c r="I44" s="18">
        <v>84.5</v>
      </c>
      <c r="J44" s="16">
        <v>79.38</v>
      </c>
      <c r="K44" s="26">
        <f t="shared" si="0"/>
        <v>76.691</v>
      </c>
    </row>
    <row r="45" spans="1:11" ht="19.5" customHeight="1">
      <c r="A45" s="15">
        <v>42</v>
      </c>
      <c r="B45" s="16" t="str">
        <f t="shared" si="4"/>
        <v>2022019</v>
      </c>
      <c r="C45" s="16" t="s">
        <v>12</v>
      </c>
      <c r="D45" s="16" t="s">
        <v>21</v>
      </c>
      <c r="E45" s="16" t="str">
        <f>"孙颖梅"</f>
        <v>孙颖梅</v>
      </c>
      <c r="F45" s="16" t="str">
        <f>"20229120817"</f>
        <v>20229120817</v>
      </c>
      <c r="G45" s="18">
        <v>88.4</v>
      </c>
      <c r="H45" s="18">
        <v>84.2</v>
      </c>
      <c r="I45" s="18">
        <v>86.3</v>
      </c>
      <c r="J45" s="16">
        <v>78.52</v>
      </c>
      <c r="K45" s="26">
        <f t="shared" si="0"/>
        <v>76.53899999999999</v>
      </c>
    </row>
    <row r="46" spans="1:11" ht="19.5" customHeight="1">
      <c r="A46" s="15">
        <v>43</v>
      </c>
      <c r="B46" s="16" t="str">
        <f t="shared" si="4"/>
        <v>2022019</v>
      </c>
      <c r="C46" s="16" t="s">
        <v>12</v>
      </c>
      <c r="D46" s="16" t="s">
        <v>21</v>
      </c>
      <c r="E46" s="16" t="str">
        <f>"孙娜娜"</f>
        <v>孙娜娜</v>
      </c>
      <c r="F46" s="16" t="str">
        <f>"20229120815"</f>
        <v>20229120815</v>
      </c>
      <c r="G46" s="18">
        <v>80.2</v>
      </c>
      <c r="H46" s="18">
        <v>89</v>
      </c>
      <c r="I46" s="18">
        <v>84.6</v>
      </c>
      <c r="J46" s="16">
        <v>78.82</v>
      </c>
      <c r="K46" s="26">
        <f t="shared" si="0"/>
        <v>76.32399999999998</v>
      </c>
    </row>
    <row r="47" spans="1:11" ht="19.5" customHeight="1">
      <c r="A47" s="15">
        <v>44</v>
      </c>
      <c r="B47" s="16" t="str">
        <f t="shared" si="4"/>
        <v>2022019</v>
      </c>
      <c r="C47" s="16" t="s">
        <v>12</v>
      </c>
      <c r="D47" s="16" t="s">
        <v>21</v>
      </c>
      <c r="E47" s="16" t="str">
        <f>"朱琰"</f>
        <v>朱琰</v>
      </c>
      <c r="F47" s="16" t="str">
        <f>"20229120810"</f>
        <v>20229120810</v>
      </c>
      <c r="G47" s="18">
        <v>92.4</v>
      </c>
      <c r="H47" s="18">
        <v>79.8</v>
      </c>
      <c r="I47" s="18">
        <v>86.1</v>
      </c>
      <c r="J47" s="16">
        <v>78.26</v>
      </c>
      <c r="K47" s="26">
        <f t="shared" si="0"/>
        <v>76.307</v>
      </c>
    </row>
    <row r="48" spans="1:11" ht="19.5" customHeight="1">
      <c r="A48" s="15">
        <v>45</v>
      </c>
      <c r="B48" s="16" t="str">
        <f t="shared" si="4"/>
        <v>2022019</v>
      </c>
      <c r="C48" s="16" t="s">
        <v>12</v>
      </c>
      <c r="D48" s="16" t="s">
        <v>21</v>
      </c>
      <c r="E48" s="16" t="str">
        <f>"江慧琳"</f>
        <v>江慧琳</v>
      </c>
      <c r="F48" s="16" t="str">
        <f>"20229120821"</f>
        <v>20229120821</v>
      </c>
      <c r="G48" s="18">
        <v>91.2</v>
      </c>
      <c r="H48" s="18">
        <v>81.3</v>
      </c>
      <c r="I48" s="18">
        <v>86.25</v>
      </c>
      <c r="J48" s="16">
        <v>78.06</v>
      </c>
      <c r="K48" s="26">
        <f t="shared" si="0"/>
        <v>76.2045</v>
      </c>
    </row>
    <row r="49" spans="1:11" ht="19.5" customHeight="1">
      <c r="A49" s="15">
        <v>46</v>
      </c>
      <c r="B49" s="16" t="str">
        <f t="shared" si="4"/>
        <v>2022019</v>
      </c>
      <c r="C49" s="16" t="s">
        <v>12</v>
      </c>
      <c r="D49" s="16" t="s">
        <v>21</v>
      </c>
      <c r="E49" s="16" t="str">
        <f>"汪青"</f>
        <v>汪青</v>
      </c>
      <c r="F49" s="16" t="str">
        <f>"20229120805"</f>
        <v>20229120805</v>
      </c>
      <c r="G49" s="18">
        <v>70.9</v>
      </c>
      <c r="H49" s="18">
        <v>81.2</v>
      </c>
      <c r="I49" s="18">
        <v>76.05</v>
      </c>
      <c r="J49" s="16">
        <v>81.7</v>
      </c>
      <c r="K49" s="26">
        <f t="shared" si="0"/>
        <v>76.2025</v>
      </c>
    </row>
    <row r="50" spans="1:11" ht="19.5" customHeight="1">
      <c r="A50" s="15">
        <v>47</v>
      </c>
      <c r="B50" s="16" t="str">
        <f aca="true" t="shared" si="5" ref="B50:B60">"2022020"</f>
        <v>2022020</v>
      </c>
      <c r="C50" s="16" t="s">
        <v>12</v>
      </c>
      <c r="D50" s="16" t="s">
        <v>21</v>
      </c>
      <c r="E50" s="16" t="str">
        <f>"杜红艳"</f>
        <v>杜红艳</v>
      </c>
      <c r="F50" s="16" t="str">
        <f>"20229120828"</f>
        <v>20229120828</v>
      </c>
      <c r="G50" s="18">
        <v>89.6</v>
      </c>
      <c r="H50" s="18">
        <v>86.8</v>
      </c>
      <c r="I50" s="18">
        <v>88.2</v>
      </c>
      <c r="J50" s="16">
        <v>84.32</v>
      </c>
      <c r="K50" s="26">
        <f t="shared" si="0"/>
        <v>81.074</v>
      </c>
    </row>
    <row r="51" spans="1:11" ht="19.5" customHeight="1">
      <c r="A51" s="15">
        <v>48</v>
      </c>
      <c r="B51" s="16" t="str">
        <f t="shared" si="5"/>
        <v>2022020</v>
      </c>
      <c r="C51" s="16" t="s">
        <v>12</v>
      </c>
      <c r="D51" s="16" t="s">
        <v>21</v>
      </c>
      <c r="E51" s="16" t="str">
        <f>"王莹莹"</f>
        <v>王莹莹</v>
      </c>
      <c r="F51" s="16" t="str">
        <f>"20229120907"</f>
        <v>20229120907</v>
      </c>
      <c r="G51" s="18">
        <v>95</v>
      </c>
      <c r="H51" s="18">
        <v>85.7</v>
      </c>
      <c r="I51" s="18">
        <v>90.35</v>
      </c>
      <c r="J51" s="16">
        <v>81.6</v>
      </c>
      <c r="K51" s="26">
        <f t="shared" si="0"/>
        <v>79.7075</v>
      </c>
    </row>
    <row r="52" spans="1:11" ht="19.5" customHeight="1">
      <c r="A52" s="15">
        <v>49</v>
      </c>
      <c r="B52" s="16" t="str">
        <f t="shared" si="5"/>
        <v>2022020</v>
      </c>
      <c r="C52" s="16" t="s">
        <v>12</v>
      </c>
      <c r="D52" s="16" t="s">
        <v>21</v>
      </c>
      <c r="E52" s="16" t="str">
        <f>"黄小敏"</f>
        <v>黄小敏</v>
      </c>
      <c r="F52" s="16" t="str">
        <f>"20229120913"</f>
        <v>20229120913</v>
      </c>
      <c r="G52" s="18">
        <v>89.8</v>
      </c>
      <c r="H52" s="18">
        <v>85.3</v>
      </c>
      <c r="I52" s="18">
        <v>87.55</v>
      </c>
      <c r="J52" s="16">
        <v>82.32</v>
      </c>
      <c r="K52" s="26">
        <f t="shared" si="0"/>
        <v>79.51149999999998</v>
      </c>
    </row>
    <row r="53" spans="1:11" ht="19.5" customHeight="1">
      <c r="A53" s="15">
        <v>50</v>
      </c>
      <c r="B53" s="16" t="str">
        <f t="shared" si="5"/>
        <v>2022020</v>
      </c>
      <c r="C53" s="16" t="s">
        <v>12</v>
      </c>
      <c r="D53" s="16" t="s">
        <v>21</v>
      </c>
      <c r="E53" s="16" t="str">
        <f>"陈曼谛"</f>
        <v>陈曼谛</v>
      </c>
      <c r="F53" s="16" t="str">
        <f>"20229120909"</f>
        <v>20229120909</v>
      </c>
      <c r="G53" s="18">
        <v>77.2</v>
      </c>
      <c r="H53" s="18">
        <v>90</v>
      </c>
      <c r="I53" s="18">
        <v>83.6</v>
      </c>
      <c r="J53" s="19">
        <v>82.2</v>
      </c>
      <c r="K53" s="26">
        <f t="shared" si="0"/>
        <v>78.44</v>
      </c>
    </row>
    <row r="54" spans="1:11" ht="19.5" customHeight="1">
      <c r="A54" s="15">
        <v>51</v>
      </c>
      <c r="B54" s="16" t="str">
        <f t="shared" si="5"/>
        <v>2022020</v>
      </c>
      <c r="C54" s="16" t="s">
        <v>12</v>
      </c>
      <c r="D54" s="16" t="s">
        <v>21</v>
      </c>
      <c r="E54" s="16" t="str">
        <f>"马飞雪"</f>
        <v>马飞雪</v>
      </c>
      <c r="F54" s="16" t="str">
        <f>"20229120826"</f>
        <v>20229120826</v>
      </c>
      <c r="G54" s="18">
        <v>95.6</v>
      </c>
      <c r="H54" s="18">
        <v>93.9</v>
      </c>
      <c r="I54" s="18">
        <v>94.75</v>
      </c>
      <c r="J54" s="16">
        <v>78.2</v>
      </c>
      <c r="K54" s="26">
        <f t="shared" si="0"/>
        <v>78.42750000000001</v>
      </c>
    </row>
    <row r="55" spans="1:11" ht="19.5" customHeight="1">
      <c r="A55" s="15">
        <v>52</v>
      </c>
      <c r="B55" s="16" t="str">
        <f t="shared" si="5"/>
        <v>2022020</v>
      </c>
      <c r="C55" s="16" t="s">
        <v>12</v>
      </c>
      <c r="D55" s="16" t="s">
        <v>21</v>
      </c>
      <c r="E55" s="16" t="str">
        <f>"董继伟"</f>
        <v>董继伟</v>
      </c>
      <c r="F55" s="16" t="str">
        <f>"20229120914"</f>
        <v>20229120914</v>
      </c>
      <c r="G55" s="18">
        <v>84.3</v>
      </c>
      <c r="H55" s="18">
        <v>84.4</v>
      </c>
      <c r="I55" s="18">
        <v>84.35</v>
      </c>
      <c r="J55" s="16">
        <v>81.86</v>
      </c>
      <c r="K55" s="26">
        <f t="shared" si="0"/>
        <v>78.3895</v>
      </c>
    </row>
    <row r="56" spans="1:11" ht="19.5" customHeight="1">
      <c r="A56" s="15">
        <v>53</v>
      </c>
      <c r="B56" s="20" t="str">
        <f t="shared" si="5"/>
        <v>2022020</v>
      </c>
      <c r="C56" s="20" t="s">
        <v>12</v>
      </c>
      <c r="D56" s="20" t="s">
        <v>21</v>
      </c>
      <c r="E56" s="20" t="str">
        <f>"陈虹"</f>
        <v>陈虹</v>
      </c>
      <c r="F56" s="20" t="str">
        <f>"20229120905"</f>
        <v>20229120905</v>
      </c>
      <c r="G56" s="21">
        <v>73.6</v>
      </c>
      <c r="H56" s="21">
        <v>94.8</v>
      </c>
      <c r="I56" s="21">
        <v>84.2</v>
      </c>
      <c r="J56" s="25">
        <v>80.92</v>
      </c>
      <c r="K56" s="26">
        <f t="shared" si="0"/>
        <v>77.694</v>
      </c>
    </row>
    <row r="57" spans="1:11" ht="19.5" customHeight="1">
      <c r="A57" s="15">
        <v>54</v>
      </c>
      <c r="B57" s="16" t="str">
        <f t="shared" si="5"/>
        <v>2022020</v>
      </c>
      <c r="C57" s="16" t="s">
        <v>12</v>
      </c>
      <c r="D57" s="16" t="s">
        <v>21</v>
      </c>
      <c r="E57" s="16" t="str">
        <f>"魏倩倩"</f>
        <v>魏倩倩</v>
      </c>
      <c r="F57" s="16" t="str">
        <f>"20229120910"</f>
        <v>20229120910</v>
      </c>
      <c r="G57" s="18">
        <v>79.5</v>
      </c>
      <c r="H57" s="18">
        <v>89.4</v>
      </c>
      <c r="I57" s="18">
        <v>84.45</v>
      </c>
      <c r="J57" s="16">
        <v>80</v>
      </c>
      <c r="K57" s="26">
        <f t="shared" si="0"/>
        <v>77.1125</v>
      </c>
    </row>
    <row r="58" spans="1:11" ht="19.5" customHeight="1">
      <c r="A58" s="15">
        <v>55</v>
      </c>
      <c r="B58" s="16" t="str">
        <f t="shared" si="5"/>
        <v>2022020</v>
      </c>
      <c r="C58" s="16" t="s">
        <v>12</v>
      </c>
      <c r="D58" s="16" t="s">
        <v>21</v>
      </c>
      <c r="E58" s="16" t="str">
        <f>"江海燕"</f>
        <v>江海燕</v>
      </c>
      <c r="F58" s="16" t="str">
        <f>"20229120912"</f>
        <v>20229120912</v>
      </c>
      <c r="G58" s="18">
        <v>79.5</v>
      </c>
      <c r="H58" s="18">
        <v>79.5</v>
      </c>
      <c r="I58" s="18">
        <v>79.5</v>
      </c>
      <c r="J58" s="19">
        <v>81.2</v>
      </c>
      <c r="K58" s="26">
        <f t="shared" si="0"/>
        <v>76.715</v>
      </c>
    </row>
    <row r="59" spans="1:11" ht="19.5" customHeight="1">
      <c r="A59" s="15">
        <v>56</v>
      </c>
      <c r="B59" s="16" t="str">
        <f t="shared" si="5"/>
        <v>2022020</v>
      </c>
      <c r="C59" s="16" t="s">
        <v>12</v>
      </c>
      <c r="D59" s="16" t="s">
        <v>21</v>
      </c>
      <c r="E59" s="16" t="str">
        <f>"冯丽丽"</f>
        <v>冯丽丽</v>
      </c>
      <c r="F59" s="16" t="str">
        <f>"20229120827"</f>
        <v>20229120827</v>
      </c>
      <c r="G59" s="18">
        <v>83.5</v>
      </c>
      <c r="H59" s="18">
        <v>57.1</v>
      </c>
      <c r="I59" s="18">
        <v>70.3</v>
      </c>
      <c r="J59" s="16">
        <v>83.2</v>
      </c>
      <c r="K59" s="26">
        <f t="shared" si="0"/>
        <v>75.815</v>
      </c>
    </row>
    <row r="60" spans="1:11" ht="19.5" customHeight="1">
      <c r="A60" s="15">
        <v>57</v>
      </c>
      <c r="B60" s="16" t="str">
        <f t="shared" si="5"/>
        <v>2022020</v>
      </c>
      <c r="C60" s="16" t="s">
        <v>12</v>
      </c>
      <c r="D60" s="16" t="s">
        <v>21</v>
      </c>
      <c r="E60" s="16" t="str">
        <f>"董宁"</f>
        <v>董宁</v>
      </c>
      <c r="F60" s="16" t="str">
        <f>"20229120823"</f>
        <v>20229120823</v>
      </c>
      <c r="G60" s="18">
        <v>77.7</v>
      </c>
      <c r="H60" s="18">
        <v>72.5</v>
      </c>
      <c r="I60" s="18">
        <v>75.1</v>
      </c>
      <c r="J60" s="16">
        <v>81.14</v>
      </c>
      <c r="K60" s="26">
        <f t="shared" si="0"/>
        <v>75.573</v>
      </c>
    </row>
    <row r="61" spans="1:11" ht="19.5" customHeight="1">
      <c r="A61" s="15">
        <v>58</v>
      </c>
      <c r="B61" s="16" t="str">
        <f aca="true" t="shared" si="6" ref="B61:B67">"2022021"</f>
        <v>2022021</v>
      </c>
      <c r="C61" s="16" t="s">
        <v>12</v>
      </c>
      <c r="D61" s="16" t="s">
        <v>21</v>
      </c>
      <c r="E61" s="16" t="str">
        <f>"侯利平"</f>
        <v>侯利平</v>
      </c>
      <c r="F61" s="16" t="str">
        <f>"20229121905"</f>
        <v>20229121905</v>
      </c>
      <c r="G61" s="18">
        <v>110.1</v>
      </c>
      <c r="H61" s="18">
        <v>97.8</v>
      </c>
      <c r="I61" s="18">
        <v>103.95</v>
      </c>
      <c r="J61" s="24">
        <v>81.3</v>
      </c>
      <c r="K61" s="26">
        <f t="shared" si="0"/>
        <v>82.8975</v>
      </c>
    </row>
    <row r="62" spans="1:11" ht="19.5" customHeight="1">
      <c r="A62" s="15">
        <v>59</v>
      </c>
      <c r="B62" s="16" t="str">
        <f t="shared" si="6"/>
        <v>2022021</v>
      </c>
      <c r="C62" s="16" t="s">
        <v>12</v>
      </c>
      <c r="D62" s="16" t="s">
        <v>21</v>
      </c>
      <c r="E62" s="16" t="str">
        <f>"孟珂帆"</f>
        <v>孟珂帆</v>
      </c>
      <c r="F62" s="16" t="str">
        <f>"20229121523"</f>
        <v>20229121523</v>
      </c>
      <c r="G62" s="18">
        <v>106</v>
      </c>
      <c r="H62" s="18">
        <v>94.6</v>
      </c>
      <c r="I62" s="18">
        <v>100.3</v>
      </c>
      <c r="J62" s="24">
        <v>81.8</v>
      </c>
      <c r="K62" s="26">
        <f t="shared" si="0"/>
        <v>82.335</v>
      </c>
    </row>
    <row r="63" spans="1:11" ht="19.5" customHeight="1">
      <c r="A63" s="15">
        <v>60</v>
      </c>
      <c r="B63" s="16" t="str">
        <f t="shared" si="6"/>
        <v>2022021</v>
      </c>
      <c r="C63" s="16" t="s">
        <v>12</v>
      </c>
      <c r="D63" s="16" t="s">
        <v>21</v>
      </c>
      <c r="E63" s="16" t="str">
        <f>"姚静娟"</f>
        <v>姚静娟</v>
      </c>
      <c r="F63" s="16" t="str">
        <f>"20229120928"</f>
        <v>20229120928</v>
      </c>
      <c r="G63" s="18">
        <v>105.6</v>
      </c>
      <c r="H63" s="18">
        <v>91.9</v>
      </c>
      <c r="I63" s="18">
        <v>98.75</v>
      </c>
      <c r="J63" s="25">
        <v>82.2</v>
      </c>
      <c r="K63" s="26">
        <f t="shared" si="0"/>
        <v>82.22749999999999</v>
      </c>
    </row>
    <row r="64" spans="1:11" ht="19.5" customHeight="1">
      <c r="A64" s="15">
        <v>61</v>
      </c>
      <c r="B64" s="16" t="str">
        <f t="shared" si="6"/>
        <v>2022021</v>
      </c>
      <c r="C64" s="16" t="s">
        <v>12</v>
      </c>
      <c r="D64" s="16" t="s">
        <v>21</v>
      </c>
      <c r="E64" s="16" t="str">
        <f>"黄玉海"</f>
        <v>黄玉海</v>
      </c>
      <c r="F64" s="16" t="str">
        <f>"20229121812"</f>
        <v>20229121812</v>
      </c>
      <c r="G64" s="18">
        <v>107</v>
      </c>
      <c r="H64" s="18">
        <v>92.3</v>
      </c>
      <c r="I64" s="18">
        <v>99.65</v>
      </c>
      <c r="J64" s="24">
        <v>81</v>
      </c>
      <c r="K64" s="26">
        <f t="shared" si="0"/>
        <v>81.6125</v>
      </c>
    </row>
    <row r="65" spans="1:11" ht="19.5" customHeight="1">
      <c r="A65" s="15">
        <v>62</v>
      </c>
      <c r="B65" s="16" t="str">
        <f t="shared" si="6"/>
        <v>2022021</v>
      </c>
      <c r="C65" s="16" t="s">
        <v>12</v>
      </c>
      <c r="D65" s="16" t="s">
        <v>21</v>
      </c>
      <c r="E65" s="16" t="str">
        <f>"李兵杰"</f>
        <v>李兵杰</v>
      </c>
      <c r="F65" s="16" t="str">
        <f>"20229121223"</f>
        <v>20229121223</v>
      </c>
      <c r="G65" s="18">
        <v>108.8</v>
      </c>
      <c r="H65" s="18">
        <v>95.7</v>
      </c>
      <c r="I65" s="18">
        <v>102.25</v>
      </c>
      <c r="J65" s="24">
        <v>79.96</v>
      </c>
      <c r="K65" s="26">
        <f t="shared" si="0"/>
        <v>81.5345</v>
      </c>
    </row>
    <row r="66" spans="1:11" ht="19.5" customHeight="1">
      <c r="A66" s="15">
        <v>63</v>
      </c>
      <c r="B66" s="16" t="str">
        <f t="shared" si="6"/>
        <v>2022021</v>
      </c>
      <c r="C66" s="16" t="s">
        <v>12</v>
      </c>
      <c r="D66" s="16" t="s">
        <v>21</v>
      </c>
      <c r="E66" s="16" t="str">
        <f>"陈双陈"</f>
        <v>陈双陈</v>
      </c>
      <c r="F66" s="16" t="str">
        <f>"20229121514"</f>
        <v>20229121514</v>
      </c>
      <c r="G66" s="18">
        <v>105.8</v>
      </c>
      <c r="H66" s="18">
        <v>94.2</v>
      </c>
      <c r="I66" s="18">
        <v>100</v>
      </c>
      <c r="J66" s="24">
        <v>80.48</v>
      </c>
      <c r="K66" s="26">
        <f t="shared" si="0"/>
        <v>81.336</v>
      </c>
    </row>
    <row r="67" spans="1:11" ht="19.5" customHeight="1">
      <c r="A67" s="15">
        <v>64</v>
      </c>
      <c r="B67" s="16" t="str">
        <f t="shared" si="6"/>
        <v>2022021</v>
      </c>
      <c r="C67" s="16" t="s">
        <v>12</v>
      </c>
      <c r="D67" s="16" t="s">
        <v>21</v>
      </c>
      <c r="E67" s="16" t="str">
        <f>"焦艳梅"</f>
        <v>焦艳梅</v>
      </c>
      <c r="F67" s="16" t="str">
        <f>"20229121115"</f>
        <v>20229121115</v>
      </c>
      <c r="G67" s="18">
        <v>103.9</v>
      </c>
      <c r="H67" s="18">
        <v>91.6</v>
      </c>
      <c r="I67" s="18">
        <v>97.75</v>
      </c>
      <c r="J67" s="24">
        <v>80.5</v>
      </c>
      <c r="K67" s="26">
        <f t="shared" si="0"/>
        <v>80.7875</v>
      </c>
    </row>
    <row r="68" spans="1:11" ht="19.5" customHeight="1">
      <c r="A68" s="15">
        <v>65</v>
      </c>
      <c r="B68" s="16" t="str">
        <f aca="true" t="shared" si="7" ref="B68:B76">"2022022"</f>
        <v>2022022</v>
      </c>
      <c r="C68" s="16" t="s">
        <v>14</v>
      </c>
      <c r="D68" s="16" t="s">
        <v>21</v>
      </c>
      <c r="E68" s="16" t="str">
        <f>"沈兵影"</f>
        <v>沈兵影</v>
      </c>
      <c r="F68" s="16" t="str">
        <f>"20229122203"</f>
        <v>20229122203</v>
      </c>
      <c r="G68" s="18">
        <v>106.1</v>
      </c>
      <c r="H68" s="18">
        <v>58.1</v>
      </c>
      <c r="I68" s="18">
        <v>82.1</v>
      </c>
      <c r="J68" s="24">
        <v>83.28</v>
      </c>
      <c r="K68" s="26">
        <f aca="true" t="shared" si="8" ref="K68:K130">I68/1.2*0.3+J68*0.7</f>
        <v>78.821</v>
      </c>
    </row>
    <row r="69" spans="1:11" ht="19.5" customHeight="1">
      <c r="A69" s="15">
        <v>66</v>
      </c>
      <c r="B69" s="16" t="str">
        <f t="shared" si="7"/>
        <v>2022022</v>
      </c>
      <c r="C69" s="16" t="s">
        <v>14</v>
      </c>
      <c r="D69" s="16" t="s">
        <v>21</v>
      </c>
      <c r="E69" s="16" t="str">
        <f>"李艳芳"</f>
        <v>李艳芳</v>
      </c>
      <c r="F69" s="16" t="str">
        <f>"20229122217"</f>
        <v>20229122217</v>
      </c>
      <c r="G69" s="18">
        <v>86.6</v>
      </c>
      <c r="H69" s="18">
        <v>70.8</v>
      </c>
      <c r="I69" s="18">
        <v>78.7</v>
      </c>
      <c r="J69" s="24">
        <v>83.38</v>
      </c>
      <c r="K69" s="26">
        <f t="shared" si="8"/>
        <v>78.041</v>
      </c>
    </row>
    <row r="70" spans="1:11" ht="19.5" customHeight="1">
      <c r="A70" s="15">
        <v>67</v>
      </c>
      <c r="B70" s="16" t="str">
        <f t="shared" si="7"/>
        <v>2022022</v>
      </c>
      <c r="C70" s="16" t="s">
        <v>14</v>
      </c>
      <c r="D70" s="16" t="s">
        <v>21</v>
      </c>
      <c r="E70" s="16" t="str">
        <f>"代丽丽"</f>
        <v>代丽丽</v>
      </c>
      <c r="F70" s="16" t="str">
        <f>"20229122207"</f>
        <v>20229122207</v>
      </c>
      <c r="G70" s="18">
        <v>94.3</v>
      </c>
      <c r="H70" s="18">
        <v>72.6</v>
      </c>
      <c r="I70" s="18">
        <v>83.45</v>
      </c>
      <c r="J70" s="24">
        <v>81.02</v>
      </c>
      <c r="K70" s="26">
        <f t="shared" si="8"/>
        <v>77.5765</v>
      </c>
    </row>
    <row r="71" spans="1:11" ht="19.5" customHeight="1">
      <c r="A71" s="15">
        <v>68</v>
      </c>
      <c r="B71" s="16" t="str">
        <f t="shared" si="7"/>
        <v>2022022</v>
      </c>
      <c r="C71" s="16" t="s">
        <v>14</v>
      </c>
      <c r="D71" s="16" t="s">
        <v>21</v>
      </c>
      <c r="E71" s="16" t="str">
        <f>"姜瑞琦"</f>
        <v>姜瑞琦</v>
      </c>
      <c r="F71" s="16" t="str">
        <f>"20229122213"</f>
        <v>20229122213</v>
      </c>
      <c r="G71" s="18">
        <v>81.9</v>
      </c>
      <c r="H71" s="18">
        <v>89.7</v>
      </c>
      <c r="I71" s="18">
        <v>85.8</v>
      </c>
      <c r="J71" s="24">
        <v>78.52</v>
      </c>
      <c r="K71" s="26">
        <f t="shared" si="8"/>
        <v>76.41399999999999</v>
      </c>
    </row>
    <row r="72" spans="1:11" ht="19.5" customHeight="1">
      <c r="A72" s="15">
        <v>69</v>
      </c>
      <c r="B72" s="16" t="str">
        <f t="shared" si="7"/>
        <v>2022022</v>
      </c>
      <c r="C72" s="16" t="s">
        <v>14</v>
      </c>
      <c r="D72" s="16" t="s">
        <v>21</v>
      </c>
      <c r="E72" s="16" t="str">
        <f>"戴伟"</f>
        <v>戴伟</v>
      </c>
      <c r="F72" s="16" t="str">
        <f>"20229122204"</f>
        <v>20229122204</v>
      </c>
      <c r="G72" s="18">
        <v>63.1</v>
      </c>
      <c r="H72" s="18">
        <v>84.6</v>
      </c>
      <c r="I72" s="18">
        <v>73.85</v>
      </c>
      <c r="J72" s="24">
        <v>79.72</v>
      </c>
      <c r="K72" s="26">
        <f t="shared" si="8"/>
        <v>74.2665</v>
      </c>
    </row>
    <row r="73" spans="1:11" ht="19.5" customHeight="1">
      <c r="A73" s="15">
        <v>70</v>
      </c>
      <c r="B73" s="16" t="str">
        <f t="shared" si="7"/>
        <v>2022022</v>
      </c>
      <c r="C73" s="16" t="s">
        <v>14</v>
      </c>
      <c r="D73" s="16" t="s">
        <v>21</v>
      </c>
      <c r="E73" s="16" t="str">
        <f>"马丽"</f>
        <v>马丽</v>
      </c>
      <c r="F73" s="16" t="str">
        <f>"20229122209"</f>
        <v>20229122209</v>
      </c>
      <c r="G73" s="18">
        <v>57.8</v>
      </c>
      <c r="H73" s="18">
        <v>58.4</v>
      </c>
      <c r="I73" s="18">
        <v>58.1</v>
      </c>
      <c r="J73" s="24">
        <v>83.86</v>
      </c>
      <c r="K73" s="26">
        <f t="shared" si="8"/>
        <v>73.227</v>
      </c>
    </row>
    <row r="74" spans="1:11" ht="19.5" customHeight="1">
      <c r="A74" s="15">
        <v>71</v>
      </c>
      <c r="B74" s="16" t="str">
        <f t="shared" si="7"/>
        <v>2022022</v>
      </c>
      <c r="C74" s="16" t="s">
        <v>14</v>
      </c>
      <c r="D74" s="16" t="s">
        <v>21</v>
      </c>
      <c r="E74" s="16" t="str">
        <f>"王倩倩"</f>
        <v>王倩倩</v>
      </c>
      <c r="F74" s="16" t="str">
        <f>"20229122206"</f>
        <v>20229122206</v>
      </c>
      <c r="G74" s="18">
        <v>75.9</v>
      </c>
      <c r="H74" s="18">
        <v>58.6</v>
      </c>
      <c r="I74" s="18">
        <v>67.25</v>
      </c>
      <c r="J74" s="24">
        <v>80.54</v>
      </c>
      <c r="K74" s="26">
        <f t="shared" si="8"/>
        <v>73.1905</v>
      </c>
    </row>
    <row r="75" spans="1:11" ht="19.5" customHeight="1">
      <c r="A75" s="15">
        <v>72</v>
      </c>
      <c r="B75" s="16" t="str">
        <f t="shared" si="7"/>
        <v>2022022</v>
      </c>
      <c r="C75" s="16" t="s">
        <v>14</v>
      </c>
      <c r="D75" s="16" t="s">
        <v>21</v>
      </c>
      <c r="E75" s="16" t="str">
        <f>"谢梓腾"</f>
        <v>谢梓腾</v>
      </c>
      <c r="F75" s="16" t="str">
        <f>"20229122218"</f>
        <v>20229122218</v>
      </c>
      <c r="G75" s="18">
        <v>80.5</v>
      </c>
      <c r="H75" s="18">
        <v>59.3</v>
      </c>
      <c r="I75" s="18">
        <v>69.9</v>
      </c>
      <c r="J75" s="24">
        <v>78.86</v>
      </c>
      <c r="K75" s="26">
        <f t="shared" si="8"/>
        <v>72.67699999999999</v>
      </c>
    </row>
    <row r="76" spans="1:11" ht="19.5" customHeight="1">
      <c r="A76" s="15">
        <v>73</v>
      </c>
      <c r="B76" s="16" t="str">
        <f t="shared" si="7"/>
        <v>2022022</v>
      </c>
      <c r="C76" s="16" t="s">
        <v>14</v>
      </c>
      <c r="D76" s="16" t="s">
        <v>21</v>
      </c>
      <c r="E76" s="16" t="str">
        <f>"王永庆"</f>
        <v>王永庆</v>
      </c>
      <c r="F76" s="17" t="str">
        <f>"20229122202"</f>
        <v>20229122202</v>
      </c>
      <c r="G76" s="18">
        <v>98.9</v>
      </c>
      <c r="H76" s="18">
        <v>39.1</v>
      </c>
      <c r="I76" s="18">
        <v>69</v>
      </c>
      <c r="J76" s="25">
        <v>79.04</v>
      </c>
      <c r="K76" s="26">
        <f t="shared" si="8"/>
        <v>72.578</v>
      </c>
    </row>
    <row r="77" spans="1:11" ht="19.5" customHeight="1">
      <c r="A77" s="15">
        <v>74</v>
      </c>
      <c r="B77" s="16" t="str">
        <f aca="true" t="shared" si="9" ref="B77:B87">"2022023"</f>
        <v>2022023</v>
      </c>
      <c r="C77" s="16" t="s">
        <v>14</v>
      </c>
      <c r="D77" s="16" t="s">
        <v>21</v>
      </c>
      <c r="E77" s="16" t="str">
        <f>"韩枭"</f>
        <v>韩枭</v>
      </c>
      <c r="F77" s="16" t="str">
        <f>"20229122311"</f>
        <v>20229122311</v>
      </c>
      <c r="G77" s="18">
        <v>86.9</v>
      </c>
      <c r="H77" s="18">
        <v>84.7</v>
      </c>
      <c r="I77" s="18">
        <v>85.8</v>
      </c>
      <c r="J77" s="24">
        <v>82.06</v>
      </c>
      <c r="K77" s="26">
        <f t="shared" si="8"/>
        <v>78.892</v>
      </c>
    </row>
    <row r="78" spans="1:11" ht="19.5" customHeight="1">
      <c r="A78" s="15">
        <v>75</v>
      </c>
      <c r="B78" s="16" t="str">
        <f t="shared" si="9"/>
        <v>2022023</v>
      </c>
      <c r="C78" s="16" t="s">
        <v>14</v>
      </c>
      <c r="D78" s="16" t="s">
        <v>21</v>
      </c>
      <c r="E78" s="16" t="str">
        <f>"刘莉"</f>
        <v>刘莉</v>
      </c>
      <c r="F78" s="16" t="str">
        <f>"20229122310"</f>
        <v>20229122310</v>
      </c>
      <c r="G78" s="18">
        <v>93.4</v>
      </c>
      <c r="H78" s="18">
        <v>67.6</v>
      </c>
      <c r="I78" s="18">
        <v>80.5</v>
      </c>
      <c r="J78" s="24">
        <v>79.06</v>
      </c>
      <c r="K78" s="26">
        <f t="shared" si="8"/>
        <v>75.467</v>
      </c>
    </row>
    <row r="79" spans="1:11" ht="19.5" customHeight="1">
      <c r="A79" s="15">
        <v>76</v>
      </c>
      <c r="B79" s="16" t="str">
        <f t="shared" si="9"/>
        <v>2022023</v>
      </c>
      <c r="C79" s="16" t="s">
        <v>14</v>
      </c>
      <c r="D79" s="16" t="s">
        <v>21</v>
      </c>
      <c r="E79" s="16" t="str">
        <f>"黄文莉"</f>
        <v>黄文莉</v>
      </c>
      <c r="F79" s="16" t="str">
        <f>"20229122224"</f>
        <v>20229122224</v>
      </c>
      <c r="G79" s="18">
        <v>83.8</v>
      </c>
      <c r="H79" s="18">
        <v>60.3</v>
      </c>
      <c r="I79" s="18">
        <v>72.05</v>
      </c>
      <c r="J79" s="24">
        <v>79.72</v>
      </c>
      <c r="K79" s="26">
        <f t="shared" si="8"/>
        <v>73.81649999999999</v>
      </c>
    </row>
    <row r="80" spans="1:11" ht="19.5" customHeight="1">
      <c r="A80" s="15">
        <v>77</v>
      </c>
      <c r="B80" s="16" t="str">
        <f t="shared" si="9"/>
        <v>2022023</v>
      </c>
      <c r="C80" s="16" t="s">
        <v>14</v>
      </c>
      <c r="D80" s="16" t="s">
        <v>21</v>
      </c>
      <c r="E80" s="16" t="str">
        <f>"孙天亮"</f>
        <v>孙天亮</v>
      </c>
      <c r="F80" s="16" t="str">
        <f>"20229122223"</f>
        <v>20229122223</v>
      </c>
      <c r="G80" s="18">
        <v>81.7</v>
      </c>
      <c r="H80" s="18">
        <v>80.1</v>
      </c>
      <c r="I80" s="18">
        <v>80.9</v>
      </c>
      <c r="J80" s="24">
        <v>74.48</v>
      </c>
      <c r="K80" s="26">
        <f t="shared" si="8"/>
        <v>72.361</v>
      </c>
    </row>
    <row r="81" spans="1:11" ht="19.5" customHeight="1">
      <c r="A81" s="15">
        <v>78</v>
      </c>
      <c r="B81" s="16" t="str">
        <f t="shared" si="9"/>
        <v>2022023</v>
      </c>
      <c r="C81" s="16" t="s">
        <v>14</v>
      </c>
      <c r="D81" s="16" t="s">
        <v>21</v>
      </c>
      <c r="E81" s="16" t="str">
        <f>"李静"</f>
        <v>李静</v>
      </c>
      <c r="F81" s="16" t="str">
        <f>"20229122307"</f>
        <v>20229122307</v>
      </c>
      <c r="G81" s="18">
        <v>88.4</v>
      </c>
      <c r="H81" s="18">
        <v>56.2</v>
      </c>
      <c r="I81" s="18">
        <v>72.3</v>
      </c>
      <c r="J81" s="24">
        <v>77.46</v>
      </c>
      <c r="K81" s="26">
        <f t="shared" si="8"/>
        <v>72.297</v>
      </c>
    </row>
    <row r="82" spans="1:11" ht="19.5" customHeight="1">
      <c r="A82" s="15">
        <v>79</v>
      </c>
      <c r="B82" s="16" t="str">
        <f t="shared" si="9"/>
        <v>2022023</v>
      </c>
      <c r="C82" s="16" t="s">
        <v>14</v>
      </c>
      <c r="D82" s="16" t="s">
        <v>21</v>
      </c>
      <c r="E82" s="16" t="str">
        <f>"张利影"</f>
        <v>张利影</v>
      </c>
      <c r="F82" s="16" t="str">
        <f>"20229122221"</f>
        <v>20229122221</v>
      </c>
      <c r="G82" s="18">
        <v>81.7</v>
      </c>
      <c r="H82" s="18">
        <v>59</v>
      </c>
      <c r="I82" s="18">
        <v>70.35</v>
      </c>
      <c r="J82" s="24">
        <v>77.14</v>
      </c>
      <c r="K82" s="26">
        <f t="shared" si="8"/>
        <v>71.5855</v>
      </c>
    </row>
    <row r="83" spans="1:11" ht="19.5" customHeight="1">
      <c r="A83" s="15">
        <v>80</v>
      </c>
      <c r="B83" s="16" t="str">
        <f t="shared" si="9"/>
        <v>2022023</v>
      </c>
      <c r="C83" s="16" t="s">
        <v>14</v>
      </c>
      <c r="D83" s="16" t="s">
        <v>21</v>
      </c>
      <c r="E83" s="16" t="str">
        <f>"郑晓龙"</f>
        <v>郑晓龙</v>
      </c>
      <c r="F83" s="16" t="str">
        <f>"20229122308"</f>
        <v>20229122308</v>
      </c>
      <c r="G83" s="18">
        <v>93.3</v>
      </c>
      <c r="H83" s="18">
        <v>51.4</v>
      </c>
      <c r="I83" s="18">
        <v>72.35</v>
      </c>
      <c r="J83" s="24">
        <v>73.44</v>
      </c>
      <c r="K83" s="26">
        <f t="shared" si="8"/>
        <v>69.49549999999999</v>
      </c>
    </row>
    <row r="84" spans="1:11" ht="19.5" customHeight="1">
      <c r="A84" s="15">
        <v>81</v>
      </c>
      <c r="B84" s="16" t="str">
        <f t="shared" si="9"/>
        <v>2022023</v>
      </c>
      <c r="C84" s="16" t="s">
        <v>14</v>
      </c>
      <c r="D84" s="16" t="s">
        <v>21</v>
      </c>
      <c r="E84" s="16" t="str">
        <f>"尤春锋"</f>
        <v>尤春锋</v>
      </c>
      <c r="F84" s="16" t="str">
        <f>"20229122305"</f>
        <v>20229122305</v>
      </c>
      <c r="G84" s="18">
        <v>72.2</v>
      </c>
      <c r="H84" s="18">
        <v>60.9</v>
      </c>
      <c r="I84" s="18">
        <v>66.55</v>
      </c>
      <c r="J84" s="24">
        <v>74.92</v>
      </c>
      <c r="K84" s="26">
        <f t="shared" si="8"/>
        <v>69.08149999999999</v>
      </c>
    </row>
    <row r="85" spans="1:11" ht="19.5" customHeight="1">
      <c r="A85" s="15">
        <v>82</v>
      </c>
      <c r="B85" s="16" t="str">
        <f t="shared" si="9"/>
        <v>2022023</v>
      </c>
      <c r="C85" s="16" t="s">
        <v>14</v>
      </c>
      <c r="D85" s="16" t="s">
        <v>21</v>
      </c>
      <c r="E85" s="16" t="str">
        <f>"武玲玲"</f>
        <v>武玲玲</v>
      </c>
      <c r="F85" s="16" t="str">
        <f>"20229122225"</f>
        <v>20229122225</v>
      </c>
      <c r="G85" s="18">
        <v>67.6</v>
      </c>
      <c r="H85" s="18">
        <v>56.8</v>
      </c>
      <c r="I85" s="18">
        <v>62.2</v>
      </c>
      <c r="J85" s="24">
        <v>75.12</v>
      </c>
      <c r="K85" s="26">
        <f t="shared" si="8"/>
        <v>68.134</v>
      </c>
    </row>
    <row r="86" spans="1:11" ht="19.5" customHeight="1">
      <c r="A86" s="15">
        <v>83</v>
      </c>
      <c r="B86" s="16" t="str">
        <f t="shared" si="9"/>
        <v>2022023</v>
      </c>
      <c r="C86" s="16" t="s">
        <v>14</v>
      </c>
      <c r="D86" s="16" t="s">
        <v>21</v>
      </c>
      <c r="E86" s="16" t="str">
        <f>"黄早琴"</f>
        <v>黄早琴</v>
      </c>
      <c r="F86" s="16" t="str">
        <f>"20229122309"</f>
        <v>20229122309</v>
      </c>
      <c r="G86" s="18">
        <v>69.7</v>
      </c>
      <c r="H86" s="18">
        <v>64.5</v>
      </c>
      <c r="I86" s="18">
        <v>67.1</v>
      </c>
      <c r="J86" s="24">
        <v>72.64</v>
      </c>
      <c r="K86" s="26">
        <f t="shared" si="8"/>
        <v>67.62299999999999</v>
      </c>
    </row>
    <row r="87" spans="1:11" ht="19.5" customHeight="1">
      <c r="A87" s="15">
        <v>84</v>
      </c>
      <c r="B87" s="16" t="str">
        <f t="shared" si="9"/>
        <v>2022023</v>
      </c>
      <c r="C87" s="16" t="s">
        <v>14</v>
      </c>
      <c r="D87" s="16" t="s">
        <v>21</v>
      </c>
      <c r="E87" s="16" t="str">
        <f>"康媛媛"</f>
        <v>康媛媛</v>
      </c>
      <c r="F87" s="16" t="str">
        <f>"20229122304"</f>
        <v>20229122304</v>
      </c>
      <c r="G87" s="18">
        <v>77.8</v>
      </c>
      <c r="H87" s="18">
        <v>51.1</v>
      </c>
      <c r="I87" s="18">
        <v>64.45</v>
      </c>
      <c r="J87" s="24">
        <v>72.2</v>
      </c>
      <c r="K87" s="26">
        <f t="shared" si="8"/>
        <v>66.6525</v>
      </c>
    </row>
    <row r="88" spans="1:11" ht="19.5" customHeight="1">
      <c r="A88" s="15">
        <v>85</v>
      </c>
      <c r="B88" s="16" t="str">
        <f aca="true" t="shared" si="10" ref="B88:B95">"2022024"</f>
        <v>2022024</v>
      </c>
      <c r="C88" s="16" t="s">
        <v>14</v>
      </c>
      <c r="D88" s="16" t="s">
        <v>21</v>
      </c>
      <c r="E88" s="16" t="str">
        <f>"苏恒"</f>
        <v>苏恒</v>
      </c>
      <c r="F88" s="16" t="str">
        <f>"20229122317"</f>
        <v>20229122317</v>
      </c>
      <c r="G88" s="18">
        <v>85</v>
      </c>
      <c r="H88" s="18">
        <v>61.5</v>
      </c>
      <c r="I88" s="18">
        <v>73.25</v>
      </c>
      <c r="J88" s="25">
        <v>85.48</v>
      </c>
      <c r="K88" s="26">
        <f t="shared" si="8"/>
        <v>78.1485</v>
      </c>
    </row>
    <row r="89" spans="1:11" ht="19.5" customHeight="1">
      <c r="A89" s="15">
        <v>86</v>
      </c>
      <c r="B89" s="22" t="str">
        <f t="shared" si="10"/>
        <v>2022024</v>
      </c>
      <c r="C89" s="22" t="s">
        <v>14</v>
      </c>
      <c r="D89" s="22" t="s">
        <v>21</v>
      </c>
      <c r="E89" s="22" t="str">
        <f>"王浩强"</f>
        <v>王浩强</v>
      </c>
      <c r="F89" s="22" t="str">
        <f>"20229122330"</f>
        <v>20229122330</v>
      </c>
      <c r="G89" s="21">
        <v>79.9</v>
      </c>
      <c r="H89" s="21">
        <v>56.5</v>
      </c>
      <c r="I89" s="21">
        <v>68.2</v>
      </c>
      <c r="J89" s="24">
        <v>84.72</v>
      </c>
      <c r="K89" s="26">
        <f t="shared" si="8"/>
        <v>76.354</v>
      </c>
    </row>
    <row r="90" spans="1:11" ht="19.5" customHeight="1">
      <c r="A90" s="15">
        <v>87</v>
      </c>
      <c r="B90" s="16" t="str">
        <f t="shared" si="10"/>
        <v>2022024</v>
      </c>
      <c r="C90" s="16" t="s">
        <v>14</v>
      </c>
      <c r="D90" s="16" t="s">
        <v>21</v>
      </c>
      <c r="E90" s="16" t="str">
        <f>"汪立柱"</f>
        <v>汪立柱</v>
      </c>
      <c r="F90" s="16" t="str">
        <f>"20229122314"</f>
        <v>20229122314</v>
      </c>
      <c r="G90" s="18">
        <v>66.2</v>
      </c>
      <c r="H90" s="18">
        <v>71.6</v>
      </c>
      <c r="I90" s="18">
        <v>68.9</v>
      </c>
      <c r="J90" s="25">
        <v>80.5</v>
      </c>
      <c r="K90" s="26">
        <f t="shared" si="8"/>
        <v>73.57499999999999</v>
      </c>
    </row>
    <row r="91" spans="1:11" ht="19.5" customHeight="1">
      <c r="A91" s="15">
        <v>88</v>
      </c>
      <c r="B91" s="16" t="str">
        <f t="shared" si="10"/>
        <v>2022024</v>
      </c>
      <c r="C91" s="16" t="s">
        <v>14</v>
      </c>
      <c r="D91" s="16" t="s">
        <v>21</v>
      </c>
      <c r="E91" s="16" t="str">
        <f>"楚彩娟"</f>
        <v>楚彩娟</v>
      </c>
      <c r="F91" s="16" t="str">
        <f>"20229122328"</f>
        <v>20229122328</v>
      </c>
      <c r="G91" s="18">
        <v>75.2</v>
      </c>
      <c r="H91" s="18">
        <v>54.6</v>
      </c>
      <c r="I91" s="18">
        <v>64.9</v>
      </c>
      <c r="J91" s="24">
        <v>79.68</v>
      </c>
      <c r="K91" s="26">
        <f t="shared" si="8"/>
        <v>72.001</v>
      </c>
    </row>
    <row r="92" spans="1:11" ht="19.5" customHeight="1">
      <c r="A92" s="15">
        <v>89</v>
      </c>
      <c r="B92" s="16" t="str">
        <f t="shared" si="10"/>
        <v>2022024</v>
      </c>
      <c r="C92" s="16" t="s">
        <v>14</v>
      </c>
      <c r="D92" s="16" t="s">
        <v>21</v>
      </c>
      <c r="E92" s="16" t="str">
        <f>"张永"</f>
        <v>张永</v>
      </c>
      <c r="F92" s="16" t="str">
        <f>"20229122327"</f>
        <v>20229122327</v>
      </c>
      <c r="G92" s="18">
        <v>88.2</v>
      </c>
      <c r="H92" s="18">
        <v>54.2</v>
      </c>
      <c r="I92" s="18">
        <v>71.2</v>
      </c>
      <c r="J92" s="24">
        <v>76.72</v>
      </c>
      <c r="K92" s="26">
        <f t="shared" si="8"/>
        <v>71.50399999999999</v>
      </c>
    </row>
    <row r="93" spans="1:11" ht="19.5" customHeight="1">
      <c r="A93" s="15">
        <v>90</v>
      </c>
      <c r="B93" s="16" t="str">
        <f t="shared" si="10"/>
        <v>2022024</v>
      </c>
      <c r="C93" s="16" t="s">
        <v>14</v>
      </c>
      <c r="D93" s="16" t="s">
        <v>21</v>
      </c>
      <c r="E93" s="16" t="str">
        <f>"潘凤凤"</f>
        <v>潘凤凤</v>
      </c>
      <c r="F93" s="16" t="str">
        <f>"20229122322"</f>
        <v>20229122322</v>
      </c>
      <c r="G93" s="18">
        <v>62.7</v>
      </c>
      <c r="H93" s="18">
        <v>69.5</v>
      </c>
      <c r="I93" s="18">
        <v>66.1</v>
      </c>
      <c r="J93" s="25">
        <v>77.78</v>
      </c>
      <c r="K93" s="26">
        <f t="shared" si="8"/>
        <v>70.971</v>
      </c>
    </row>
    <row r="94" spans="1:11" ht="19.5" customHeight="1">
      <c r="A94" s="15">
        <v>91</v>
      </c>
      <c r="B94" s="16" t="str">
        <f t="shared" si="10"/>
        <v>2022024</v>
      </c>
      <c r="C94" s="16" t="s">
        <v>14</v>
      </c>
      <c r="D94" s="16" t="s">
        <v>21</v>
      </c>
      <c r="E94" s="16" t="str">
        <f>"房影"</f>
        <v>房影</v>
      </c>
      <c r="F94" s="16" t="str">
        <f>"20229122318"</f>
        <v>20229122318</v>
      </c>
      <c r="G94" s="18">
        <v>62.3</v>
      </c>
      <c r="H94" s="18">
        <v>47.8</v>
      </c>
      <c r="I94" s="18">
        <v>55.05</v>
      </c>
      <c r="J94" s="24">
        <v>78.38</v>
      </c>
      <c r="K94" s="26">
        <f t="shared" si="8"/>
        <v>68.62849999999999</v>
      </c>
    </row>
    <row r="95" spans="1:11" ht="19.5" customHeight="1">
      <c r="A95" s="15">
        <v>92</v>
      </c>
      <c r="B95" s="16" t="str">
        <f t="shared" si="10"/>
        <v>2022024</v>
      </c>
      <c r="C95" s="16" t="s">
        <v>14</v>
      </c>
      <c r="D95" s="16" t="s">
        <v>21</v>
      </c>
      <c r="E95" s="16" t="str">
        <f>"张海燕"</f>
        <v>张海燕</v>
      </c>
      <c r="F95" s="16" t="str">
        <f>"20229122315"</f>
        <v>20229122315</v>
      </c>
      <c r="G95" s="18">
        <v>50.4</v>
      </c>
      <c r="H95" s="18">
        <v>37.3</v>
      </c>
      <c r="I95" s="18">
        <v>43.85</v>
      </c>
      <c r="J95" s="24">
        <v>81.96</v>
      </c>
      <c r="K95" s="26">
        <f t="shared" si="8"/>
        <v>68.33449999999999</v>
      </c>
    </row>
    <row r="96" spans="1:11" ht="19.5" customHeight="1">
      <c r="A96" s="15">
        <v>93</v>
      </c>
      <c r="B96" s="16" t="str">
        <f aca="true" t="shared" si="11" ref="B96:B106">"2022025"</f>
        <v>2022025</v>
      </c>
      <c r="C96" s="16" t="s">
        <v>14</v>
      </c>
      <c r="D96" s="16" t="s">
        <v>21</v>
      </c>
      <c r="E96" s="16" t="str">
        <f>"沈文慧"</f>
        <v>沈文慧</v>
      </c>
      <c r="F96" s="16" t="str">
        <f>"20229122705"</f>
        <v>20229122705</v>
      </c>
      <c r="G96" s="18">
        <v>106.7</v>
      </c>
      <c r="H96" s="18">
        <v>95.9</v>
      </c>
      <c r="I96" s="18">
        <v>101.3</v>
      </c>
      <c r="J96" s="24">
        <v>81.64</v>
      </c>
      <c r="K96" s="26">
        <f t="shared" si="8"/>
        <v>82.473</v>
      </c>
    </row>
    <row r="97" spans="1:11" ht="19.5" customHeight="1">
      <c r="A97" s="15">
        <v>94</v>
      </c>
      <c r="B97" s="16" t="str">
        <f t="shared" si="11"/>
        <v>2022025</v>
      </c>
      <c r="C97" s="16" t="s">
        <v>14</v>
      </c>
      <c r="D97" s="16" t="s">
        <v>21</v>
      </c>
      <c r="E97" s="16" t="str">
        <f>"钟晓艳"</f>
        <v>钟晓艳</v>
      </c>
      <c r="F97" s="16" t="str">
        <f>"20229122720"</f>
        <v>20229122720</v>
      </c>
      <c r="G97" s="18">
        <v>98</v>
      </c>
      <c r="H97" s="18">
        <v>79.8</v>
      </c>
      <c r="I97" s="18">
        <v>88.9</v>
      </c>
      <c r="J97" s="25">
        <v>84.88</v>
      </c>
      <c r="K97" s="26">
        <f t="shared" si="8"/>
        <v>81.64099999999999</v>
      </c>
    </row>
    <row r="98" spans="1:11" ht="19.5" customHeight="1">
      <c r="A98" s="15">
        <v>95</v>
      </c>
      <c r="B98" s="16" t="str">
        <f t="shared" si="11"/>
        <v>2022025</v>
      </c>
      <c r="C98" s="16" t="s">
        <v>14</v>
      </c>
      <c r="D98" s="16" t="s">
        <v>21</v>
      </c>
      <c r="E98" s="16" t="str">
        <f>"易锐"</f>
        <v>易锐</v>
      </c>
      <c r="F98" s="16" t="str">
        <f>"20229122719"</f>
        <v>20229122719</v>
      </c>
      <c r="G98" s="18">
        <v>89.8</v>
      </c>
      <c r="H98" s="18">
        <v>89.7</v>
      </c>
      <c r="I98" s="18">
        <v>89.75</v>
      </c>
      <c r="J98" s="24">
        <v>84.52</v>
      </c>
      <c r="K98" s="26">
        <f t="shared" si="8"/>
        <v>81.60149999999999</v>
      </c>
    </row>
    <row r="99" spans="1:11" ht="19.5" customHeight="1">
      <c r="A99" s="15">
        <v>96</v>
      </c>
      <c r="B99" s="16" t="str">
        <f t="shared" si="11"/>
        <v>2022025</v>
      </c>
      <c r="C99" s="16" t="s">
        <v>14</v>
      </c>
      <c r="D99" s="16" t="s">
        <v>21</v>
      </c>
      <c r="E99" s="16" t="str">
        <f>"高影"</f>
        <v>高影</v>
      </c>
      <c r="F99" s="16" t="str">
        <f>"20229122526"</f>
        <v>20229122526</v>
      </c>
      <c r="G99" s="18">
        <v>99.3</v>
      </c>
      <c r="H99" s="18">
        <v>81.3</v>
      </c>
      <c r="I99" s="18">
        <v>90.3</v>
      </c>
      <c r="J99" s="24">
        <v>84.16</v>
      </c>
      <c r="K99" s="26">
        <f t="shared" si="8"/>
        <v>81.487</v>
      </c>
    </row>
    <row r="100" spans="1:11" ht="19.5" customHeight="1">
      <c r="A100" s="15">
        <v>97</v>
      </c>
      <c r="B100" s="16" t="str">
        <f t="shared" si="11"/>
        <v>2022025</v>
      </c>
      <c r="C100" s="16" t="s">
        <v>14</v>
      </c>
      <c r="D100" s="16" t="s">
        <v>21</v>
      </c>
      <c r="E100" s="16" t="str">
        <f>"王万利"</f>
        <v>王万利</v>
      </c>
      <c r="F100" s="16" t="str">
        <f>"20229123028"</f>
        <v>20229123028</v>
      </c>
      <c r="G100" s="18">
        <v>93.5</v>
      </c>
      <c r="H100" s="18">
        <v>89.3</v>
      </c>
      <c r="I100" s="18">
        <v>91.4</v>
      </c>
      <c r="J100" s="24">
        <v>83.54</v>
      </c>
      <c r="K100" s="26">
        <f t="shared" si="8"/>
        <v>81.328</v>
      </c>
    </row>
    <row r="101" spans="1:11" ht="19.5" customHeight="1">
      <c r="A101" s="15">
        <v>98</v>
      </c>
      <c r="B101" s="16" t="str">
        <f t="shared" si="11"/>
        <v>2022025</v>
      </c>
      <c r="C101" s="16" t="s">
        <v>14</v>
      </c>
      <c r="D101" s="16" t="s">
        <v>21</v>
      </c>
      <c r="E101" s="16" t="str">
        <f>"解松勤"</f>
        <v>解松勤</v>
      </c>
      <c r="F101" s="16" t="str">
        <f>"20229122530"</f>
        <v>20229122530</v>
      </c>
      <c r="G101" s="18">
        <v>100.4</v>
      </c>
      <c r="H101" s="18">
        <v>84.8</v>
      </c>
      <c r="I101" s="18">
        <v>92.6</v>
      </c>
      <c r="J101" s="24">
        <v>82.76</v>
      </c>
      <c r="K101" s="26">
        <f t="shared" si="8"/>
        <v>81.08200000000001</v>
      </c>
    </row>
    <row r="102" spans="1:11" ht="19.5" customHeight="1">
      <c r="A102" s="15">
        <v>99</v>
      </c>
      <c r="B102" s="16" t="str">
        <f t="shared" si="11"/>
        <v>2022025</v>
      </c>
      <c r="C102" s="16" t="s">
        <v>14</v>
      </c>
      <c r="D102" s="16" t="s">
        <v>21</v>
      </c>
      <c r="E102" s="16" t="str">
        <f>"盛圆圆"</f>
        <v>盛圆圆</v>
      </c>
      <c r="F102" s="16" t="str">
        <f>"20229122729"</f>
        <v>20229122729</v>
      </c>
      <c r="G102" s="18">
        <v>101.2</v>
      </c>
      <c r="H102" s="18">
        <v>89.3</v>
      </c>
      <c r="I102" s="18">
        <v>95.25</v>
      </c>
      <c r="J102" s="24">
        <v>80.8</v>
      </c>
      <c r="K102" s="26">
        <f t="shared" si="8"/>
        <v>80.3725</v>
      </c>
    </row>
    <row r="103" spans="1:11" ht="19.5" customHeight="1">
      <c r="A103" s="15">
        <v>100</v>
      </c>
      <c r="B103" s="16" t="str">
        <f t="shared" si="11"/>
        <v>2022025</v>
      </c>
      <c r="C103" s="16" t="s">
        <v>14</v>
      </c>
      <c r="D103" s="16" t="s">
        <v>21</v>
      </c>
      <c r="E103" s="16" t="str">
        <f>"姜文祥"</f>
        <v>姜文祥</v>
      </c>
      <c r="F103" s="16" t="str">
        <f>"20229123024"</f>
        <v>20229123024</v>
      </c>
      <c r="G103" s="18">
        <v>104.2</v>
      </c>
      <c r="H103" s="18">
        <v>69.7</v>
      </c>
      <c r="I103" s="18">
        <v>86.95</v>
      </c>
      <c r="J103" s="24">
        <v>83.04</v>
      </c>
      <c r="K103" s="26">
        <f t="shared" si="8"/>
        <v>79.8655</v>
      </c>
    </row>
    <row r="104" spans="1:11" ht="19.5" customHeight="1">
      <c r="A104" s="15">
        <v>101</v>
      </c>
      <c r="B104" s="16" t="str">
        <f t="shared" si="11"/>
        <v>2022025</v>
      </c>
      <c r="C104" s="16" t="s">
        <v>14</v>
      </c>
      <c r="D104" s="16" t="s">
        <v>21</v>
      </c>
      <c r="E104" s="16" t="str">
        <f>"黄英"</f>
        <v>黄英</v>
      </c>
      <c r="F104" s="16" t="str">
        <f>"20229123206"</f>
        <v>20229123206</v>
      </c>
      <c r="G104" s="18">
        <v>98</v>
      </c>
      <c r="H104" s="18">
        <v>94.8</v>
      </c>
      <c r="I104" s="18">
        <v>96.4</v>
      </c>
      <c r="J104" s="24">
        <v>79.56</v>
      </c>
      <c r="K104" s="26">
        <f t="shared" si="8"/>
        <v>79.792</v>
      </c>
    </row>
    <row r="105" spans="1:11" ht="19.5" customHeight="1">
      <c r="A105" s="15">
        <v>102</v>
      </c>
      <c r="B105" s="16" t="str">
        <f t="shared" si="11"/>
        <v>2022025</v>
      </c>
      <c r="C105" s="16" t="s">
        <v>14</v>
      </c>
      <c r="D105" s="16" t="s">
        <v>21</v>
      </c>
      <c r="E105" s="16" t="str">
        <f>"董兰兰"</f>
        <v>董兰兰</v>
      </c>
      <c r="F105" s="16" t="str">
        <f>"20229122702"</f>
        <v>20229122702</v>
      </c>
      <c r="G105" s="18">
        <v>105.3</v>
      </c>
      <c r="H105" s="18">
        <v>78.1</v>
      </c>
      <c r="I105" s="18">
        <v>91.7</v>
      </c>
      <c r="J105" s="24">
        <v>80.82</v>
      </c>
      <c r="K105" s="26">
        <f t="shared" si="8"/>
        <v>79.499</v>
      </c>
    </row>
    <row r="106" spans="1:11" ht="19.5" customHeight="1">
      <c r="A106" s="15">
        <v>103</v>
      </c>
      <c r="B106" s="16" t="str">
        <f t="shared" si="11"/>
        <v>2022025</v>
      </c>
      <c r="C106" s="16" t="s">
        <v>14</v>
      </c>
      <c r="D106" s="16" t="s">
        <v>21</v>
      </c>
      <c r="E106" s="16" t="str">
        <f>"张沙"</f>
        <v>张沙</v>
      </c>
      <c r="F106" s="16" t="str">
        <f>"20229122412"</f>
        <v>20229122412</v>
      </c>
      <c r="G106" s="18">
        <v>106.1</v>
      </c>
      <c r="H106" s="18">
        <v>76.9</v>
      </c>
      <c r="I106" s="18">
        <v>91.5</v>
      </c>
      <c r="J106" s="24">
        <v>80.82</v>
      </c>
      <c r="K106" s="26">
        <f t="shared" si="8"/>
        <v>79.44899999999998</v>
      </c>
    </row>
    <row r="107" spans="1:11" ht="19.5" customHeight="1">
      <c r="A107" s="15">
        <v>104</v>
      </c>
      <c r="B107" s="16" t="str">
        <f aca="true" t="shared" si="12" ref="B107:B114">"2022026"</f>
        <v>2022026</v>
      </c>
      <c r="C107" s="16" t="s">
        <v>15</v>
      </c>
      <c r="D107" s="16" t="s">
        <v>21</v>
      </c>
      <c r="E107" s="16" t="str">
        <f>"葛侠"</f>
        <v>葛侠</v>
      </c>
      <c r="F107" s="16" t="str">
        <f>"20229123227"</f>
        <v>20229123227</v>
      </c>
      <c r="G107" s="18">
        <v>107.7</v>
      </c>
      <c r="H107" s="18">
        <v>80.9</v>
      </c>
      <c r="I107" s="18">
        <v>94.3</v>
      </c>
      <c r="J107" s="25">
        <v>87.58</v>
      </c>
      <c r="K107" s="26">
        <f t="shared" si="8"/>
        <v>84.881</v>
      </c>
    </row>
    <row r="108" spans="1:11" ht="19.5" customHeight="1">
      <c r="A108" s="15">
        <v>105</v>
      </c>
      <c r="B108" s="16" t="str">
        <f t="shared" si="12"/>
        <v>2022026</v>
      </c>
      <c r="C108" s="16" t="s">
        <v>15</v>
      </c>
      <c r="D108" s="16" t="s">
        <v>21</v>
      </c>
      <c r="E108" s="16" t="str">
        <f>"祝灵"</f>
        <v>祝灵</v>
      </c>
      <c r="F108" s="16" t="str">
        <f>"20229123305"</f>
        <v>20229123305</v>
      </c>
      <c r="G108" s="18">
        <v>100.3</v>
      </c>
      <c r="H108" s="18">
        <v>91.2</v>
      </c>
      <c r="I108" s="18">
        <v>95.75</v>
      </c>
      <c r="J108" s="24">
        <v>83.73</v>
      </c>
      <c r="K108" s="26">
        <f t="shared" si="8"/>
        <v>82.54849999999999</v>
      </c>
    </row>
    <row r="109" spans="1:11" ht="19.5" customHeight="1">
      <c r="A109" s="15">
        <v>106</v>
      </c>
      <c r="B109" s="16" t="str">
        <f t="shared" si="12"/>
        <v>2022026</v>
      </c>
      <c r="C109" s="16" t="s">
        <v>15</v>
      </c>
      <c r="D109" s="16" t="s">
        <v>21</v>
      </c>
      <c r="E109" s="16" t="str">
        <f>"车美娟"</f>
        <v>车美娟</v>
      </c>
      <c r="F109" s="16" t="str">
        <f>"20229123226"</f>
        <v>20229123226</v>
      </c>
      <c r="G109" s="18">
        <v>101.3</v>
      </c>
      <c r="H109" s="18">
        <v>90</v>
      </c>
      <c r="I109" s="18">
        <v>95.65</v>
      </c>
      <c r="J109" s="24">
        <v>82.4</v>
      </c>
      <c r="K109" s="26">
        <f t="shared" si="8"/>
        <v>81.5925</v>
      </c>
    </row>
    <row r="110" spans="1:11" ht="19.5" customHeight="1">
      <c r="A110" s="15">
        <v>107</v>
      </c>
      <c r="B110" s="16" t="str">
        <f t="shared" si="12"/>
        <v>2022026</v>
      </c>
      <c r="C110" s="16" t="s">
        <v>15</v>
      </c>
      <c r="D110" s="16" t="s">
        <v>21</v>
      </c>
      <c r="E110" s="16" t="str">
        <f>"李雪"</f>
        <v>李雪</v>
      </c>
      <c r="F110" s="16" t="str">
        <f>"20229123223"</f>
        <v>20229123223</v>
      </c>
      <c r="G110" s="18">
        <v>88.2</v>
      </c>
      <c r="H110" s="18">
        <v>69.4</v>
      </c>
      <c r="I110" s="18">
        <v>78.8</v>
      </c>
      <c r="J110" s="24">
        <v>87.56</v>
      </c>
      <c r="K110" s="26">
        <f t="shared" si="8"/>
        <v>80.99199999999999</v>
      </c>
    </row>
    <row r="111" spans="1:11" ht="19.5" customHeight="1">
      <c r="A111" s="15">
        <v>108</v>
      </c>
      <c r="B111" s="16" t="str">
        <f t="shared" si="12"/>
        <v>2022026</v>
      </c>
      <c r="C111" s="16" t="s">
        <v>15</v>
      </c>
      <c r="D111" s="16" t="s">
        <v>21</v>
      </c>
      <c r="E111" s="16" t="str">
        <f>"孟妮"</f>
        <v>孟妮</v>
      </c>
      <c r="F111" s="16" t="str">
        <f>"20229123229"</f>
        <v>20229123229</v>
      </c>
      <c r="G111" s="18">
        <v>86.4</v>
      </c>
      <c r="H111" s="18">
        <v>77</v>
      </c>
      <c r="I111" s="18">
        <v>81.7</v>
      </c>
      <c r="J111" s="24">
        <v>84.3</v>
      </c>
      <c r="K111" s="26">
        <f t="shared" si="8"/>
        <v>79.43499999999999</v>
      </c>
    </row>
    <row r="112" spans="1:11" ht="19.5" customHeight="1">
      <c r="A112" s="15">
        <v>109</v>
      </c>
      <c r="B112" s="16" t="str">
        <f t="shared" si="12"/>
        <v>2022026</v>
      </c>
      <c r="C112" s="16" t="s">
        <v>15</v>
      </c>
      <c r="D112" s="16" t="s">
        <v>21</v>
      </c>
      <c r="E112" s="16" t="str">
        <f>"张娟丽"</f>
        <v>张娟丽</v>
      </c>
      <c r="F112" s="16" t="str">
        <f>"20229123301"</f>
        <v>20229123301</v>
      </c>
      <c r="G112" s="18">
        <v>81.5</v>
      </c>
      <c r="H112" s="18">
        <v>89.7</v>
      </c>
      <c r="I112" s="18">
        <v>85.6</v>
      </c>
      <c r="J112" s="24">
        <v>81.1</v>
      </c>
      <c r="K112" s="26">
        <f t="shared" si="8"/>
        <v>78.16999999999999</v>
      </c>
    </row>
    <row r="113" spans="1:11" ht="19.5" customHeight="1">
      <c r="A113" s="15">
        <v>110</v>
      </c>
      <c r="B113" s="16" t="str">
        <f t="shared" si="12"/>
        <v>2022026</v>
      </c>
      <c r="C113" s="16" t="s">
        <v>15</v>
      </c>
      <c r="D113" s="16" t="s">
        <v>21</v>
      </c>
      <c r="E113" s="16" t="str">
        <f>"张丽娟"</f>
        <v>张丽娟</v>
      </c>
      <c r="F113" s="16" t="str">
        <f>"20229123306"</f>
        <v>20229123306</v>
      </c>
      <c r="G113" s="18">
        <v>97.4</v>
      </c>
      <c r="H113" s="18">
        <v>66.4</v>
      </c>
      <c r="I113" s="18">
        <v>81.9</v>
      </c>
      <c r="J113" s="24">
        <v>81.35</v>
      </c>
      <c r="K113" s="26">
        <f t="shared" si="8"/>
        <v>77.42</v>
      </c>
    </row>
    <row r="114" spans="1:11" ht="19.5" customHeight="1">
      <c r="A114" s="15">
        <v>111</v>
      </c>
      <c r="B114" s="16" t="str">
        <f t="shared" si="12"/>
        <v>2022026</v>
      </c>
      <c r="C114" s="16" t="s">
        <v>15</v>
      </c>
      <c r="D114" s="16" t="s">
        <v>21</v>
      </c>
      <c r="E114" s="16" t="str">
        <f>"高雅"</f>
        <v>高雅</v>
      </c>
      <c r="F114" s="16" t="str">
        <f>"20229123220"</f>
        <v>20229123220</v>
      </c>
      <c r="G114" s="18">
        <v>84.5</v>
      </c>
      <c r="H114" s="18">
        <v>55.5</v>
      </c>
      <c r="I114" s="18">
        <v>70</v>
      </c>
      <c r="J114" s="24">
        <v>84.2</v>
      </c>
      <c r="K114" s="26">
        <f t="shared" si="8"/>
        <v>76.44</v>
      </c>
    </row>
    <row r="115" spans="1:11" ht="19.5" customHeight="1">
      <c r="A115" s="15">
        <v>112</v>
      </c>
      <c r="B115" s="16" t="str">
        <f aca="true" t="shared" si="13" ref="B115:B117">"2022027"</f>
        <v>2022027</v>
      </c>
      <c r="C115" s="16" t="s">
        <v>16</v>
      </c>
      <c r="D115" s="16" t="s">
        <v>21</v>
      </c>
      <c r="E115" s="16" t="str">
        <f>"陈曼如"</f>
        <v>陈曼如</v>
      </c>
      <c r="F115" s="16" t="str">
        <f>"20229123401"</f>
        <v>20229123401</v>
      </c>
      <c r="G115" s="18">
        <v>106.1</v>
      </c>
      <c r="H115" s="18">
        <v>89.95</v>
      </c>
      <c r="I115" s="18">
        <v>98.03</v>
      </c>
      <c r="J115" s="16">
        <v>81.22</v>
      </c>
      <c r="K115" s="26">
        <f t="shared" si="8"/>
        <v>81.36149999999999</v>
      </c>
    </row>
    <row r="116" spans="1:11" ht="19.5" customHeight="1">
      <c r="A116" s="15">
        <v>113</v>
      </c>
      <c r="B116" s="16" t="str">
        <f t="shared" si="13"/>
        <v>2022027</v>
      </c>
      <c r="C116" s="16" t="s">
        <v>16</v>
      </c>
      <c r="D116" s="16" t="s">
        <v>21</v>
      </c>
      <c r="E116" s="16" t="str">
        <f>"王超林"</f>
        <v>王超林</v>
      </c>
      <c r="F116" s="16" t="str">
        <f>"20229123402"</f>
        <v>20229123402</v>
      </c>
      <c r="G116" s="18">
        <v>94.4</v>
      </c>
      <c r="H116" s="18">
        <v>81.95</v>
      </c>
      <c r="I116" s="18">
        <v>88.18</v>
      </c>
      <c r="J116" s="16">
        <v>82.52</v>
      </c>
      <c r="K116" s="26">
        <f t="shared" si="8"/>
        <v>79.809</v>
      </c>
    </row>
    <row r="117" spans="1:11" ht="19.5" customHeight="1">
      <c r="A117" s="15">
        <v>114</v>
      </c>
      <c r="B117" s="16" t="str">
        <f t="shared" si="13"/>
        <v>2022027</v>
      </c>
      <c r="C117" s="16" t="s">
        <v>16</v>
      </c>
      <c r="D117" s="16" t="s">
        <v>21</v>
      </c>
      <c r="E117" s="16" t="str">
        <f>"时小慧"</f>
        <v>时小慧</v>
      </c>
      <c r="F117" s="16" t="str">
        <f>"20229123403"</f>
        <v>20229123403</v>
      </c>
      <c r="G117" s="18">
        <v>101.2</v>
      </c>
      <c r="H117" s="18">
        <v>84.05</v>
      </c>
      <c r="I117" s="18">
        <v>92.63</v>
      </c>
      <c r="J117" s="16">
        <v>80.22</v>
      </c>
      <c r="K117" s="26">
        <f t="shared" si="8"/>
        <v>79.3115</v>
      </c>
    </row>
    <row r="118" spans="1:11" ht="19.5" customHeight="1">
      <c r="A118" s="15">
        <v>115</v>
      </c>
      <c r="B118" s="16" t="str">
        <f aca="true" t="shared" si="14" ref="B118:B121">"2022028"</f>
        <v>2022028</v>
      </c>
      <c r="C118" s="16" t="s">
        <v>19</v>
      </c>
      <c r="D118" s="16" t="s">
        <v>21</v>
      </c>
      <c r="E118" s="16" t="str">
        <f>"杨光"</f>
        <v>杨光</v>
      </c>
      <c r="F118" s="16" t="str">
        <f>"20229121917"</f>
        <v>20229121917</v>
      </c>
      <c r="G118" s="18">
        <v>88.7</v>
      </c>
      <c r="H118" s="18">
        <v>98.86</v>
      </c>
      <c r="I118" s="18">
        <v>93.78</v>
      </c>
      <c r="J118" s="16">
        <v>79.4</v>
      </c>
      <c r="K118" s="26">
        <f t="shared" si="8"/>
        <v>79.025</v>
      </c>
    </row>
    <row r="119" spans="1:11" ht="19.5" customHeight="1">
      <c r="A119" s="15">
        <v>116</v>
      </c>
      <c r="B119" s="16" t="str">
        <f t="shared" si="14"/>
        <v>2022028</v>
      </c>
      <c r="C119" s="16" t="s">
        <v>19</v>
      </c>
      <c r="D119" s="16" t="s">
        <v>21</v>
      </c>
      <c r="E119" s="16" t="str">
        <f>"马影"</f>
        <v>马影</v>
      </c>
      <c r="F119" s="16" t="str">
        <f>"20229121919"</f>
        <v>20229121919</v>
      </c>
      <c r="G119" s="18">
        <v>69.8</v>
      </c>
      <c r="H119" s="18">
        <v>93.2</v>
      </c>
      <c r="I119" s="18">
        <v>81.5</v>
      </c>
      <c r="J119" s="16">
        <v>83.2</v>
      </c>
      <c r="K119" s="26">
        <f t="shared" si="8"/>
        <v>78.615</v>
      </c>
    </row>
    <row r="120" spans="1:11" ht="19.5" customHeight="1">
      <c r="A120" s="15">
        <v>117</v>
      </c>
      <c r="B120" s="16" t="str">
        <f t="shared" si="14"/>
        <v>2022028</v>
      </c>
      <c r="C120" s="16" t="s">
        <v>19</v>
      </c>
      <c r="D120" s="16" t="s">
        <v>21</v>
      </c>
      <c r="E120" s="16" t="str">
        <f>"孙思伟"</f>
        <v>孙思伟</v>
      </c>
      <c r="F120" s="16" t="str">
        <f>"20229121916"</f>
        <v>20229121916</v>
      </c>
      <c r="G120" s="18">
        <v>76.7</v>
      </c>
      <c r="H120" s="18">
        <v>97.02</v>
      </c>
      <c r="I120" s="18">
        <v>86.86</v>
      </c>
      <c r="J120" s="16">
        <v>81.2</v>
      </c>
      <c r="K120" s="26">
        <f t="shared" si="8"/>
        <v>78.55499999999999</v>
      </c>
    </row>
    <row r="121" spans="1:11" ht="19.5" customHeight="1">
      <c r="A121" s="15">
        <v>118</v>
      </c>
      <c r="B121" s="16" t="str">
        <f t="shared" si="14"/>
        <v>2022028</v>
      </c>
      <c r="C121" s="16" t="s">
        <v>19</v>
      </c>
      <c r="D121" s="16" t="s">
        <v>21</v>
      </c>
      <c r="E121" s="16" t="str">
        <f>"马滢"</f>
        <v>马滢</v>
      </c>
      <c r="F121" s="16" t="str">
        <f>"20229121918"</f>
        <v>20229121918</v>
      </c>
      <c r="G121" s="18">
        <v>89.9</v>
      </c>
      <c r="H121" s="18">
        <v>89.3</v>
      </c>
      <c r="I121" s="18">
        <v>89.6</v>
      </c>
      <c r="J121" s="16">
        <v>77.2</v>
      </c>
      <c r="K121" s="26">
        <f t="shared" si="8"/>
        <v>76.44</v>
      </c>
    </row>
    <row r="122" spans="1:11" ht="19.5" customHeight="1">
      <c r="A122" s="15">
        <v>119</v>
      </c>
      <c r="B122" s="16" t="str">
        <f aca="true" t="shared" si="15" ref="B122:B126">"2022029"</f>
        <v>2022029</v>
      </c>
      <c r="C122" s="16" t="s">
        <v>19</v>
      </c>
      <c r="D122" s="16" t="s">
        <v>21</v>
      </c>
      <c r="E122" s="16" t="str">
        <f>"程静冉"</f>
        <v>程静冉</v>
      </c>
      <c r="F122" s="16" t="str">
        <f>"20229122013"</f>
        <v>20229122013</v>
      </c>
      <c r="G122" s="18">
        <v>106.6</v>
      </c>
      <c r="H122" s="18">
        <v>110.94</v>
      </c>
      <c r="I122" s="18">
        <v>108.77</v>
      </c>
      <c r="J122" s="16">
        <v>83.6</v>
      </c>
      <c r="K122" s="26">
        <f t="shared" si="8"/>
        <v>85.71249999999999</v>
      </c>
    </row>
    <row r="123" spans="1:11" ht="19.5" customHeight="1">
      <c r="A123" s="15">
        <v>120</v>
      </c>
      <c r="B123" s="16" t="str">
        <f t="shared" si="15"/>
        <v>2022029</v>
      </c>
      <c r="C123" s="16" t="s">
        <v>19</v>
      </c>
      <c r="D123" s="16" t="s">
        <v>21</v>
      </c>
      <c r="E123" s="16" t="str">
        <f>"王雪"</f>
        <v>王雪</v>
      </c>
      <c r="F123" s="16" t="str">
        <f>"20229122113"</f>
        <v>20229122113</v>
      </c>
      <c r="G123" s="18">
        <v>85.4</v>
      </c>
      <c r="H123" s="18">
        <v>109.66</v>
      </c>
      <c r="I123" s="18">
        <v>97.53</v>
      </c>
      <c r="J123" s="16">
        <v>85.8</v>
      </c>
      <c r="K123" s="26">
        <f t="shared" si="8"/>
        <v>84.4425</v>
      </c>
    </row>
    <row r="124" spans="1:11" ht="19.5" customHeight="1">
      <c r="A124" s="15">
        <v>121</v>
      </c>
      <c r="B124" s="16" t="str">
        <f t="shared" si="15"/>
        <v>2022029</v>
      </c>
      <c r="C124" s="16" t="s">
        <v>19</v>
      </c>
      <c r="D124" s="16" t="s">
        <v>21</v>
      </c>
      <c r="E124" s="16" t="str">
        <f>"李姗姗"</f>
        <v>李姗姗</v>
      </c>
      <c r="F124" s="16" t="str">
        <f>"20229122029"</f>
        <v>20229122029</v>
      </c>
      <c r="G124" s="18">
        <v>94</v>
      </c>
      <c r="H124" s="18">
        <v>99.92</v>
      </c>
      <c r="I124" s="18">
        <v>96.96</v>
      </c>
      <c r="J124" s="16">
        <v>85.2</v>
      </c>
      <c r="K124" s="26">
        <f t="shared" si="8"/>
        <v>83.88</v>
      </c>
    </row>
    <row r="125" spans="1:11" ht="19.5" customHeight="1">
      <c r="A125" s="15">
        <v>122</v>
      </c>
      <c r="B125" s="16" t="str">
        <f t="shared" si="15"/>
        <v>2022029</v>
      </c>
      <c r="C125" s="16" t="s">
        <v>19</v>
      </c>
      <c r="D125" s="16" t="s">
        <v>21</v>
      </c>
      <c r="E125" s="16" t="str">
        <f>"刘雨梦"</f>
        <v>刘雨梦</v>
      </c>
      <c r="F125" s="16" t="str">
        <f>"20229122124"</f>
        <v>20229122124</v>
      </c>
      <c r="G125" s="18">
        <v>99.5</v>
      </c>
      <c r="H125" s="18">
        <v>102.12</v>
      </c>
      <c r="I125" s="18">
        <v>100.81</v>
      </c>
      <c r="J125" s="16">
        <v>83.6</v>
      </c>
      <c r="K125" s="26">
        <f t="shared" si="8"/>
        <v>83.7225</v>
      </c>
    </row>
    <row r="126" spans="1:11" ht="19.5" customHeight="1">
      <c r="A126" s="15">
        <v>123</v>
      </c>
      <c r="B126" s="16" t="str">
        <f t="shared" si="15"/>
        <v>2022029</v>
      </c>
      <c r="C126" s="16" t="s">
        <v>19</v>
      </c>
      <c r="D126" s="16" t="s">
        <v>21</v>
      </c>
      <c r="E126" s="16" t="str">
        <f>"赵亚强"</f>
        <v>赵亚强</v>
      </c>
      <c r="F126" s="16" t="str">
        <f>"20229122102"</f>
        <v>20229122102</v>
      </c>
      <c r="G126" s="18">
        <v>94.3</v>
      </c>
      <c r="H126" s="18">
        <v>103.06</v>
      </c>
      <c r="I126" s="18">
        <v>98.68</v>
      </c>
      <c r="J126" s="16">
        <v>83.8</v>
      </c>
      <c r="K126" s="26">
        <f t="shared" si="8"/>
        <v>83.33</v>
      </c>
    </row>
    <row r="127" spans="1:11" ht="19.5" customHeight="1">
      <c r="A127" s="15">
        <v>124</v>
      </c>
      <c r="B127" s="16" t="str">
        <f>"2022030"</f>
        <v>2022030</v>
      </c>
      <c r="C127" s="16" t="s">
        <v>22</v>
      </c>
      <c r="D127" s="16" t="s">
        <v>21</v>
      </c>
      <c r="E127" s="16" t="str">
        <f>"王风雨"</f>
        <v>王风雨</v>
      </c>
      <c r="F127" s="16" t="str">
        <f>"20229123710"</f>
        <v>20229123710</v>
      </c>
      <c r="G127" s="18">
        <v>107.3</v>
      </c>
      <c r="H127" s="18">
        <v>105.44</v>
      </c>
      <c r="I127" s="18">
        <v>106.37</v>
      </c>
      <c r="J127" s="16">
        <v>82.6</v>
      </c>
      <c r="K127" s="26">
        <f t="shared" si="8"/>
        <v>84.4125</v>
      </c>
    </row>
    <row r="128" spans="1:11" ht="19.5" customHeight="1">
      <c r="A128" s="15">
        <v>125</v>
      </c>
      <c r="B128" s="16" t="str">
        <f>"2022030"</f>
        <v>2022030</v>
      </c>
      <c r="C128" s="16" t="s">
        <v>22</v>
      </c>
      <c r="D128" s="16" t="s">
        <v>21</v>
      </c>
      <c r="E128" s="16" t="str">
        <f>"李少婕"</f>
        <v>李少婕</v>
      </c>
      <c r="F128" s="16" t="str">
        <f>"20229123707"</f>
        <v>20229123707</v>
      </c>
      <c r="G128" s="18">
        <v>107.5</v>
      </c>
      <c r="H128" s="18">
        <v>102.4</v>
      </c>
      <c r="I128" s="18">
        <v>104.95</v>
      </c>
      <c r="J128" s="16">
        <v>82.4</v>
      </c>
      <c r="K128" s="26">
        <f t="shared" si="8"/>
        <v>83.9175</v>
      </c>
    </row>
    <row r="129" spans="1:11" ht="19.5" customHeight="1">
      <c r="A129" s="15">
        <v>126</v>
      </c>
      <c r="B129" s="16" t="str">
        <f>"2022031"</f>
        <v>2022031</v>
      </c>
      <c r="C129" s="16" t="s">
        <v>23</v>
      </c>
      <c r="D129" s="16" t="s">
        <v>21</v>
      </c>
      <c r="E129" s="16" t="str">
        <f>"王巍"</f>
        <v>王巍</v>
      </c>
      <c r="F129" s="16" t="str">
        <f>"20229123422"</f>
        <v>20229123422</v>
      </c>
      <c r="G129" s="18">
        <v>94.4</v>
      </c>
      <c r="H129" s="18">
        <v>66.2</v>
      </c>
      <c r="I129" s="18">
        <v>80.3</v>
      </c>
      <c r="J129" s="24">
        <v>85.24</v>
      </c>
      <c r="K129" s="26">
        <f t="shared" si="8"/>
        <v>79.743</v>
      </c>
    </row>
    <row r="130" spans="1:11" ht="19.5" customHeight="1">
      <c r="A130" s="15">
        <v>127</v>
      </c>
      <c r="B130" s="16" t="str">
        <f>"2022031"</f>
        <v>2022031</v>
      </c>
      <c r="C130" s="16" t="s">
        <v>23</v>
      </c>
      <c r="D130" s="16" t="s">
        <v>21</v>
      </c>
      <c r="E130" s="16" t="str">
        <f>"王敏"</f>
        <v>王敏</v>
      </c>
      <c r="F130" s="16" t="str">
        <f>"20229123416"</f>
        <v>20229123416</v>
      </c>
      <c r="G130" s="18">
        <v>89.2</v>
      </c>
      <c r="H130" s="18">
        <v>69.8</v>
      </c>
      <c r="I130" s="18">
        <v>79.5</v>
      </c>
      <c r="J130" s="24">
        <v>79.52</v>
      </c>
      <c r="K130" s="26">
        <f t="shared" si="8"/>
        <v>75.53899999999999</v>
      </c>
    </row>
  </sheetData>
  <sheetProtection selectLockedCells="1" selectUnlockedCells="1"/>
  <mergeCells count="1">
    <mergeCell ref="A1:K1"/>
  </mergeCells>
  <printOptions/>
  <pageMargins left="0.7868055555555555" right="0.7868055555555555" top="1.0506944444444444" bottom="1.0506944444444444" header="0.7868055555555555" footer="0.786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55"/>
  <sheetViews>
    <sheetView workbookViewId="0" topLeftCell="A30">
      <selection activeCell="A56" sqref="A56"/>
    </sheetView>
  </sheetViews>
  <sheetFormatPr defaultColWidth="9.00390625" defaultRowHeight="14.25"/>
  <cols>
    <col min="1" max="13" width="9.00390625" style="0" bestFit="1" customWidth="1"/>
    <col min="14" max="14" width="9.00390625" style="1" bestFit="1" customWidth="1"/>
  </cols>
  <sheetData>
    <row r="1" spans="2:17" ht="27">
      <c r="B1" s="2" t="s">
        <v>2</v>
      </c>
      <c r="C1" s="2" t="s">
        <v>3</v>
      </c>
      <c r="D1" s="2" t="s">
        <v>5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4" t="s">
        <v>7</v>
      </c>
      <c r="L1" s="4" t="s">
        <v>30</v>
      </c>
      <c r="M1" s="4" t="s">
        <v>31</v>
      </c>
      <c r="N1" s="5" t="s">
        <v>32</v>
      </c>
      <c r="O1" s="6" t="s">
        <v>33</v>
      </c>
      <c r="P1" s="7" t="s">
        <v>34</v>
      </c>
      <c r="Q1" s="7" t="s">
        <v>35</v>
      </c>
    </row>
    <row r="2" spans="2:17" ht="14.25"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3" t="s">
        <v>43</v>
      </c>
      <c r="J2" s="3" t="s">
        <v>44</v>
      </c>
      <c r="K2" s="8">
        <v>84.12</v>
      </c>
      <c r="L2" s="8">
        <v>83.8</v>
      </c>
      <c r="M2" s="8">
        <v>83.93</v>
      </c>
      <c r="N2" s="9"/>
      <c r="O2" s="10">
        <v>83.93</v>
      </c>
      <c r="P2" s="7" t="s">
        <v>45</v>
      </c>
      <c r="Q2" s="7"/>
    </row>
    <row r="3" spans="2:17" ht="14.25">
      <c r="B3" s="3" t="s">
        <v>36</v>
      </c>
      <c r="C3" s="3" t="s">
        <v>37</v>
      </c>
      <c r="D3" s="3" t="s">
        <v>46</v>
      </c>
      <c r="E3" s="3" t="s">
        <v>39</v>
      </c>
      <c r="F3" s="3" t="s">
        <v>47</v>
      </c>
      <c r="G3" s="3" t="s">
        <v>41</v>
      </c>
      <c r="H3" s="3" t="s">
        <v>48</v>
      </c>
      <c r="I3" s="3" t="s">
        <v>43</v>
      </c>
      <c r="J3" s="3" t="s">
        <v>49</v>
      </c>
      <c r="K3" s="8">
        <v>86.64</v>
      </c>
      <c r="L3" s="8">
        <v>82</v>
      </c>
      <c r="M3" s="8">
        <v>83.86</v>
      </c>
      <c r="N3" s="9"/>
      <c r="O3" s="10">
        <v>83.86</v>
      </c>
      <c r="P3" s="7" t="s">
        <v>45</v>
      </c>
      <c r="Q3" s="7"/>
    </row>
    <row r="4" spans="2:17" ht="14.25">
      <c r="B4" s="3" t="s">
        <v>36</v>
      </c>
      <c r="C4" s="3" t="s">
        <v>37</v>
      </c>
      <c r="D4" s="3" t="s">
        <v>50</v>
      </c>
      <c r="E4" s="3" t="s">
        <v>39</v>
      </c>
      <c r="F4" s="3" t="s">
        <v>51</v>
      </c>
      <c r="G4" s="3" t="s">
        <v>41</v>
      </c>
      <c r="H4" s="3" t="s">
        <v>42</v>
      </c>
      <c r="I4" s="3" t="s">
        <v>43</v>
      </c>
      <c r="J4" s="3" t="s">
        <v>52</v>
      </c>
      <c r="K4" s="8">
        <v>80.98</v>
      </c>
      <c r="L4" s="8">
        <v>85.5</v>
      </c>
      <c r="M4" s="8">
        <v>83.69</v>
      </c>
      <c r="N4" s="9"/>
      <c r="O4" s="10">
        <v>83.69</v>
      </c>
      <c r="P4" s="7" t="s">
        <v>45</v>
      </c>
      <c r="Q4" s="7"/>
    </row>
    <row r="5" spans="2:17" ht="14.25">
      <c r="B5" s="3" t="s">
        <v>53</v>
      </c>
      <c r="C5" s="3" t="s">
        <v>54</v>
      </c>
      <c r="D5" s="3" t="s">
        <v>55</v>
      </c>
      <c r="E5" s="3" t="s">
        <v>39</v>
      </c>
      <c r="F5" s="3" t="s">
        <v>56</v>
      </c>
      <c r="G5" s="3" t="s">
        <v>41</v>
      </c>
      <c r="H5" s="3" t="s">
        <v>43</v>
      </c>
      <c r="I5" s="3" t="s">
        <v>57</v>
      </c>
      <c r="J5" s="3" t="s">
        <v>58</v>
      </c>
      <c r="K5" s="8">
        <v>86.16</v>
      </c>
      <c r="L5" s="8">
        <v>77</v>
      </c>
      <c r="M5" s="8">
        <v>80.66</v>
      </c>
      <c r="N5" s="9">
        <v>2</v>
      </c>
      <c r="O5" s="10">
        <v>82.66</v>
      </c>
      <c r="P5" s="7" t="s">
        <v>45</v>
      </c>
      <c r="Q5" s="7"/>
    </row>
    <row r="6" spans="2:17" ht="14.25">
      <c r="B6" s="3" t="s">
        <v>53</v>
      </c>
      <c r="C6" s="3" t="s">
        <v>54</v>
      </c>
      <c r="D6" s="3" t="s">
        <v>59</v>
      </c>
      <c r="E6" s="3" t="s">
        <v>39</v>
      </c>
      <c r="F6" s="3" t="s">
        <v>60</v>
      </c>
      <c r="G6" s="3" t="s">
        <v>61</v>
      </c>
      <c r="H6" s="3" t="s">
        <v>43</v>
      </c>
      <c r="I6" s="3" t="s">
        <v>57</v>
      </c>
      <c r="J6" s="3" t="s">
        <v>62</v>
      </c>
      <c r="K6" s="8">
        <v>74.38</v>
      </c>
      <c r="L6" s="8">
        <v>87.8</v>
      </c>
      <c r="M6" s="8">
        <v>82.43</v>
      </c>
      <c r="N6" s="9"/>
      <c r="O6" s="10">
        <v>82.43</v>
      </c>
      <c r="P6" s="7" t="s">
        <v>45</v>
      </c>
      <c r="Q6" s="7"/>
    </row>
    <row r="7" spans="2:17" ht="14.25"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42</v>
      </c>
      <c r="I7" s="3" t="s">
        <v>43</v>
      </c>
      <c r="J7" s="3" t="s">
        <v>69</v>
      </c>
      <c r="K7" s="8">
        <v>83.32</v>
      </c>
      <c r="L7" s="8">
        <v>75.45</v>
      </c>
      <c r="M7" s="8">
        <v>78.6</v>
      </c>
      <c r="N7" s="9"/>
      <c r="O7" s="10">
        <v>78.6</v>
      </c>
      <c r="P7" s="7" t="s">
        <v>45</v>
      </c>
      <c r="Q7" s="7"/>
    </row>
    <row r="8" spans="2:17" ht="14.25">
      <c r="B8" s="3" t="s">
        <v>63</v>
      </c>
      <c r="C8" s="3" t="s">
        <v>64</v>
      </c>
      <c r="D8" s="3" t="s">
        <v>70</v>
      </c>
      <c r="E8" s="3" t="s">
        <v>66</v>
      </c>
      <c r="F8" s="3" t="s">
        <v>71</v>
      </c>
      <c r="G8" s="3" t="s">
        <v>68</v>
      </c>
      <c r="H8" s="3" t="s">
        <v>42</v>
      </c>
      <c r="I8" s="3" t="s">
        <v>43</v>
      </c>
      <c r="J8" s="3" t="s">
        <v>72</v>
      </c>
      <c r="K8" s="8">
        <v>81.44</v>
      </c>
      <c r="L8" s="8">
        <v>76.3</v>
      </c>
      <c r="M8" s="8">
        <v>78.36</v>
      </c>
      <c r="N8" s="9"/>
      <c r="O8" s="10">
        <v>78.36</v>
      </c>
      <c r="P8" s="7" t="s">
        <v>45</v>
      </c>
      <c r="Q8" s="7"/>
    </row>
    <row r="9" spans="2:17" ht="14.25">
      <c r="B9" s="3" t="s">
        <v>73</v>
      </c>
      <c r="C9" s="3" t="s">
        <v>74</v>
      </c>
      <c r="D9" s="3" t="s">
        <v>75</v>
      </c>
      <c r="E9" s="3" t="s">
        <v>66</v>
      </c>
      <c r="F9" s="3" t="s">
        <v>76</v>
      </c>
      <c r="G9" s="3" t="s">
        <v>77</v>
      </c>
      <c r="H9" s="3" t="s">
        <v>43</v>
      </c>
      <c r="I9" s="3" t="s">
        <v>43</v>
      </c>
      <c r="J9" s="3" t="s">
        <v>78</v>
      </c>
      <c r="K9" s="8">
        <v>86.78</v>
      </c>
      <c r="L9" s="8">
        <v>83.6</v>
      </c>
      <c r="M9" s="8">
        <v>84.87</v>
      </c>
      <c r="N9" s="9"/>
      <c r="O9" s="10">
        <v>84.87</v>
      </c>
      <c r="P9" s="7" t="s">
        <v>45</v>
      </c>
      <c r="Q9" s="7"/>
    </row>
    <row r="10" spans="2:17" ht="14.25">
      <c r="B10" s="3" t="s">
        <v>73</v>
      </c>
      <c r="C10" s="3" t="s">
        <v>74</v>
      </c>
      <c r="D10" s="3" t="s">
        <v>79</v>
      </c>
      <c r="E10" s="3" t="s">
        <v>66</v>
      </c>
      <c r="F10" s="3" t="s">
        <v>80</v>
      </c>
      <c r="G10" s="3" t="s">
        <v>77</v>
      </c>
      <c r="H10" s="3" t="s">
        <v>43</v>
      </c>
      <c r="I10" s="3" t="s">
        <v>43</v>
      </c>
      <c r="J10" s="3" t="s">
        <v>81</v>
      </c>
      <c r="K10" s="8">
        <v>86.86</v>
      </c>
      <c r="L10" s="8">
        <v>83.3</v>
      </c>
      <c r="M10" s="8">
        <v>84.72</v>
      </c>
      <c r="N10" s="9"/>
      <c r="O10" s="10">
        <v>84.72</v>
      </c>
      <c r="P10" s="7" t="s">
        <v>45</v>
      </c>
      <c r="Q10" s="7"/>
    </row>
    <row r="11" spans="2:17" ht="14.25">
      <c r="B11" s="3" t="s">
        <v>73</v>
      </c>
      <c r="C11" s="3" t="s">
        <v>74</v>
      </c>
      <c r="D11" s="3" t="s">
        <v>82</v>
      </c>
      <c r="E11" s="3" t="s">
        <v>39</v>
      </c>
      <c r="F11" s="3" t="s">
        <v>83</v>
      </c>
      <c r="G11" s="3" t="s">
        <v>77</v>
      </c>
      <c r="H11" s="3" t="s">
        <v>43</v>
      </c>
      <c r="I11" s="3" t="s">
        <v>57</v>
      </c>
      <c r="J11" s="3" t="s">
        <v>84</v>
      </c>
      <c r="K11" s="8">
        <v>81.98</v>
      </c>
      <c r="L11" s="8">
        <v>85.8</v>
      </c>
      <c r="M11" s="8">
        <v>84.27</v>
      </c>
      <c r="N11" s="9"/>
      <c r="O11" s="10">
        <v>84.27</v>
      </c>
      <c r="P11" s="7" t="s">
        <v>45</v>
      </c>
      <c r="Q11" s="7"/>
    </row>
    <row r="12" spans="2:17" ht="14.25">
      <c r="B12" s="3" t="s">
        <v>73</v>
      </c>
      <c r="C12" s="3" t="s">
        <v>74</v>
      </c>
      <c r="D12" s="3" t="s">
        <v>85</v>
      </c>
      <c r="E12" s="3" t="s">
        <v>39</v>
      </c>
      <c r="F12" s="3" t="s">
        <v>86</v>
      </c>
      <c r="G12" s="3" t="s">
        <v>77</v>
      </c>
      <c r="H12" s="3" t="s">
        <v>43</v>
      </c>
      <c r="I12" s="3" t="s">
        <v>43</v>
      </c>
      <c r="J12" s="3" t="s">
        <v>87</v>
      </c>
      <c r="K12" s="8">
        <v>87.64</v>
      </c>
      <c r="L12" s="8">
        <v>81.9</v>
      </c>
      <c r="M12" s="8">
        <v>84.2</v>
      </c>
      <c r="N12" s="9"/>
      <c r="O12" s="10">
        <v>84.2</v>
      </c>
      <c r="P12" s="7" t="s">
        <v>45</v>
      </c>
      <c r="Q12" s="7"/>
    </row>
    <row r="13" spans="2:17" ht="14.25">
      <c r="B13" s="3" t="s">
        <v>73</v>
      </c>
      <c r="C13" s="3" t="s">
        <v>74</v>
      </c>
      <c r="D13" s="3" t="s">
        <v>88</v>
      </c>
      <c r="E13" s="3" t="s">
        <v>66</v>
      </c>
      <c r="F13" s="3" t="s">
        <v>89</v>
      </c>
      <c r="G13" s="3" t="s">
        <v>90</v>
      </c>
      <c r="H13" s="3" t="s">
        <v>43</v>
      </c>
      <c r="I13" s="3" t="s">
        <v>57</v>
      </c>
      <c r="J13" s="3" t="s">
        <v>91</v>
      </c>
      <c r="K13" s="8">
        <v>91.76</v>
      </c>
      <c r="L13" s="8">
        <v>79.1</v>
      </c>
      <c r="M13" s="8">
        <v>84.16</v>
      </c>
      <c r="N13" s="9"/>
      <c r="O13" s="10">
        <v>84.16</v>
      </c>
      <c r="P13" s="7" t="s">
        <v>45</v>
      </c>
      <c r="Q13" s="7"/>
    </row>
    <row r="14" spans="2:17" ht="14.25">
      <c r="B14" s="3" t="s">
        <v>73</v>
      </c>
      <c r="C14" s="3" t="s">
        <v>74</v>
      </c>
      <c r="D14" s="3" t="s">
        <v>92</v>
      </c>
      <c r="E14" s="3" t="s">
        <v>66</v>
      </c>
      <c r="F14" s="3" t="s">
        <v>93</v>
      </c>
      <c r="G14" s="3" t="s">
        <v>68</v>
      </c>
      <c r="H14" s="3" t="s">
        <v>43</v>
      </c>
      <c r="I14" s="3" t="s">
        <v>57</v>
      </c>
      <c r="J14" s="3" t="s">
        <v>94</v>
      </c>
      <c r="K14" s="8">
        <v>82.74</v>
      </c>
      <c r="L14" s="8">
        <v>84.95</v>
      </c>
      <c r="M14" s="8">
        <v>84.07</v>
      </c>
      <c r="N14" s="9"/>
      <c r="O14" s="10">
        <v>84.07</v>
      </c>
      <c r="P14" s="7" t="s">
        <v>45</v>
      </c>
      <c r="Q14" s="7"/>
    </row>
    <row r="15" spans="2:17" ht="14.25">
      <c r="B15" s="3" t="s">
        <v>73</v>
      </c>
      <c r="C15" s="3" t="s">
        <v>74</v>
      </c>
      <c r="D15" s="3" t="s">
        <v>95</v>
      </c>
      <c r="E15" s="3" t="s">
        <v>66</v>
      </c>
      <c r="F15" s="3" t="s">
        <v>96</v>
      </c>
      <c r="G15" s="3" t="s">
        <v>68</v>
      </c>
      <c r="H15" s="3" t="s">
        <v>43</v>
      </c>
      <c r="I15" s="3" t="s">
        <v>43</v>
      </c>
      <c r="J15" s="3" t="s">
        <v>97</v>
      </c>
      <c r="K15" s="8">
        <v>85.46</v>
      </c>
      <c r="L15" s="8">
        <v>82.95</v>
      </c>
      <c r="M15" s="8">
        <v>83.95</v>
      </c>
      <c r="N15" s="9"/>
      <c r="O15" s="10">
        <v>83.95</v>
      </c>
      <c r="P15" s="7" t="s">
        <v>45</v>
      </c>
      <c r="Q15" s="7"/>
    </row>
    <row r="16" spans="2:17" ht="14.25">
      <c r="B16" s="3" t="s">
        <v>98</v>
      </c>
      <c r="C16" s="3" t="s">
        <v>99</v>
      </c>
      <c r="D16" s="3" t="s">
        <v>100</v>
      </c>
      <c r="E16" s="3" t="s">
        <v>39</v>
      </c>
      <c r="F16" s="3" t="s">
        <v>101</v>
      </c>
      <c r="G16" s="3" t="s">
        <v>102</v>
      </c>
      <c r="H16" s="3" t="s">
        <v>42</v>
      </c>
      <c r="I16" s="3" t="s">
        <v>43</v>
      </c>
      <c r="J16" s="3" t="s">
        <v>103</v>
      </c>
      <c r="K16" s="8">
        <v>91.52</v>
      </c>
      <c r="L16" s="8">
        <v>93.38</v>
      </c>
      <c r="M16" s="8">
        <v>92.64</v>
      </c>
      <c r="N16" s="9"/>
      <c r="O16" s="10">
        <v>92.64</v>
      </c>
      <c r="P16" s="7" t="s">
        <v>45</v>
      </c>
      <c r="Q16" s="7"/>
    </row>
    <row r="17" spans="2:17" ht="14.25">
      <c r="B17" s="3" t="s">
        <v>104</v>
      </c>
      <c r="C17" s="3" t="s">
        <v>105</v>
      </c>
      <c r="D17" s="3" t="s">
        <v>106</v>
      </c>
      <c r="E17" s="3" t="s">
        <v>39</v>
      </c>
      <c r="F17" s="3" t="s">
        <v>107</v>
      </c>
      <c r="G17" s="3" t="s">
        <v>102</v>
      </c>
      <c r="H17" s="3" t="s">
        <v>43</v>
      </c>
      <c r="I17" s="3" t="s">
        <v>43</v>
      </c>
      <c r="J17" s="3" t="s">
        <v>108</v>
      </c>
      <c r="K17" s="8">
        <v>89.4</v>
      </c>
      <c r="L17" s="8">
        <v>101.2</v>
      </c>
      <c r="M17" s="8">
        <v>96.48</v>
      </c>
      <c r="N17" s="9"/>
      <c r="O17" s="10">
        <v>96.48</v>
      </c>
      <c r="P17" s="7" t="s">
        <v>45</v>
      </c>
      <c r="Q17" s="7"/>
    </row>
    <row r="18" spans="2:17" ht="14.25">
      <c r="B18" s="3" t="s">
        <v>109</v>
      </c>
      <c r="C18" s="3" t="s">
        <v>110</v>
      </c>
      <c r="D18" s="3" t="s">
        <v>111</v>
      </c>
      <c r="E18" s="3" t="s">
        <v>66</v>
      </c>
      <c r="F18" s="3" t="s">
        <v>112</v>
      </c>
      <c r="G18" s="3" t="s">
        <v>113</v>
      </c>
      <c r="H18" s="3" t="s">
        <v>43</v>
      </c>
      <c r="I18" s="3" t="s">
        <v>43</v>
      </c>
      <c r="J18" s="3" t="s">
        <v>114</v>
      </c>
      <c r="K18" s="8">
        <v>84.54</v>
      </c>
      <c r="L18" s="8">
        <v>93.7</v>
      </c>
      <c r="M18" s="8">
        <v>90.04</v>
      </c>
      <c r="N18" s="9"/>
      <c r="O18" s="10">
        <v>90.04</v>
      </c>
      <c r="P18" s="7" t="s">
        <v>45</v>
      </c>
      <c r="Q18" s="7"/>
    </row>
    <row r="19" spans="2:17" ht="14.25">
      <c r="B19" s="3" t="s">
        <v>109</v>
      </c>
      <c r="C19" s="3" t="s">
        <v>110</v>
      </c>
      <c r="D19" s="3" t="s">
        <v>115</v>
      </c>
      <c r="E19" s="3" t="s">
        <v>39</v>
      </c>
      <c r="F19" s="3" t="s">
        <v>116</v>
      </c>
      <c r="G19" s="3" t="s">
        <v>18</v>
      </c>
      <c r="H19" s="3" t="s">
        <v>43</v>
      </c>
      <c r="I19" s="3" t="s">
        <v>43</v>
      </c>
      <c r="J19" s="3" t="s">
        <v>117</v>
      </c>
      <c r="K19" s="8">
        <v>94.46</v>
      </c>
      <c r="L19" s="8">
        <v>86.3</v>
      </c>
      <c r="M19" s="8">
        <v>89.56</v>
      </c>
      <c r="N19" s="9"/>
      <c r="O19" s="10">
        <v>89.56</v>
      </c>
      <c r="P19" s="7" t="s">
        <v>45</v>
      </c>
      <c r="Q19" s="7"/>
    </row>
    <row r="20" spans="2:17" ht="14.25">
      <c r="B20" s="3" t="s">
        <v>118</v>
      </c>
      <c r="C20" s="3" t="s">
        <v>119</v>
      </c>
      <c r="D20" s="3" t="s">
        <v>120</v>
      </c>
      <c r="E20" s="3" t="s">
        <v>39</v>
      </c>
      <c r="F20" s="3" t="s">
        <v>121</v>
      </c>
      <c r="G20" s="3" t="s">
        <v>122</v>
      </c>
      <c r="H20" s="3" t="s">
        <v>42</v>
      </c>
      <c r="I20" s="3" t="s">
        <v>43</v>
      </c>
      <c r="J20" s="3" t="s">
        <v>123</v>
      </c>
      <c r="K20" s="8">
        <v>66.8</v>
      </c>
      <c r="L20" s="8">
        <v>63.3</v>
      </c>
      <c r="M20" s="8">
        <v>64.7</v>
      </c>
      <c r="N20" s="9"/>
      <c r="O20" s="10">
        <v>64.7</v>
      </c>
      <c r="P20" s="7" t="s">
        <v>45</v>
      </c>
      <c r="Q20" s="7"/>
    </row>
    <row r="21" spans="2:17" ht="14.25">
      <c r="B21" s="3" t="s">
        <v>124</v>
      </c>
      <c r="C21" s="3" t="s">
        <v>125</v>
      </c>
      <c r="D21" s="3" t="s">
        <v>126</v>
      </c>
      <c r="E21" s="3" t="s">
        <v>66</v>
      </c>
      <c r="F21" s="3" t="s">
        <v>127</v>
      </c>
      <c r="G21" s="3" t="s">
        <v>128</v>
      </c>
      <c r="H21" s="3" t="s">
        <v>43</v>
      </c>
      <c r="I21" s="3" t="s">
        <v>57</v>
      </c>
      <c r="J21" s="3" t="s">
        <v>129</v>
      </c>
      <c r="K21" s="8">
        <v>79.58</v>
      </c>
      <c r="L21" s="8">
        <v>70.7</v>
      </c>
      <c r="M21" s="8">
        <v>74.25</v>
      </c>
      <c r="N21" s="11">
        <v>2</v>
      </c>
      <c r="O21" s="10">
        <v>76.25</v>
      </c>
      <c r="P21" s="7" t="s">
        <v>45</v>
      </c>
      <c r="Q21" s="7"/>
    </row>
    <row r="22" spans="2:17" ht="14.25">
      <c r="B22" s="3" t="s">
        <v>130</v>
      </c>
      <c r="C22" s="3" t="s">
        <v>131</v>
      </c>
      <c r="D22" s="3" t="s">
        <v>132</v>
      </c>
      <c r="E22" s="3" t="s">
        <v>39</v>
      </c>
      <c r="F22" s="3" t="s">
        <v>133</v>
      </c>
      <c r="G22" s="3" t="s">
        <v>134</v>
      </c>
      <c r="H22" s="3" t="s">
        <v>43</v>
      </c>
      <c r="I22" s="3" t="s">
        <v>57</v>
      </c>
      <c r="J22" s="3" t="s">
        <v>135</v>
      </c>
      <c r="K22" s="8">
        <v>93.12</v>
      </c>
      <c r="L22" s="8">
        <v>97.76</v>
      </c>
      <c r="M22" s="8">
        <v>95.9</v>
      </c>
      <c r="N22" s="9"/>
      <c r="O22" s="10">
        <v>95.9</v>
      </c>
      <c r="P22" s="7" t="s">
        <v>45</v>
      </c>
      <c r="Q22" s="7"/>
    </row>
    <row r="23" spans="2:17" ht="14.25">
      <c r="B23" s="3" t="s">
        <v>136</v>
      </c>
      <c r="C23" s="3" t="s">
        <v>137</v>
      </c>
      <c r="D23" s="3" t="s">
        <v>138</v>
      </c>
      <c r="E23" s="3" t="s">
        <v>66</v>
      </c>
      <c r="F23" s="3" t="s">
        <v>139</v>
      </c>
      <c r="G23" s="3" t="s">
        <v>140</v>
      </c>
      <c r="H23" s="3" t="s">
        <v>43</v>
      </c>
      <c r="I23" s="3" t="s">
        <v>43</v>
      </c>
      <c r="J23" s="3" t="s">
        <v>141</v>
      </c>
      <c r="K23" s="8">
        <v>86.74</v>
      </c>
      <c r="L23" s="8">
        <v>83.33</v>
      </c>
      <c r="M23" s="8">
        <v>84.69</v>
      </c>
      <c r="N23" s="9"/>
      <c r="O23" s="10">
        <v>84.69</v>
      </c>
      <c r="P23" s="7" t="s">
        <v>45</v>
      </c>
      <c r="Q23" s="7"/>
    </row>
    <row r="24" spans="2:17" ht="14.25">
      <c r="B24" s="3" t="s">
        <v>142</v>
      </c>
      <c r="C24" s="3" t="s">
        <v>143</v>
      </c>
      <c r="D24" s="3" t="s">
        <v>144</v>
      </c>
      <c r="E24" s="3" t="s">
        <v>39</v>
      </c>
      <c r="F24" s="3" t="s">
        <v>145</v>
      </c>
      <c r="G24" s="3" t="s">
        <v>146</v>
      </c>
      <c r="H24" s="3" t="s">
        <v>43</v>
      </c>
      <c r="I24" s="3" t="s">
        <v>43</v>
      </c>
      <c r="J24" s="3" t="s">
        <v>147</v>
      </c>
      <c r="K24" s="8">
        <v>75.42</v>
      </c>
      <c r="L24" s="8">
        <v>74.3</v>
      </c>
      <c r="M24" s="8">
        <v>74.75</v>
      </c>
      <c r="N24" s="9"/>
      <c r="O24" s="10">
        <v>74.75</v>
      </c>
      <c r="P24" s="7" t="s">
        <v>45</v>
      </c>
      <c r="Q24" s="7"/>
    </row>
    <row r="25" spans="2:17" ht="14.25">
      <c r="B25" s="3" t="s">
        <v>148</v>
      </c>
      <c r="C25" s="3" t="s">
        <v>149</v>
      </c>
      <c r="D25" s="3" t="s">
        <v>150</v>
      </c>
      <c r="E25" s="3" t="s">
        <v>39</v>
      </c>
      <c r="F25" s="3" t="s">
        <v>151</v>
      </c>
      <c r="G25" s="3" t="s">
        <v>152</v>
      </c>
      <c r="H25" s="3" t="s">
        <v>43</v>
      </c>
      <c r="I25" s="3" t="s">
        <v>57</v>
      </c>
      <c r="J25" s="3" t="s">
        <v>153</v>
      </c>
      <c r="K25" s="8">
        <v>86.38</v>
      </c>
      <c r="L25" s="8">
        <v>88.5</v>
      </c>
      <c r="M25" s="8">
        <v>87.65</v>
      </c>
      <c r="N25" s="9"/>
      <c r="O25" s="10">
        <v>87.65</v>
      </c>
      <c r="P25" s="7" t="s">
        <v>45</v>
      </c>
      <c r="Q25" s="7"/>
    </row>
    <row r="26" spans="2:17" ht="14.25">
      <c r="B26" s="3" t="s">
        <v>154</v>
      </c>
      <c r="C26" s="3" t="s">
        <v>155</v>
      </c>
      <c r="D26" s="3" t="s">
        <v>156</v>
      </c>
      <c r="E26" s="3" t="s">
        <v>39</v>
      </c>
      <c r="F26" s="3" t="s">
        <v>157</v>
      </c>
      <c r="G26" s="3" t="s">
        <v>158</v>
      </c>
      <c r="H26" s="3" t="s">
        <v>42</v>
      </c>
      <c r="I26" s="3" t="s">
        <v>43</v>
      </c>
      <c r="J26" s="3" t="s">
        <v>159</v>
      </c>
      <c r="K26" s="8">
        <v>88.68</v>
      </c>
      <c r="L26" s="8">
        <v>80.3</v>
      </c>
      <c r="M26" s="8">
        <v>83.65</v>
      </c>
      <c r="N26" s="9"/>
      <c r="O26" s="10">
        <v>83.65</v>
      </c>
      <c r="P26" s="7" t="s">
        <v>45</v>
      </c>
      <c r="Q26" s="7"/>
    </row>
    <row r="27" spans="2:17" ht="14.25">
      <c r="B27" s="3" t="s">
        <v>154</v>
      </c>
      <c r="C27" s="3" t="s">
        <v>155</v>
      </c>
      <c r="D27" s="3" t="s">
        <v>160</v>
      </c>
      <c r="E27" s="3" t="s">
        <v>39</v>
      </c>
      <c r="F27" s="3" t="s">
        <v>161</v>
      </c>
      <c r="G27" s="3" t="s">
        <v>41</v>
      </c>
      <c r="H27" s="3" t="s">
        <v>42</v>
      </c>
      <c r="I27" s="3" t="s">
        <v>43</v>
      </c>
      <c r="J27" s="3" t="s">
        <v>162</v>
      </c>
      <c r="K27" s="8">
        <v>84.12</v>
      </c>
      <c r="L27" s="8">
        <v>82.8</v>
      </c>
      <c r="M27" s="8">
        <v>83.33</v>
      </c>
      <c r="N27" s="9"/>
      <c r="O27" s="10">
        <v>83.33</v>
      </c>
      <c r="P27" s="7" t="s">
        <v>45</v>
      </c>
      <c r="Q27" s="7"/>
    </row>
    <row r="28" spans="2:17" ht="14.25">
      <c r="B28" s="3" t="s">
        <v>154</v>
      </c>
      <c r="C28" s="3" t="s">
        <v>155</v>
      </c>
      <c r="D28" s="3" t="s">
        <v>163</v>
      </c>
      <c r="E28" s="3" t="s">
        <v>39</v>
      </c>
      <c r="F28" s="3" t="s">
        <v>164</v>
      </c>
      <c r="G28" s="3" t="s">
        <v>165</v>
      </c>
      <c r="H28" s="3" t="s">
        <v>42</v>
      </c>
      <c r="I28" s="3" t="s">
        <v>43</v>
      </c>
      <c r="J28" s="3" t="s">
        <v>166</v>
      </c>
      <c r="K28" s="8">
        <v>87.66</v>
      </c>
      <c r="L28" s="8">
        <v>80.2</v>
      </c>
      <c r="M28" s="8">
        <v>83.18</v>
      </c>
      <c r="N28" s="9"/>
      <c r="O28" s="10">
        <v>83.18</v>
      </c>
      <c r="P28" s="7" t="s">
        <v>45</v>
      </c>
      <c r="Q28" s="7"/>
    </row>
    <row r="29" spans="2:17" ht="14.25">
      <c r="B29" s="3" t="s">
        <v>167</v>
      </c>
      <c r="C29" s="3" t="s">
        <v>168</v>
      </c>
      <c r="D29" s="3" t="s">
        <v>169</v>
      </c>
      <c r="E29" s="3" t="s">
        <v>39</v>
      </c>
      <c r="F29" s="3" t="s">
        <v>170</v>
      </c>
      <c r="G29" s="3" t="s">
        <v>171</v>
      </c>
      <c r="H29" s="3" t="s">
        <v>43</v>
      </c>
      <c r="I29" s="3" t="s">
        <v>43</v>
      </c>
      <c r="J29" s="3" t="s">
        <v>172</v>
      </c>
      <c r="K29" s="8">
        <v>93.34</v>
      </c>
      <c r="L29" s="8">
        <v>80</v>
      </c>
      <c r="M29" s="8">
        <v>85.34</v>
      </c>
      <c r="N29" s="9"/>
      <c r="O29" s="10">
        <v>85.34</v>
      </c>
      <c r="P29" s="7" t="s">
        <v>45</v>
      </c>
      <c r="Q29" s="7"/>
    </row>
    <row r="30" spans="2:17" ht="14.25">
      <c r="B30" s="3" t="s">
        <v>167</v>
      </c>
      <c r="C30" s="3" t="s">
        <v>168</v>
      </c>
      <c r="D30" s="3" t="s">
        <v>173</v>
      </c>
      <c r="E30" s="3" t="s">
        <v>39</v>
      </c>
      <c r="F30" s="3" t="s">
        <v>174</v>
      </c>
      <c r="G30" s="3" t="s">
        <v>41</v>
      </c>
      <c r="H30" s="3" t="s">
        <v>43</v>
      </c>
      <c r="I30" s="3" t="s">
        <v>43</v>
      </c>
      <c r="J30" s="3" t="s">
        <v>175</v>
      </c>
      <c r="K30" s="8">
        <v>89.3</v>
      </c>
      <c r="L30" s="8">
        <v>82.6</v>
      </c>
      <c r="M30" s="8">
        <v>85.28</v>
      </c>
      <c r="N30" s="9"/>
      <c r="O30" s="10">
        <v>85.28</v>
      </c>
      <c r="P30" s="7" t="s">
        <v>45</v>
      </c>
      <c r="Q30" s="7"/>
    </row>
    <row r="31" spans="2:17" ht="14.25">
      <c r="B31" s="3" t="s">
        <v>176</v>
      </c>
      <c r="C31" s="3" t="s">
        <v>177</v>
      </c>
      <c r="D31" s="3" t="s">
        <v>178</v>
      </c>
      <c r="E31" s="3" t="s">
        <v>39</v>
      </c>
      <c r="F31" s="3" t="s">
        <v>179</v>
      </c>
      <c r="G31" s="3" t="s">
        <v>180</v>
      </c>
      <c r="H31" s="3" t="s">
        <v>42</v>
      </c>
      <c r="I31" s="3" t="s">
        <v>43</v>
      </c>
      <c r="J31" s="3" t="s">
        <v>181</v>
      </c>
      <c r="K31" s="8">
        <v>83.92</v>
      </c>
      <c r="L31" s="8">
        <v>78</v>
      </c>
      <c r="M31" s="8">
        <v>80.37</v>
      </c>
      <c r="N31" s="9"/>
      <c r="O31" s="10">
        <v>80.37</v>
      </c>
      <c r="P31" s="7" t="s">
        <v>45</v>
      </c>
      <c r="Q31" s="7"/>
    </row>
    <row r="32" spans="2:17" ht="14.25">
      <c r="B32" s="3" t="s">
        <v>182</v>
      </c>
      <c r="C32" s="3" t="s">
        <v>183</v>
      </c>
      <c r="D32" s="3" t="s">
        <v>184</v>
      </c>
      <c r="E32" s="3" t="s">
        <v>39</v>
      </c>
      <c r="F32" s="3" t="s">
        <v>185</v>
      </c>
      <c r="G32" s="3" t="s">
        <v>186</v>
      </c>
      <c r="H32" s="3" t="s">
        <v>43</v>
      </c>
      <c r="I32" s="3" t="s">
        <v>43</v>
      </c>
      <c r="J32" s="3" t="s">
        <v>187</v>
      </c>
      <c r="K32" s="8">
        <v>89.9</v>
      </c>
      <c r="L32" s="8">
        <v>83.9</v>
      </c>
      <c r="M32" s="8">
        <v>86.3</v>
      </c>
      <c r="N32" s="9"/>
      <c r="O32" s="10">
        <v>86.3</v>
      </c>
      <c r="P32" s="7" t="s">
        <v>45</v>
      </c>
      <c r="Q32" s="7"/>
    </row>
    <row r="33" spans="2:17" ht="14.25">
      <c r="B33" s="3" t="s">
        <v>188</v>
      </c>
      <c r="C33" s="3" t="s">
        <v>189</v>
      </c>
      <c r="D33" s="3" t="s">
        <v>190</v>
      </c>
      <c r="E33" s="3" t="s">
        <v>39</v>
      </c>
      <c r="F33" s="3" t="s">
        <v>191</v>
      </c>
      <c r="G33" s="3" t="s">
        <v>192</v>
      </c>
      <c r="H33" s="3" t="s">
        <v>48</v>
      </c>
      <c r="I33" s="3" t="s">
        <v>43</v>
      </c>
      <c r="J33" s="3" t="s">
        <v>193</v>
      </c>
      <c r="K33" s="8">
        <v>89.78</v>
      </c>
      <c r="L33" s="8">
        <v>64.7</v>
      </c>
      <c r="M33" s="8">
        <v>74.73</v>
      </c>
      <c r="N33" s="9"/>
      <c r="O33" s="10">
        <v>74.73</v>
      </c>
      <c r="P33" s="7" t="s">
        <v>45</v>
      </c>
      <c r="Q33" s="7"/>
    </row>
    <row r="34" spans="2:17" ht="14.25">
      <c r="B34" s="3" t="s">
        <v>194</v>
      </c>
      <c r="C34" s="3" t="s">
        <v>195</v>
      </c>
      <c r="D34" s="3" t="s">
        <v>196</v>
      </c>
      <c r="E34" s="3" t="s">
        <v>66</v>
      </c>
      <c r="F34" s="3" t="s">
        <v>197</v>
      </c>
      <c r="G34" s="3" t="s">
        <v>198</v>
      </c>
      <c r="H34" s="3" t="s">
        <v>42</v>
      </c>
      <c r="I34" s="3" t="s">
        <v>43</v>
      </c>
      <c r="J34" s="3" t="s">
        <v>199</v>
      </c>
      <c r="K34" s="8">
        <v>74.54</v>
      </c>
      <c r="L34" s="8">
        <v>78.9</v>
      </c>
      <c r="M34" s="8">
        <v>77.16</v>
      </c>
      <c r="N34" s="9"/>
      <c r="O34" s="10">
        <v>77.16</v>
      </c>
      <c r="P34" s="7" t="s">
        <v>45</v>
      </c>
      <c r="Q34" s="7"/>
    </row>
    <row r="35" spans="2:17" ht="14.25">
      <c r="B35" s="3" t="s">
        <v>200</v>
      </c>
      <c r="C35" s="3" t="s">
        <v>201</v>
      </c>
      <c r="D35" s="3" t="s">
        <v>202</v>
      </c>
      <c r="E35" s="3" t="s">
        <v>66</v>
      </c>
      <c r="F35" s="3" t="s">
        <v>203</v>
      </c>
      <c r="G35" s="3" t="s">
        <v>204</v>
      </c>
      <c r="H35" s="3" t="s">
        <v>43</v>
      </c>
      <c r="I35" s="3" t="s">
        <v>43</v>
      </c>
      <c r="J35" s="3" t="s">
        <v>205</v>
      </c>
      <c r="K35" s="8">
        <v>84.42</v>
      </c>
      <c r="L35" s="8">
        <v>86.79</v>
      </c>
      <c r="M35" s="8">
        <v>85.84</v>
      </c>
      <c r="N35" s="9"/>
      <c r="O35" s="10">
        <v>85.84</v>
      </c>
      <c r="P35" s="7" t="s">
        <v>45</v>
      </c>
      <c r="Q35" s="7"/>
    </row>
    <row r="36" spans="2:17" ht="14.25">
      <c r="B36" s="3" t="s">
        <v>200</v>
      </c>
      <c r="C36" s="3" t="s">
        <v>201</v>
      </c>
      <c r="D36" s="3" t="s">
        <v>206</v>
      </c>
      <c r="E36" s="3" t="s">
        <v>66</v>
      </c>
      <c r="F36" s="3" t="s">
        <v>207</v>
      </c>
      <c r="G36" s="3" t="s">
        <v>208</v>
      </c>
      <c r="H36" s="3" t="s">
        <v>43</v>
      </c>
      <c r="I36" s="3" t="s">
        <v>43</v>
      </c>
      <c r="J36" s="3" t="s">
        <v>209</v>
      </c>
      <c r="K36" s="8">
        <v>75.38</v>
      </c>
      <c r="L36" s="8">
        <v>91.54</v>
      </c>
      <c r="M36" s="8">
        <v>85.08</v>
      </c>
      <c r="N36" s="9"/>
      <c r="O36" s="10">
        <v>85.08</v>
      </c>
      <c r="P36" s="7" t="s">
        <v>45</v>
      </c>
      <c r="Q36" s="7"/>
    </row>
    <row r="37" spans="2:17" ht="14.25">
      <c r="B37" s="3" t="s">
        <v>210</v>
      </c>
      <c r="C37" s="3" t="s">
        <v>211</v>
      </c>
      <c r="D37" s="3" t="s">
        <v>212</v>
      </c>
      <c r="E37" s="3" t="s">
        <v>66</v>
      </c>
      <c r="F37" s="3" t="s">
        <v>213</v>
      </c>
      <c r="G37" s="3" t="s">
        <v>140</v>
      </c>
      <c r="H37" s="3" t="s">
        <v>42</v>
      </c>
      <c r="I37" s="3" t="s">
        <v>43</v>
      </c>
      <c r="J37" s="3" t="s">
        <v>214</v>
      </c>
      <c r="K37" s="8">
        <v>91.2</v>
      </c>
      <c r="L37" s="8">
        <v>79.26</v>
      </c>
      <c r="M37" s="8">
        <v>84.04</v>
      </c>
      <c r="N37" s="9"/>
      <c r="O37" s="10">
        <v>84.04</v>
      </c>
      <c r="P37" s="7" t="s">
        <v>45</v>
      </c>
      <c r="Q37" s="7"/>
    </row>
    <row r="38" spans="2:17" ht="14.25">
      <c r="B38" s="3" t="s">
        <v>210</v>
      </c>
      <c r="C38" s="3" t="s">
        <v>211</v>
      </c>
      <c r="D38" s="3" t="s">
        <v>215</v>
      </c>
      <c r="E38" s="3" t="s">
        <v>66</v>
      </c>
      <c r="F38" s="3" t="s">
        <v>216</v>
      </c>
      <c r="G38" s="3" t="s">
        <v>140</v>
      </c>
      <c r="H38" s="3" t="s">
        <v>42</v>
      </c>
      <c r="I38" s="3" t="s">
        <v>43</v>
      </c>
      <c r="J38" s="3" t="s">
        <v>217</v>
      </c>
      <c r="K38" s="8">
        <v>83.32</v>
      </c>
      <c r="L38" s="8">
        <v>82.45</v>
      </c>
      <c r="M38" s="8">
        <v>82.8</v>
      </c>
      <c r="N38" s="9"/>
      <c r="O38" s="10">
        <v>82.8</v>
      </c>
      <c r="P38" s="7" t="s">
        <v>45</v>
      </c>
      <c r="Q38" s="7"/>
    </row>
    <row r="39" spans="2:17" ht="14.25">
      <c r="B39" s="3" t="s">
        <v>210</v>
      </c>
      <c r="C39" s="3" t="s">
        <v>211</v>
      </c>
      <c r="D39" s="3" t="s">
        <v>218</v>
      </c>
      <c r="E39" s="3" t="s">
        <v>66</v>
      </c>
      <c r="F39" s="3" t="s">
        <v>219</v>
      </c>
      <c r="G39" s="3" t="s">
        <v>220</v>
      </c>
      <c r="H39" s="3" t="s">
        <v>48</v>
      </c>
      <c r="I39" s="3" t="s">
        <v>43</v>
      </c>
      <c r="J39" s="3" t="s">
        <v>221</v>
      </c>
      <c r="K39" s="8">
        <v>76.24</v>
      </c>
      <c r="L39" s="8">
        <v>85.4</v>
      </c>
      <c r="M39" s="8">
        <v>81.74</v>
      </c>
      <c r="N39" s="9"/>
      <c r="O39" s="10">
        <v>81.74</v>
      </c>
      <c r="P39" s="7" t="s">
        <v>45</v>
      </c>
      <c r="Q39" s="7"/>
    </row>
    <row r="40" spans="2:17" ht="14.25">
      <c r="B40" s="3" t="s">
        <v>222</v>
      </c>
      <c r="C40" s="3" t="s">
        <v>223</v>
      </c>
      <c r="D40" s="3" t="s">
        <v>224</v>
      </c>
      <c r="E40" s="3" t="s">
        <v>66</v>
      </c>
      <c r="F40" s="3" t="s">
        <v>225</v>
      </c>
      <c r="G40" s="3" t="s">
        <v>226</v>
      </c>
      <c r="H40" s="3" t="s">
        <v>43</v>
      </c>
      <c r="I40" s="3" t="s">
        <v>43</v>
      </c>
      <c r="J40" s="3" t="s">
        <v>227</v>
      </c>
      <c r="K40" s="8">
        <v>78.26</v>
      </c>
      <c r="L40" s="8">
        <v>82.13</v>
      </c>
      <c r="M40" s="8">
        <v>80.58</v>
      </c>
      <c r="N40" s="9"/>
      <c r="O40" s="10">
        <v>80.58</v>
      </c>
      <c r="P40" s="7" t="s">
        <v>45</v>
      </c>
      <c r="Q40" s="7"/>
    </row>
    <row r="41" spans="2:17" ht="14.25">
      <c r="B41" s="3" t="s">
        <v>228</v>
      </c>
      <c r="C41" s="3" t="s">
        <v>229</v>
      </c>
      <c r="D41" s="3" t="s">
        <v>230</v>
      </c>
      <c r="E41" s="3" t="s">
        <v>39</v>
      </c>
      <c r="F41" s="3" t="s">
        <v>231</v>
      </c>
      <c r="G41" s="3" t="s">
        <v>232</v>
      </c>
      <c r="H41" s="3" t="s">
        <v>42</v>
      </c>
      <c r="I41" s="3" t="s">
        <v>43</v>
      </c>
      <c r="J41" s="3" t="s">
        <v>233</v>
      </c>
      <c r="K41" s="8">
        <v>86.24</v>
      </c>
      <c r="L41" s="8">
        <v>82.6</v>
      </c>
      <c r="M41" s="8">
        <v>84.06</v>
      </c>
      <c r="N41" s="9"/>
      <c r="O41" s="10">
        <v>84.06</v>
      </c>
      <c r="P41" s="7" t="s">
        <v>45</v>
      </c>
      <c r="Q41" s="7"/>
    </row>
    <row r="42" spans="2:17" ht="14.25">
      <c r="B42" s="3" t="s">
        <v>228</v>
      </c>
      <c r="C42" s="3" t="s">
        <v>229</v>
      </c>
      <c r="D42" s="3" t="s">
        <v>234</v>
      </c>
      <c r="E42" s="3" t="s">
        <v>39</v>
      </c>
      <c r="F42" s="3" t="s">
        <v>235</v>
      </c>
      <c r="G42" s="3" t="s">
        <v>236</v>
      </c>
      <c r="H42" s="3" t="s">
        <v>42</v>
      </c>
      <c r="I42" s="3" t="s">
        <v>43</v>
      </c>
      <c r="J42" s="3" t="s">
        <v>237</v>
      </c>
      <c r="K42" s="8">
        <v>79.22</v>
      </c>
      <c r="L42" s="8">
        <v>87</v>
      </c>
      <c r="M42" s="8">
        <v>83.89</v>
      </c>
      <c r="N42" s="9"/>
      <c r="O42" s="10">
        <v>83.89</v>
      </c>
      <c r="P42" s="7" t="s">
        <v>45</v>
      </c>
      <c r="Q42" s="7"/>
    </row>
    <row r="43" spans="2:17" ht="14.25">
      <c r="B43" s="3" t="s">
        <v>238</v>
      </c>
      <c r="C43" s="3" t="s">
        <v>239</v>
      </c>
      <c r="D43" s="3" t="s">
        <v>240</v>
      </c>
      <c r="E43" s="3" t="s">
        <v>39</v>
      </c>
      <c r="F43" s="3" t="s">
        <v>241</v>
      </c>
      <c r="G43" s="3" t="s">
        <v>242</v>
      </c>
      <c r="H43" s="3" t="s">
        <v>42</v>
      </c>
      <c r="I43" s="3" t="s">
        <v>43</v>
      </c>
      <c r="J43" s="3" t="s">
        <v>243</v>
      </c>
      <c r="K43" s="8">
        <v>78.78</v>
      </c>
      <c r="L43" s="8">
        <v>81.2</v>
      </c>
      <c r="M43" s="8">
        <v>80.23</v>
      </c>
      <c r="N43" s="9"/>
      <c r="O43" s="10">
        <v>80.23</v>
      </c>
      <c r="P43" s="7" t="s">
        <v>45</v>
      </c>
      <c r="Q43" s="7"/>
    </row>
    <row r="44" spans="2:17" ht="14.25">
      <c r="B44" s="3" t="s">
        <v>244</v>
      </c>
      <c r="C44" s="3" t="s">
        <v>245</v>
      </c>
      <c r="D44" s="3" t="s">
        <v>246</v>
      </c>
      <c r="E44" s="3" t="s">
        <v>39</v>
      </c>
      <c r="F44" s="3" t="s">
        <v>247</v>
      </c>
      <c r="G44" s="3" t="s">
        <v>248</v>
      </c>
      <c r="H44" s="3" t="s">
        <v>42</v>
      </c>
      <c r="I44" s="3" t="s">
        <v>43</v>
      </c>
      <c r="J44" s="3" t="s">
        <v>249</v>
      </c>
      <c r="K44" s="8">
        <v>86.68</v>
      </c>
      <c r="L44" s="8">
        <v>74.35</v>
      </c>
      <c r="M44" s="8">
        <v>79.28</v>
      </c>
      <c r="N44" s="9"/>
      <c r="O44" s="10">
        <v>79.28</v>
      </c>
      <c r="P44" s="7" t="s">
        <v>45</v>
      </c>
      <c r="Q44" s="7"/>
    </row>
    <row r="45" spans="2:17" ht="14.25">
      <c r="B45" s="3" t="s">
        <v>244</v>
      </c>
      <c r="C45" s="3" t="s">
        <v>245</v>
      </c>
      <c r="D45" s="3" t="s">
        <v>250</v>
      </c>
      <c r="E45" s="3" t="s">
        <v>39</v>
      </c>
      <c r="F45" s="3" t="s">
        <v>251</v>
      </c>
      <c r="G45" s="3" t="s">
        <v>252</v>
      </c>
      <c r="H45" s="3" t="s">
        <v>42</v>
      </c>
      <c r="I45" s="3" t="s">
        <v>43</v>
      </c>
      <c r="J45" s="3" t="s">
        <v>253</v>
      </c>
      <c r="K45" s="8">
        <v>89.6</v>
      </c>
      <c r="L45" s="8">
        <v>72.3</v>
      </c>
      <c r="M45" s="8">
        <v>79.22</v>
      </c>
      <c r="N45" s="9"/>
      <c r="O45" s="10">
        <v>79.22</v>
      </c>
      <c r="P45" s="7" t="s">
        <v>45</v>
      </c>
      <c r="Q45" s="7"/>
    </row>
    <row r="46" spans="2:17" ht="14.25">
      <c r="B46" s="3" t="s">
        <v>254</v>
      </c>
      <c r="C46" s="3" t="s">
        <v>255</v>
      </c>
      <c r="D46" s="3" t="s">
        <v>256</v>
      </c>
      <c r="E46" s="3" t="s">
        <v>39</v>
      </c>
      <c r="F46" s="3" t="s">
        <v>257</v>
      </c>
      <c r="G46" s="3" t="s">
        <v>258</v>
      </c>
      <c r="H46" s="3" t="s">
        <v>42</v>
      </c>
      <c r="I46" s="3" t="s">
        <v>43</v>
      </c>
      <c r="J46" s="3" t="s">
        <v>259</v>
      </c>
      <c r="K46" s="8">
        <v>86.18</v>
      </c>
      <c r="L46" s="8">
        <v>82.36</v>
      </c>
      <c r="M46" s="8">
        <v>83.89</v>
      </c>
      <c r="N46" s="9"/>
      <c r="O46" s="10">
        <v>83.89</v>
      </c>
      <c r="P46" s="7" t="s">
        <v>45</v>
      </c>
      <c r="Q46" s="7"/>
    </row>
    <row r="47" spans="2:17" ht="14.25">
      <c r="B47" s="3" t="s">
        <v>254</v>
      </c>
      <c r="C47" s="3" t="s">
        <v>255</v>
      </c>
      <c r="D47" s="3" t="s">
        <v>260</v>
      </c>
      <c r="E47" s="3" t="s">
        <v>39</v>
      </c>
      <c r="F47" s="3" t="s">
        <v>261</v>
      </c>
      <c r="G47" s="3" t="s">
        <v>258</v>
      </c>
      <c r="H47" s="3" t="s">
        <v>42</v>
      </c>
      <c r="I47" s="3" t="s">
        <v>43</v>
      </c>
      <c r="J47" s="3" t="s">
        <v>262</v>
      </c>
      <c r="K47" s="8">
        <v>76.98</v>
      </c>
      <c r="L47" s="8">
        <v>87.78</v>
      </c>
      <c r="M47" s="8">
        <v>83.46</v>
      </c>
      <c r="N47" s="9"/>
      <c r="O47" s="10">
        <v>83.46</v>
      </c>
      <c r="P47" s="7" t="s">
        <v>45</v>
      </c>
      <c r="Q47" s="7"/>
    </row>
    <row r="48" spans="2:17" ht="14.25">
      <c r="B48" s="3" t="s">
        <v>263</v>
      </c>
      <c r="C48" s="3" t="s">
        <v>264</v>
      </c>
      <c r="D48" s="3" t="s">
        <v>265</v>
      </c>
      <c r="E48" s="3" t="s">
        <v>39</v>
      </c>
      <c r="F48" s="3" t="s">
        <v>266</v>
      </c>
      <c r="G48" s="3" t="s">
        <v>267</v>
      </c>
      <c r="H48" s="3" t="s">
        <v>42</v>
      </c>
      <c r="I48" s="3" t="s">
        <v>43</v>
      </c>
      <c r="J48" s="3" t="s">
        <v>268</v>
      </c>
      <c r="K48" s="8">
        <v>69.64</v>
      </c>
      <c r="L48" s="8">
        <v>92.6</v>
      </c>
      <c r="M48" s="8">
        <v>83.42</v>
      </c>
      <c r="N48" s="9"/>
      <c r="O48" s="10">
        <v>83.42</v>
      </c>
      <c r="P48" s="7" t="s">
        <v>45</v>
      </c>
      <c r="Q48" s="7"/>
    </row>
    <row r="49" spans="2:17" ht="14.25">
      <c r="B49" s="3" t="s">
        <v>269</v>
      </c>
      <c r="C49" s="3" t="s">
        <v>270</v>
      </c>
      <c r="D49" s="3" t="s">
        <v>271</v>
      </c>
      <c r="E49" s="3" t="s">
        <v>39</v>
      </c>
      <c r="F49" s="3" t="s">
        <v>272</v>
      </c>
      <c r="G49" s="3" t="s">
        <v>273</v>
      </c>
      <c r="H49" s="3" t="s">
        <v>43</v>
      </c>
      <c r="I49" s="3" t="s">
        <v>43</v>
      </c>
      <c r="J49" s="3" t="s">
        <v>274</v>
      </c>
      <c r="K49" s="8">
        <v>80.24</v>
      </c>
      <c r="L49" s="8">
        <v>96.1</v>
      </c>
      <c r="M49" s="8">
        <v>89.76</v>
      </c>
      <c r="N49" s="9"/>
      <c r="O49" s="10">
        <v>89.76</v>
      </c>
      <c r="P49" s="7" t="s">
        <v>45</v>
      </c>
      <c r="Q49" s="7"/>
    </row>
    <row r="50" spans="2:17" ht="14.25">
      <c r="B50" s="3" t="s">
        <v>275</v>
      </c>
      <c r="C50" s="3" t="s">
        <v>276</v>
      </c>
      <c r="D50" s="3" t="s">
        <v>277</v>
      </c>
      <c r="E50" s="3" t="s">
        <v>39</v>
      </c>
      <c r="F50" s="3" t="s">
        <v>278</v>
      </c>
      <c r="G50" s="3" t="s">
        <v>279</v>
      </c>
      <c r="H50" s="3" t="s">
        <v>42</v>
      </c>
      <c r="I50" s="3" t="s">
        <v>43</v>
      </c>
      <c r="J50" s="3" t="s">
        <v>280</v>
      </c>
      <c r="K50" s="8">
        <v>75.24</v>
      </c>
      <c r="L50" s="8">
        <v>75.99</v>
      </c>
      <c r="M50" s="8">
        <v>75.69</v>
      </c>
      <c r="N50" s="9"/>
      <c r="O50" s="10">
        <v>75.69</v>
      </c>
      <c r="P50" s="7" t="s">
        <v>45</v>
      </c>
      <c r="Q50" s="7"/>
    </row>
    <row r="51" spans="2:17" ht="14.25">
      <c r="B51" s="3" t="s">
        <v>281</v>
      </c>
      <c r="C51" s="3" t="s">
        <v>282</v>
      </c>
      <c r="D51" s="3" t="s">
        <v>283</v>
      </c>
      <c r="E51" s="3" t="s">
        <v>39</v>
      </c>
      <c r="F51" s="3" t="s">
        <v>284</v>
      </c>
      <c r="G51" s="3" t="s">
        <v>41</v>
      </c>
      <c r="H51" s="3" t="s">
        <v>43</v>
      </c>
      <c r="I51" s="3" t="s">
        <v>43</v>
      </c>
      <c r="J51" s="3" t="s">
        <v>285</v>
      </c>
      <c r="K51" s="8">
        <v>73.98</v>
      </c>
      <c r="L51" s="8">
        <v>80.05</v>
      </c>
      <c r="M51" s="8">
        <v>77.62</v>
      </c>
      <c r="N51" s="9"/>
      <c r="O51" s="10">
        <v>77.62</v>
      </c>
      <c r="P51" s="7" t="s">
        <v>45</v>
      </c>
      <c r="Q51" s="7"/>
    </row>
    <row r="52" spans="2:17" ht="14.25">
      <c r="B52" s="3" t="s">
        <v>286</v>
      </c>
      <c r="C52" s="3" t="s">
        <v>287</v>
      </c>
      <c r="D52" s="3" t="s">
        <v>288</v>
      </c>
      <c r="E52" s="3" t="s">
        <v>66</v>
      </c>
      <c r="F52" s="3" t="s">
        <v>289</v>
      </c>
      <c r="G52" s="3" t="s">
        <v>290</v>
      </c>
      <c r="H52" s="3" t="s">
        <v>42</v>
      </c>
      <c r="I52" s="3" t="s">
        <v>43</v>
      </c>
      <c r="J52" s="3" t="s">
        <v>291</v>
      </c>
      <c r="K52" s="8">
        <v>71.34</v>
      </c>
      <c r="L52" s="8">
        <v>90.7</v>
      </c>
      <c r="M52" s="8">
        <v>82.96</v>
      </c>
      <c r="N52" s="9"/>
      <c r="O52" s="10">
        <v>82.96</v>
      </c>
      <c r="P52" s="7" t="s">
        <v>45</v>
      </c>
      <c r="Q52" s="7"/>
    </row>
    <row r="53" spans="2:17" ht="14.25">
      <c r="B53" s="3" t="s">
        <v>292</v>
      </c>
      <c r="C53" s="3" t="s">
        <v>293</v>
      </c>
      <c r="D53" s="3" t="s">
        <v>294</v>
      </c>
      <c r="E53" s="3" t="s">
        <v>39</v>
      </c>
      <c r="F53" s="3" t="s">
        <v>295</v>
      </c>
      <c r="G53" s="3" t="s">
        <v>296</v>
      </c>
      <c r="H53" s="3" t="s">
        <v>43</v>
      </c>
      <c r="I53" s="3" t="s">
        <v>43</v>
      </c>
      <c r="J53" s="3" t="s">
        <v>297</v>
      </c>
      <c r="K53" s="8">
        <v>81.8</v>
      </c>
      <c r="L53" s="8">
        <v>91.89</v>
      </c>
      <c r="M53" s="8">
        <v>87.85</v>
      </c>
      <c r="N53" s="9"/>
      <c r="O53" s="10">
        <v>87.85</v>
      </c>
      <c r="P53" s="7" t="s">
        <v>45</v>
      </c>
      <c r="Q53" s="7"/>
    </row>
    <row r="54" spans="2:17" ht="14.25">
      <c r="B54" s="3" t="s">
        <v>298</v>
      </c>
      <c r="C54" s="3" t="s">
        <v>299</v>
      </c>
      <c r="D54" s="3" t="s">
        <v>300</v>
      </c>
      <c r="E54" s="3" t="s">
        <v>39</v>
      </c>
      <c r="F54" s="3" t="s">
        <v>301</v>
      </c>
      <c r="G54" s="3" t="s">
        <v>302</v>
      </c>
      <c r="H54" s="3" t="s">
        <v>48</v>
      </c>
      <c r="I54" s="3" t="s">
        <v>43</v>
      </c>
      <c r="J54" s="3" t="s">
        <v>303</v>
      </c>
      <c r="K54" s="8">
        <v>61.96</v>
      </c>
      <c r="L54" s="8">
        <v>76.8</v>
      </c>
      <c r="M54" s="8">
        <v>70.86</v>
      </c>
      <c r="N54" s="9"/>
      <c r="O54" s="10">
        <v>70.86</v>
      </c>
      <c r="P54" s="7" t="s">
        <v>45</v>
      </c>
      <c r="Q54" s="7"/>
    </row>
    <row r="55" spans="2:17" ht="14.25">
      <c r="B55" s="3" t="s">
        <v>298</v>
      </c>
      <c r="C55" s="3" t="s">
        <v>299</v>
      </c>
      <c r="D55" s="3" t="s">
        <v>304</v>
      </c>
      <c r="E55" s="3" t="s">
        <v>39</v>
      </c>
      <c r="F55" s="3" t="s">
        <v>305</v>
      </c>
      <c r="G55" s="3" t="s">
        <v>302</v>
      </c>
      <c r="H55" s="3" t="s">
        <v>42</v>
      </c>
      <c r="I55" s="3" t="s">
        <v>43</v>
      </c>
      <c r="J55" s="3" t="s">
        <v>306</v>
      </c>
      <c r="K55" s="8">
        <v>64.72</v>
      </c>
      <c r="L55" s="8">
        <v>72.3</v>
      </c>
      <c r="M55" s="8">
        <v>69.27</v>
      </c>
      <c r="N55" s="9"/>
      <c r="O55" s="10">
        <v>69.27</v>
      </c>
      <c r="P55" s="7" t="s">
        <v>45</v>
      </c>
      <c r="Q55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2021-06-22T03:31:09Z</cp:lastPrinted>
  <dcterms:created xsi:type="dcterms:W3CDTF">2021-05-10T02:14:00Z</dcterms:created>
  <dcterms:modified xsi:type="dcterms:W3CDTF">2022-09-27T01:41:44Z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76E522380BB240F1BC2DCB1F61BA965B</vt:lpwstr>
  </property>
  <property fmtid="{D5CDD505-2E9C-101B-9397-08002B2CF9AE}" pid="4" name="KSOProductBuildV">
    <vt:lpwstr>2052-11.1.0.9914</vt:lpwstr>
  </property>
  <property fmtid="{D5CDD505-2E9C-101B-9397-08002B2CF9AE}" pid="5" name="KSOReadingLayo">
    <vt:bool>true</vt:bool>
  </property>
</Properties>
</file>