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3" sheetId="3" r:id="rId1"/>
  </sheets>
  <definedNames>
    <definedName name="_xlnm.Print_Titles" localSheetId="0">Sheet3!$1:$2</definedName>
  </definedNames>
  <calcPr calcId="125725"/>
</workbook>
</file>

<file path=xl/calcChain.xml><?xml version="1.0" encoding="utf-8"?>
<calcChain xmlns="http://schemas.openxmlformats.org/spreadsheetml/2006/main">
  <c r="J266" i="3"/>
  <c r="K266" s="1"/>
  <c r="F266"/>
  <c r="E266"/>
  <c r="B266"/>
  <c r="J265"/>
  <c r="K265" s="1"/>
  <c r="F265"/>
  <c r="E265"/>
  <c r="B265"/>
  <c r="J264"/>
  <c r="K264" s="1"/>
  <c r="F264"/>
  <c r="E264"/>
  <c r="B264"/>
  <c r="J263"/>
  <c r="K263" s="1"/>
  <c r="F263"/>
  <c r="E263"/>
  <c r="B263"/>
  <c r="J262"/>
  <c r="K262" s="1"/>
  <c r="F262"/>
  <c r="E262"/>
  <c r="B262"/>
  <c r="J261"/>
  <c r="K261" s="1"/>
  <c r="F261"/>
  <c r="E261"/>
  <c r="B261"/>
  <c r="J260"/>
  <c r="K260" s="1"/>
  <c r="F260"/>
  <c r="E260"/>
  <c r="B260"/>
  <c r="J259"/>
  <c r="K259" s="1"/>
  <c r="F259"/>
  <c r="E259"/>
  <c r="B259"/>
  <c r="J258"/>
  <c r="K258" s="1"/>
  <c r="F258"/>
  <c r="E258"/>
  <c r="B258"/>
  <c r="J257"/>
  <c r="K257" s="1"/>
  <c r="F257"/>
  <c r="E257"/>
  <c r="B257"/>
  <c r="J256"/>
  <c r="K256" s="1"/>
  <c r="F256"/>
  <c r="E256"/>
  <c r="B256"/>
  <c r="J255"/>
  <c r="K255" s="1"/>
  <c r="F255"/>
  <c r="E255"/>
  <c r="B255"/>
  <c r="J254"/>
  <c r="K254" s="1"/>
  <c r="F254"/>
  <c r="E254"/>
  <c r="B254"/>
  <c r="J253"/>
  <c r="K253" s="1"/>
  <c r="F253"/>
  <c r="E253"/>
  <c r="B253"/>
  <c r="J252"/>
  <c r="K252" s="1"/>
  <c r="F252"/>
  <c r="E252"/>
  <c r="B252"/>
  <c r="J251"/>
  <c r="K251" s="1"/>
  <c r="F251"/>
  <c r="E251"/>
  <c r="B251"/>
  <c r="J250"/>
  <c r="K250" s="1"/>
  <c r="F250"/>
  <c r="E250"/>
  <c r="B250"/>
  <c r="J249"/>
  <c r="K249" s="1"/>
  <c r="F249"/>
  <c r="E249"/>
  <c r="B249"/>
  <c r="J248"/>
  <c r="K248" s="1"/>
  <c r="F248"/>
  <c r="E248"/>
  <c r="B248"/>
  <c r="J247"/>
  <c r="K247" s="1"/>
  <c r="F247"/>
  <c r="E247"/>
  <c r="B247"/>
  <c r="J246"/>
  <c r="K246" s="1"/>
  <c r="F246"/>
  <c r="E246"/>
  <c r="B246"/>
  <c r="J245"/>
  <c r="K245" s="1"/>
  <c r="F245"/>
  <c r="E245"/>
  <c r="B245"/>
  <c r="J244"/>
  <c r="K244" s="1"/>
  <c r="F244"/>
  <c r="E244"/>
  <c r="B244"/>
  <c r="J243"/>
  <c r="K243" s="1"/>
  <c r="F243"/>
  <c r="E243"/>
  <c r="B243"/>
  <c r="J242"/>
  <c r="K242" s="1"/>
  <c r="F242"/>
  <c r="E242"/>
  <c r="B242"/>
  <c r="J241"/>
  <c r="K241" s="1"/>
  <c r="F241"/>
  <c r="E241"/>
  <c r="B241"/>
  <c r="J240"/>
  <c r="K240" s="1"/>
  <c r="F240"/>
  <c r="E240"/>
  <c r="B240"/>
  <c r="J239"/>
  <c r="K239" s="1"/>
  <c r="F239"/>
  <c r="E239"/>
  <c r="B239"/>
  <c r="J238"/>
  <c r="K238" s="1"/>
  <c r="F238"/>
  <c r="E238"/>
  <c r="B238"/>
  <c r="J237"/>
  <c r="K237" s="1"/>
  <c r="F237"/>
  <c r="E237"/>
  <c r="B237"/>
  <c r="J236"/>
  <c r="K236" s="1"/>
  <c r="F236"/>
  <c r="E236"/>
  <c r="B236"/>
  <c r="J235"/>
  <c r="K235" s="1"/>
  <c r="F235"/>
  <c r="E235"/>
  <c r="B235"/>
  <c r="J234"/>
  <c r="K234" s="1"/>
  <c r="F234"/>
  <c r="E234"/>
  <c r="B234"/>
  <c r="J233"/>
  <c r="K233" s="1"/>
  <c r="F233"/>
  <c r="E233"/>
  <c r="B233"/>
  <c r="J232"/>
  <c r="K232" s="1"/>
  <c r="F232"/>
  <c r="E232"/>
  <c r="B232"/>
  <c r="J231"/>
  <c r="K231" s="1"/>
  <c r="F231"/>
  <c r="E231"/>
  <c r="B231"/>
  <c r="J230"/>
  <c r="K230" s="1"/>
  <c r="F230"/>
  <c r="E230"/>
  <c r="B230"/>
  <c r="J229"/>
  <c r="K229" s="1"/>
  <c r="F229"/>
  <c r="E229"/>
  <c r="B229"/>
  <c r="J228"/>
  <c r="K228" s="1"/>
  <c r="F228"/>
  <c r="E228"/>
  <c r="B228"/>
  <c r="J227"/>
  <c r="K227" s="1"/>
  <c r="F227"/>
  <c r="E227"/>
  <c r="B227"/>
  <c r="J226"/>
  <c r="K226" s="1"/>
  <c r="F226"/>
  <c r="E226"/>
  <c r="B226"/>
  <c r="J225"/>
  <c r="K225" s="1"/>
  <c r="F225"/>
  <c r="E225"/>
  <c r="B225"/>
  <c r="J224"/>
  <c r="K224" s="1"/>
  <c r="F224"/>
  <c r="E224"/>
  <c r="B224"/>
  <c r="J223"/>
  <c r="K223" s="1"/>
  <c r="F223"/>
  <c r="E223"/>
  <c r="B223"/>
  <c r="J222"/>
  <c r="K222" s="1"/>
  <c r="F222"/>
  <c r="E222"/>
  <c r="B222"/>
  <c r="J221"/>
  <c r="K221" s="1"/>
  <c r="F221"/>
  <c r="E221"/>
  <c r="B221"/>
  <c r="J220"/>
  <c r="K220" s="1"/>
  <c r="F220"/>
  <c r="E220"/>
  <c r="B220"/>
  <c r="J219"/>
  <c r="K219" s="1"/>
  <c r="F219"/>
  <c r="E219"/>
  <c r="B219"/>
  <c r="J218"/>
  <c r="K218" s="1"/>
  <c r="F218"/>
  <c r="E218"/>
  <c r="B218"/>
  <c r="J217"/>
  <c r="K217" s="1"/>
  <c r="F217"/>
  <c r="E217"/>
  <c r="B217"/>
  <c r="J216"/>
  <c r="K216" s="1"/>
  <c r="F216"/>
  <c r="E216"/>
  <c r="B216"/>
  <c r="J215"/>
  <c r="K215" s="1"/>
  <c r="F215"/>
  <c r="E215"/>
  <c r="B215"/>
  <c r="J214"/>
  <c r="K214" s="1"/>
  <c r="F214"/>
  <c r="E214"/>
  <c r="B214"/>
  <c r="J213"/>
  <c r="K213" s="1"/>
  <c r="F213"/>
  <c r="E213"/>
  <c r="B213"/>
  <c r="J212"/>
  <c r="K212" s="1"/>
  <c r="F212"/>
  <c r="E212"/>
  <c r="B212"/>
  <c r="J211"/>
  <c r="K211" s="1"/>
  <c r="F211"/>
  <c r="E211"/>
  <c r="B211"/>
  <c r="J210"/>
  <c r="K210" s="1"/>
  <c r="F210"/>
  <c r="E210"/>
  <c r="B210"/>
  <c r="J209"/>
  <c r="K209" s="1"/>
  <c r="F209"/>
  <c r="E209"/>
  <c r="B209"/>
  <c r="J208"/>
  <c r="K208" s="1"/>
  <c r="F208"/>
  <c r="E208"/>
  <c r="B208"/>
  <c r="J207"/>
  <c r="K207" s="1"/>
  <c r="F207"/>
  <c r="E207"/>
  <c r="B207"/>
  <c r="J206"/>
  <c r="K206" s="1"/>
  <c r="F206"/>
  <c r="E206"/>
  <c r="B206"/>
  <c r="J205"/>
  <c r="K205" s="1"/>
  <c r="F205"/>
  <c r="E205"/>
  <c r="B205"/>
  <c r="J204"/>
  <c r="K204" s="1"/>
  <c r="F204"/>
  <c r="E204"/>
  <c r="B204"/>
  <c r="J203"/>
  <c r="K203" s="1"/>
  <c r="F203"/>
  <c r="E203"/>
  <c r="B203"/>
  <c r="J202"/>
  <c r="K202" s="1"/>
  <c r="F202"/>
  <c r="E202"/>
  <c r="B202"/>
  <c r="J201"/>
  <c r="K201" s="1"/>
  <c r="F201"/>
  <c r="E201"/>
  <c r="B201"/>
  <c r="J200"/>
  <c r="K200" s="1"/>
  <c r="F200"/>
  <c r="E200"/>
  <c r="B200"/>
  <c r="J199"/>
  <c r="K199" s="1"/>
  <c r="F199"/>
  <c r="E199"/>
  <c r="B199"/>
  <c r="J198"/>
  <c r="K198" s="1"/>
  <c r="F198"/>
  <c r="E198"/>
  <c r="B198"/>
  <c r="J197"/>
  <c r="K197" s="1"/>
  <c r="F197"/>
  <c r="E197"/>
  <c r="B197"/>
  <c r="J196"/>
  <c r="K196" s="1"/>
  <c r="F196"/>
  <c r="E196"/>
  <c r="B196"/>
  <c r="J195"/>
  <c r="K195" s="1"/>
  <c r="F195"/>
  <c r="E195"/>
  <c r="B195"/>
  <c r="J194"/>
  <c r="K194" s="1"/>
  <c r="F194"/>
  <c r="E194"/>
  <c r="B194"/>
  <c r="J193"/>
  <c r="K193" s="1"/>
  <c r="F193"/>
  <c r="E193"/>
  <c r="B193"/>
  <c r="J192"/>
  <c r="K192" s="1"/>
  <c r="F192"/>
  <c r="E192"/>
  <c r="B192"/>
  <c r="J191"/>
  <c r="K191" s="1"/>
  <c r="F191"/>
  <c r="E191"/>
  <c r="B191"/>
  <c r="J190"/>
  <c r="K190" s="1"/>
  <c r="F190"/>
  <c r="E190"/>
  <c r="B190"/>
  <c r="J189"/>
  <c r="K189" s="1"/>
  <c r="F189"/>
  <c r="E189"/>
  <c r="B189"/>
  <c r="J188"/>
  <c r="K188" s="1"/>
  <c r="F188"/>
  <c r="E188"/>
  <c r="B188"/>
  <c r="J187"/>
  <c r="K187" s="1"/>
  <c r="F187"/>
  <c r="E187"/>
  <c r="B187"/>
  <c r="J186"/>
  <c r="K186" s="1"/>
  <c r="F186"/>
  <c r="E186"/>
  <c r="B186"/>
  <c r="J185"/>
  <c r="K185" s="1"/>
  <c r="F185"/>
  <c r="E185"/>
  <c r="B185"/>
  <c r="J184"/>
  <c r="K184" s="1"/>
  <c r="F184"/>
  <c r="E184"/>
  <c r="B184"/>
  <c r="J183"/>
  <c r="K183" s="1"/>
  <c r="F183"/>
  <c r="E183"/>
  <c r="B183"/>
  <c r="J182"/>
  <c r="K182" s="1"/>
  <c r="F182"/>
  <c r="E182"/>
  <c r="B182"/>
  <c r="J181"/>
  <c r="K181" s="1"/>
  <c r="F181"/>
  <c r="E181"/>
  <c r="B181"/>
  <c r="J180"/>
  <c r="K180" s="1"/>
  <c r="F180"/>
  <c r="E180"/>
  <c r="B180"/>
  <c r="J179"/>
  <c r="K179" s="1"/>
  <c r="F179"/>
  <c r="E179"/>
  <c r="B179"/>
  <c r="J178"/>
  <c r="K178" s="1"/>
  <c r="F178"/>
  <c r="E178"/>
  <c r="B178"/>
  <c r="J177"/>
  <c r="K177" s="1"/>
  <c r="F177"/>
  <c r="E177"/>
  <c r="B177"/>
  <c r="J176"/>
  <c r="K176" s="1"/>
  <c r="F176"/>
  <c r="E176"/>
  <c r="B176"/>
  <c r="J175"/>
  <c r="K175" s="1"/>
  <c r="F175"/>
  <c r="E175"/>
  <c r="B175"/>
  <c r="J174"/>
  <c r="K174" s="1"/>
  <c r="F174"/>
  <c r="E174"/>
  <c r="B174"/>
  <c r="K173"/>
  <c r="J173"/>
  <c r="F173"/>
  <c r="E173"/>
  <c r="B173"/>
  <c r="J172"/>
  <c r="K172" s="1"/>
  <c r="F172"/>
  <c r="E172"/>
  <c r="B172"/>
  <c r="J171"/>
  <c r="K171" s="1"/>
  <c r="F171"/>
  <c r="E171"/>
  <c r="B171"/>
  <c r="J170"/>
  <c r="K170" s="1"/>
  <c r="F170"/>
  <c r="E170"/>
  <c r="B170"/>
  <c r="J169"/>
  <c r="K169" s="1"/>
  <c r="F169"/>
  <c r="E169"/>
  <c r="B169"/>
  <c r="J168"/>
  <c r="K168" s="1"/>
  <c r="F168"/>
  <c r="E168"/>
  <c r="B168"/>
  <c r="J167"/>
  <c r="K167" s="1"/>
  <c r="F167"/>
  <c r="E167"/>
  <c r="B167"/>
  <c r="J166"/>
  <c r="K166" s="1"/>
  <c r="F166"/>
  <c r="E166"/>
  <c r="B166"/>
  <c r="J165"/>
  <c r="K165" s="1"/>
  <c r="F165"/>
  <c r="E165"/>
  <c r="B165"/>
  <c r="J164"/>
  <c r="K164" s="1"/>
  <c r="F164"/>
  <c r="E164"/>
  <c r="B164"/>
  <c r="J163"/>
  <c r="K163" s="1"/>
  <c r="F163"/>
  <c r="E163"/>
  <c r="B163"/>
  <c r="J162"/>
  <c r="K162" s="1"/>
  <c r="F162"/>
  <c r="E162"/>
  <c r="B162"/>
  <c r="J161"/>
  <c r="K161" s="1"/>
  <c r="F161"/>
  <c r="E161"/>
  <c r="B161"/>
  <c r="J160"/>
  <c r="K160" s="1"/>
  <c r="F160"/>
  <c r="E160"/>
  <c r="B160"/>
  <c r="J159"/>
  <c r="K159" s="1"/>
  <c r="F159"/>
  <c r="E159"/>
  <c r="B159"/>
  <c r="J158"/>
  <c r="K158" s="1"/>
  <c r="F158"/>
  <c r="E158"/>
  <c r="B158"/>
  <c r="J157"/>
  <c r="K157" s="1"/>
  <c r="F157"/>
  <c r="E157"/>
  <c r="B157"/>
  <c r="J156"/>
  <c r="K156" s="1"/>
  <c r="F156"/>
  <c r="E156"/>
  <c r="B156"/>
  <c r="J155"/>
  <c r="K155" s="1"/>
  <c r="F155"/>
  <c r="E155"/>
  <c r="B155"/>
  <c r="J154"/>
  <c r="K154" s="1"/>
  <c r="F154"/>
  <c r="E154"/>
  <c r="B154"/>
  <c r="J153"/>
  <c r="K153" s="1"/>
  <c r="F153"/>
  <c r="E153"/>
  <c r="B153"/>
  <c r="J152"/>
  <c r="K152" s="1"/>
  <c r="F152"/>
  <c r="E152"/>
  <c r="B152"/>
  <c r="J151"/>
  <c r="K151" s="1"/>
  <c r="F151"/>
  <c r="E151"/>
  <c r="B151"/>
  <c r="J150"/>
  <c r="K150" s="1"/>
  <c r="F150"/>
  <c r="E150"/>
  <c r="B150"/>
  <c r="J149"/>
  <c r="K149" s="1"/>
  <c r="F149"/>
  <c r="E149"/>
  <c r="B149"/>
  <c r="J148"/>
  <c r="K148" s="1"/>
  <c r="F148"/>
  <c r="E148"/>
  <c r="B148"/>
  <c r="J147"/>
  <c r="K147" s="1"/>
  <c r="F147"/>
  <c r="E147"/>
  <c r="B147"/>
  <c r="J146"/>
  <c r="K146" s="1"/>
  <c r="F146"/>
  <c r="E146"/>
  <c r="B146"/>
  <c r="J145"/>
  <c r="K145" s="1"/>
  <c r="F145"/>
  <c r="E145"/>
  <c r="B145"/>
  <c r="J144"/>
  <c r="K144" s="1"/>
  <c r="F144"/>
  <c r="E144"/>
  <c r="B144"/>
  <c r="J143"/>
  <c r="K143" s="1"/>
  <c r="F143"/>
  <c r="E143"/>
  <c r="B143"/>
  <c r="J142"/>
  <c r="K142" s="1"/>
  <c r="F142"/>
  <c r="E142"/>
  <c r="B142"/>
  <c r="J141"/>
  <c r="K141" s="1"/>
  <c r="F141"/>
  <c r="E141"/>
  <c r="B141"/>
  <c r="J140"/>
  <c r="K140" s="1"/>
  <c r="F140"/>
  <c r="E140"/>
  <c r="B140"/>
  <c r="J139"/>
  <c r="K139" s="1"/>
  <c r="F139"/>
  <c r="E139"/>
  <c r="B139"/>
  <c r="J138"/>
  <c r="K138" s="1"/>
  <c r="F138"/>
  <c r="E138"/>
  <c r="B138"/>
  <c r="J137"/>
  <c r="K137" s="1"/>
  <c r="F137"/>
  <c r="E137"/>
  <c r="B137"/>
  <c r="J136"/>
  <c r="K136" s="1"/>
  <c r="F136"/>
  <c r="E136"/>
  <c r="B136"/>
  <c r="J135"/>
  <c r="K135" s="1"/>
  <c r="F135"/>
  <c r="E135"/>
  <c r="B135"/>
  <c r="J134"/>
  <c r="K134" s="1"/>
  <c r="F134"/>
  <c r="E134"/>
  <c r="B134"/>
  <c r="J133"/>
  <c r="K133" s="1"/>
  <c r="F133"/>
  <c r="E133"/>
  <c r="B133"/>
  <c r="J132"/>
  <c r="K132" s="1"/>
  <c r="F132"/>
  <c r="E132"/>
  <c r="B132"/>
  <c r="J131"/>
  <c r="K131" s="1"/>
  <c r="F131"/>
  <c r="E131"/>
  <c r="B131"/>
  <c r="J130"/>
  <c r="K130" s="1"/>
  <c r="F130"/>
  <c r="E130"/>
  <c r="B130"/>
  <c r="J129"/>
  <c r="K129" s="1"/>
  <c r="F129"/>
  <c r="E129"/>
  <c r="B129"/>
  <c r="J128"/>
  <c r="K128" s="1"/>
  <c r="F128"/>
  <c r="E128"/>
  <c r="B128"/>
  <c r="J127"/>
  <c r="K127" s="1"/>
  <c r="F127"/>
  <c r="E127"/>
  <c r="B127"/>
  <c r="J126"/>
  <c r="K126" s="1"/>
  <c r="F126"/>
  <c r="E126"/>
  <c r="B126"/>
  <c r="J125"/>
  <c r="K125" s="1"/>
  <c r="F125"/>
  <c r="E125"/>
  <c r="B125"/>
  <c r="J124"/>
  <c r="K124" s="1"/>
  <c r="F124"/>
  <c r="E124"/>
  <c r="B124"/>
  <c r="J123"/>
  <c r="K123" s="1"/>
  <c r="F123"/>
  <c r="E123"/>
  <c r="B123"/>
  <c r="J122"/>
  <c r="K122" s="1"/>
  <c r="F122"/>
  <c r="E122"/>
  <c r="B122"/>
  <c r="J121"/>
  <c r="K121" s="1"/>
  <c r="F121"/>
  <c r="E121"/>
  <c r="B121"/>
  <c r="J120"/>
  <c r="K120" s="1"/>
  <c r="F120"/>
  <c r="E120"/>
  <c r="B120"/>
  <c r="J119"/>
  <c r="K119" s="1"/>
  <c r="F119"/>
  <c r="E119"/>
  <c r="B119"/>
  <c r="J118"/>
  <c r="K118" s="1"/>
  <c r="F118"/>
  <c r="E118"/>
  <c r="B118"/>
  <c r="J117"/>
  <c r="K117" s="1"/>
  <c r="F117"/>
  <c r="E117"/>
  <c r="B117"/>
  <c r="J116"/>
  <c r="K116" s="1"/>
  <c r="F116"/>
  <c r="E116"/>
  <c r="B116"/>
  <c r="J115"/>
  <c r="K115" s="1"/>
  <c r="F115"/>
  <c r="E115"/>
  <c r="B115"/>
  <c r="J114"/>
  <c r="K114" s="1"/>
  <c r="F114"/>
  <c r="E114"/>
  <c r="B114"/>
  <c r="J113"/>
  <c r="K113" s="1"/>
  <c r="F113"/>
  <c r="E113"/>
  <c r="B113"/>
  <c r="J112"/>
  <c r="K112" s="1"/>
  <c r="F112"/>
  <c r="E112"/>
  <c r="B112"/>
  <c r="J111"/>
  <c r="K111" s="1"/>
  <c r="F111"/>
  <c r="E111"/>
  <c r="B111"/>
  <c r="J110"/>
  <c r="K110" s="1"/>
  <c r="F110"/>
  <c r="E110"/>
  <c r="B110"/>
  <c r="J109"/>
  <c r="K109" s="1"/>
  <c r="F109"/>
  <c r="E109"/>
  <c r="B109"/>
  <c r="J108"/>
  <c r="K108" s="1"/>
  <c r="F108"/>
  <c r="E108"/>
  <c r="B108"/>
  <c r="J107"/>
  <c r="K107" s="1"/>
  <c r="F107"/>
  <c r="E107"/>
  <c r="B107"/>
  <c r="J106"/>
  <c r="K106" s="1"/>
  <c r="F106"/>
  <c r="E106"/>
  <c r="B106"/>
  <c r="J105"/>
  <c r="K105" s="1"/>
  <c r="F105"/>
  <c r="E105"/>
  <c r="B105"/>
  <c r="J104"/>
  <c r="K104" s="1"/>
  <c r="F104"/>
  <c r="E104"/>
  <c r="B104"/>
  <c r="J103"/>
  <c r="K103" s="1"/>
  <c r="F103"/>
  <c r="E103"/>
  <c r="B103"/>
  <c r="J102"/>
  <c r="K102" s="1"/>
  <c r="F102"/>
  <c r="E102"/>
  <c r="B102"/>
  <c r="J101"/>
  <c r="K101" s="1"/>
  <c r="F101"/>
  <c r="E101"/>
  <c r="B101"/>
  <c r="J100"/>
  <c r="K100" s="1"/>
  <c r="F100"/>
  <c r="E100"/>
  <c r="B100"/>
  <c r="J99"/>
  <c r="K99" s="1"/>
  <c r="F99"/>
  <c r="E99"/>
  <c r="B99"/>
  <c r="J98"/>
  <c r="K98" s="1"/>
  <c r="F98"/>
  <c r="E98"/>
  <c r="B98"/>
  <c r="J97"/>
  <c r="K97" s="1"/>
  <c r="F97"/>
  <c r="E97"/>
  <c r="B97"/>
  <c r="J96"/>
  <c r="K96" s="1"/>
  <c r="F96"/>
  <c r="E96"/>
  <c r="B96"/>
  <c r="J95"/>
  <c r="K95" s="1"/>
  <c r="F95"/>
  <c r="E95"/>
  <c r="B95"/>
  <c r="J94"/>
  <c r="K94" s="1"/>
  <c r="F94"/>
  <c r="E94"/>
  <c r="B94"/>
  <c r="J93"/>
  <c r="K93" s="1"/>
  <c r="F93"/>
  <c r="E93"/>
  <c r="B93"/>
  <c r="J92"/>
  <c r="K92" s="1"/>
  <c r="F92"/>
  <c r="E92"/>
  <c r="B92"/>
  <c r="J91"/>
  <c r="K91" s="1"/>
  <c r="F91"/>
  <c r="E91"/>
  <c r="B91"/>
  <c r="J90"/>
  <c r="K90" s="1"/>
  <c r="F90"/>
  <c r="E90"/>
  <c r="B90"/>
  <c r="J89"/>
  <c r="K89" s="1"/>
  <c r="F89"/>
  <c r="E89"/>
  <c r="B89"/>
  <c r="J88"/>
  <c r="K88" s="1"/>
  <c r="F88"/>
  <c r="E88"/>
  <c r="B88"/>
  <c r="J87"/>
  <c r="K87" s="1"/>
  <c r="F87"/>
  <c r="E87"/>
  <c r="B87"/>
  <c r="J86"/>
  <c r="K86" s="1"/>
  <c r="F86"/>
  <c r="E86"/>
  <c r="B86"/>
  <c r="J85"/>
  <c r="K85" s="1"/>
  <c r="F85"/>
  <c r="E85"/>
  <c r="B85"/>
  <c r="J84"/>
  <c r="K84" s="1"/>
  <c r="F84"/>
  <c r="E84"/>
  <c r="B84"/>
  <c r="J83"/>
  <c r="K83" s="1"/>
  <c r="F83"/>
  <c r="E83"/>
  <c r="B83"/>
  <c r="J82"/>
  <c r="K82" s="1"/>
  <c r="F82"/>
  <c r="E82"/>
  <c r="B82"/>
  <c r="J81"/>
  <c r="K81" s="1"/>
  <c r="F81"/>
  <c r="E81"/>
  <c r="B81"/>
  <c r="J80"/>
  <c r="K80" s="1"/>
  <c r="F80"/>
  <c r="E80"/>
  <c r="B80"/>
  <c r="J79"/>
  <c r="K79" s="1"/>
  <c r="F79"/>
  <c r="E79"/>
  <c r="B79"/>
  <c r="J78"/>
  <c r="K78" s="1"/>
  <c r="F78"/>
  <c r="E78"/>
  <c r="B78"/>
  <c r="J77"/>
  <c r="K77" s="1"/>
  <c r="F77"/>
  <c r="E77"/>
  <c r="B77"/>
  <c r="J76"/>
  <c r="K76" s="1"/>
  <c r="F76"/>
  <c r="E76"/>
  <c r="B76"/>
  <c r="J75"/>
  <c r="K75" s="1"/>
  <c r="F75"/>
  <c r="E75"/>
  <c r="B75"/>
  <c r="J74"/>
  <c r="K74" s="1"/>
  <c r="F74"/>
  <c r="E74"/>
  <c r="B74"/>
  <c r="J73"/>
  <c r="K73" s="1"/>
  <c r="F73"/>
  <c r="E73"/>
  <c r="B73"/>
  <c r="J72"/>
  <c r="K72" s="1"/>
  <c r="F72"/>
  <c r="E72"/>
  <c r="B72"/>
  <c r="J71"/>
  <c r="K71" s="1"/>
  <c r="F71"/>
  <c r="E71"/>
  <c r="B71"/>
  <c r="J70"/>
  <c r="K70" s="1"/>
  <c r="F70"/>
  <c r="E70"/>
  <c r="B70"/>
  <c r="J69"/>
  <c r="K69" s="1"/>
  <c r="F69"/>
  <c r="E69"/>
  <c r="B69"/>
  <c r="J68"/>
  <c r="K68" s="1"/>
  <c r="F68"/>
  <c r="E68"/>
  <c r="B68"/>
  <c r="J67"/>
  <c r="K67" s="1"/>
  <c r="F67"/>
  <c r="E67"/>
  <c r="B67"/>
  <c r="J66"/>
  <c r="K66" s="1"/>
  <c r="F66"/>
  <c r="E66"/>
  <c r="B66"/>
  <c r="J65"/>
  <c r="K65" s="1"/>
  <c r="F65"/>
  <c r="E65"/>
  <c r="B65"/>
  <c r="J64"/>
  <c r="K64" s="1"/>
  <c r="F64"/>
  <c r="E64"/>
  <c r="B64"/>
  <c r="J63"/>
  <c r="K63" s="1"/>
  <c r="F63"/>
  <c r="E63"/>
  <c r="B63"/>
  <c r="J62"/>
  <c r="K62" s="1"/>
  <c r="F62"/>
  <c r="E62"/>
  <c r="B62"/>
  <c r="J61"/>
  <c r="K61" s="1"/>
  <c r="F61"/>
  <c r="E61"/>
  <c r="B61"/>
  <c r="J60"/>
  <c r="K60" s="1"/>
  <c r="F60"/>
  <c r="E60"/>
  <c r="B60"/>
  <c r="J59"/>
  <c r="K59" s="1"/>
  <c r="F59"/>
  <c r="E59"/>
  <c r="B59"/>
  <c r="J58"/>
  <c r="K58" s="1"/>
  <c r="F58"/>
  <c r="E58"/>
  <c r="B58"/>
  <c r="J57"/>
  <c r="K57" s="1"/>
  <c r="F57"/>
  <c r="E57"/>
  <c r="B57"/>
  <c r="J56"/>
  <c r="K56" s="1"/>
  <c r="F56"/>
  <c r="E56"/>
  <c r="B56"/>
  <c r="J55"/>
  <c r="K55" s="1"/>
  <c r="F55"/>
  <c r="E55"/>
  <c r="B55"/>
  <c r="J54"/>
  <c r="K54" s="1"/>
  <c r="F54"/>
  <c r="E54"/>
  <c r="B54"/>
  <c r="J53"/>
  <c r="K53" s="1"/>
  <c r="F53"/>
  <c r="E53"/>
  <c r="B53"/>
  <c r="J52"/>
  <c r="K52" s="1"/>
  <c r="F52"/>
  <c r="E52"/>
  <c r="B52"/>
  <c r="J51"/>
  <c r="K51" s="1"/>
  <c r="F51"/>
  <c r="E51"/>
  <c r="B51"/>
  <c r="J50"/>
  <c r="K50" s="1"/>
  <c r="F50"/>
  <c r="E50"/>
  <c r="B50"/>
  <c r="J49"/>
  <c r="K49" s="1"/>
  <c r="F49"/>
  <c r="E49"/>
  <c r="B49"/>
  <c r="J48"/>
  <c r="K48" s="1"/>
  <c r="F48"/>
  <c r="E48"/>
  <c r="B48"/>
  <c r="J47"/>
  <c r="K47" s="1"/>
  <c r="F47"/>
  <c r="E47"/>
  <c r="B47"/>
  <c r="J46"/>
  <c r="K46" s="1"/>
  <c r="F46"/>
  <c r="E46"/>
  <c r="B46"/>
  <c r="J45"/>
  <c r="K45" s="1"/>
  <c r="F45"/>
  <c r="E45"/>
  <c r="B45"/>
  <c r="J44"/>
  <c r="K44" s="1"/>
  <c r="F44"/>
  <c r="E44"/>
  <c r="B44"/>
  <c r="J43"/>
  <c r="K43" s="1"/>
  <c r="F43"/>
  <c r="E43"/>
  <c r="B43"/>
  <c r="J42"/>
  <c r="K42" s="1"/>
  <c r="F42"/>
  <c r="E42"/>
  <c r="B42"/>
  <c r="J41"/>
  <c r="K41" s="1"/>
  <c r="F41"/>
  <c r="E41"/>
  <c r="B41"/>
  <c r="J40"/>
  <c r="K40" s="1"/>
  <c r="F40"/>
  <c r="E40"/>
  <c r="B40"/>
  <c r="J39"/>
  <c r="K39" s="1"/>
  <c r="F39"/>
  <c r="E39"/>
  <c r="B39"/>
  <c r="J38"/>
  <c r="K38" s="1"/>
  <c r="F38"/>
  <c r="E38"/>
  <c r="B38"/>
  <c r="J37"/>
  <c r="K37" s="1"/>
  <c r="F37"/>
  <c r="E37"/>
  <c r="B37"/>
  <c r="J36"/>
  <c r="K36" s="1"/>
  <c r="F36"/>
  <c r="E36"/>
  <c r="B36"/>
  <c r="J35"/>
  <c r="K35" s="1"/>
  <c r="F35"/>
  <c r="E35"/>
  <c r="B35"/>
  <c r="J34"/>
  <c r="K34" s="1"/>
  <c r="F34"/>
  <c r="E34"/>
  <c r="B34"/>
  <c r="J33"/>
  <c r="K33" s="1"/>
  <c r="F33"/>
  <c r="E33"/>
  <c r="B33"/>
  <c r="J32"/>
  <c r="K32" s="1"/>
  <c r="F32"/>
  <c r="E32"/>
  <c r="B32"/>
  <c r="J31"/>
  <c r="K31" s="1"/>
  <c r="F31"/>
  <c r="E31"/>
  <c r="B31"/>
  <c r="J30"/>
  <c r="K30" s="1"/>
  <c r="F30"/>
  <c r="E30"/>
  <c r="B30"/>
  <c r="J29"/>
  <c r="K29" s="1"/>
  <c r="F29"/>
  <c r="E29"/>
  <c r="B29"/>
  <c r="J28"/>
  <c r="K28" s="1"/>
  <c r="F28"/>
  <c r="E28"/>
  <c r="B28"/>
  <c r="J27"/>
  <c r="K27" s="1"/>
  <c r="F27"/>
  <c r="E27"/>
  <c r="B27"/>
  <c r="J26"/>
  <c r="K26" s="1"/>
  <c r="F26"/>
  <c r="E26"/>
  <c r="B26"/>
  <c r="J25"/>
  <c r="K25" s="1"/>
  <c r="F25"/>
  <c r="E25"/>
  <c r="B25"/>
  <c r="J24"/>
  <c r="K24" s="1"/>
  <c r="F24"/>
  <c r="E24"/>
  <c r="B24"/>
  <c r="J23"/>
  <c r="K23" s="1"/>
  <c r="F23"/>
  <c r="E23"/>
  <c r="B23"/>
  <c r="J22"/>
  <c r="K22" s="1"/>
  <c r="F22"/>
  <c r="E22"/>
  <c r="B22"/>
  <c r="J21"/>
  <c r="K21" s="1"/>
  <c r="F21"/>
  <c r="E21"/>
  <c r="B21"/>
  <c r="J20"/>
  <c r="K20" s="1"/>
  <c r="F20"/>
  <c r="E20"/>
  <c r="B20"/>
  <c r="J19"/>
  <c r="K19" s="1"/>
  <c r="F19"/>
  <c r="E19"/>
  <c r="B19"/>
  <c r="J18"/>
  <c r="K18" s="1"/>
  <c r="F18"/>
  <c r="E18"/>
  <c r="B18"/>
  <c r="J17"/>
  <c r="K17" s="1"/>
  <c r="F17"/>
  <c r="E17"/>
  <c r="B17"/>
  <c r="J16"/>
  <c r="K16" s="1"/>
  <c r="F16"/>
  <c r="E16"/>
  <c r="B16"/>
  <c r="J15"/>
  <c r="K15" s="1"/>
  <c r="F15"/>
  <c r="E15"/>
  <c r="B15"/>
  <c r="J14"/>
  <c r="K14" s="1"/>
  <c r="F14"/>
  <c r="E14"/>
  <c r="B14"/>
  <c r="J13"/>
  <c r="K13" s="1"/>
  <c r="F13"/>
  <c r="E13"/>
  <c r="B13"/>
  <c r="J12"/>
  <c r="K12" s="1"/>
  <c r="F12"/>
  <c r="E12"/>
  <c r="B12"/>
  <c r="J11"/>
  <c r="K11" s="1"/>
  <c r="F11"/>
  <c r="E11"/>
  <c r="B11"/>
  <c r="J10"/>
  <c r="K10" s="1"/>
  <c r="F10"/>
  <c r="E10"/>
  <c r="B10"/>
  <c r="J9"/>
  <c r="K9" s="1"/>
  <c r="F9"/>
  <c r="E9"/>
  <c r="B9"/>
  <c r="J8"/>
  <c r="K8" s="1"/>
  <c r="F8"/>
  <c r="E8"/>
  <c r="B8"/>
  <c r="J7"/>
  <c r="K7" s="1"/>
  <c r="F7"/>
  <c r="E7"/>
  <c r="B7"/>
  <c r="J6"/>
  <c r="K6" s="1"/>
  <c r="F6"/>
  <c r="E6"/>
  <c r="B6"/>
  <c r="J5"/>
  <c r="K5" s="1"/>
  <c r="F5"/>
  <c r="E5"/>
  <c r="B5"/>
  <c r="J4"/>
  <c r="K4" s="1"/>
  <c r="F4"/>
  <c r="E4"/>
  <c r="B4"/>
  <c r="J3"/>
  <c r="K3" s="1"/>
  <c r="F3"/>
  <c r="E3"/>
  <c r="B3"/>
</calcChain>
</file>

<file path=xl/sharedStrings.xml><?xml version="1.0" encoding="utf-8"?>
<sst xmlns="http://schemas.openxmlformats.org/spreadsheetml/2006/main" count="1068" uniqueCount="273">
  <si>
    <t>岗位代码</t>
  </si>
  <si>
    <t>岗位名称</t>
  </si>
  <si>
    <t>姓名</t>
  </si>
  <si>
    <t>准考证号</t>
  </si>
  <si>
    <t>职测成绩</t>
  </si>
  <si>
    <t>教综客观成绩</t>
  </si>
  <si>
    <t>教综主观成绩</t>
  </si>
  <si>
    <t>语文(城区1)</t>
  </si>
  <si>
    <t>小学</t>
  </si>
  <si>
    <t>41.2</t>
  </si>
  <si>
    <t>47.9</t>
  </si>
  <si>
    <t>48.7</t>
  </si>
  <si>
    <t>32.9</t>
  </si>
  <si>
    <t>46.8</t>
  </si>
  <si>
    <t>44.6</t>
  </si>
  <si>
    <t>50.7</t>
  </si>
  <si>
    <t>41</t>
  </si>
  <si>
    <t>34.4</t>
  </si>
  <si>
    <t>49.1</t>
  </si>
  <si>
    <t>42.8</t>
  </si>
  <si>
    <t>32</t>
  </si>
  <si>
    <t>47.8</t>
  </si>
  <si>
    <t>53.5</t>
  </si>
  <si>
    <t>55</t>
  </si>
  <si>
    <t>33.3</t>
  </si>
  <si>
    <t>33.8</t>
  </si>
  <si>
    <t>46.1</t>
  </si>
  <si>
    <t>44.1</t>
  </si>
  <si>
    <t>34.8</t>
  </si>
  <si>
    <t>51.9</t>
  </si>
  <si>
    <t>51.5</t>
  </si>
  <si>
    <t>38</t>
  </si>
  <si>
    <t>36</t>
  </si>
  <si>
    <t>58</t>
  </si>
  <si>
    <t>55.2</t>
  </si>
  <si>
    <t>37.8</t>
  </si>
  <si>
    <t>51.8</t>
  </si>
  <si>
    <t>56.1</t>
  </si>
  <si>
    <t>52.9</t>
  </si>
  <si>
    <t>48.8</t>
  </si>
  <si>
    <t>35.6</t>
  </si>
  <si>
    <t>49.9</t>
  </si>
  <si>
    <t>54.8</t>
  </si>
  <si>
    <t>34.9</t>
  </si>
  <si>
    <t>56.5</t>
  </si>
  <si>
    <t>57.8</t>
  </si>
  <si>
    <t>46.9</t>
  </si>
  <si>
    <t>39.3</t>
  </si>
  <si>
    <t>55.1</t>
  </si>
  <si>
    <t>35.5</t>
  </si>
  <si>
    <t>48.5</t>
  </si>
  <si>
    <t>38.1</t>
  </si>
  <si>
    <t>35.9</t>
  </si>
  <si>
    <t>57.5</t>
  </si>
  <si>
    <t>53.8</t>
  </si>
  <si>
    <t>33.2</t>
  </si>
  <si>
    <t>37</t>
  </si>
  <si>
    <t>42.9</t>
  </si>
  <si>
    <t>37.6</t>
  </si>
  <si>
    <t>40.9</t>
  </si>
  <si>
    <t>57.7</t>
  </si>
  <si>
    <t>37.7</t>
  </si>
  <si>
    <t>56.3</t>
  </si>
  <si>
    <t>33.9</t>
  </si>
  <si>
    <t>40.4</t>
  </si>
  <si>
    <t>59.4</t>
  </si>
  <si>
    <t>51.7</t>
  </si>
  <si>
    <t>50.1</t>
  </si>
  <si>
    <t>42</t>
  </si>
  <si>
    <t>56</t>
  </si>
  <si>
    <t>54.6</t>
  </si>
  <si>
    <t>36.7</t>
  </si>
  <si>
    <t>53.1</t>
  </si>
  <si>
    <t>39.2</t>
  </si>
  <si>
    <t>43.6</t>
  </si>
  <si>
    <t>70.1</t>
  </si>
  <si>
    <t>39.7</t>
  </si>
  <si>
    <t>52.7</t>
  </si>
  <si>
    <t>41.4</t>
  </si>
  <si>
    <t>36.9</t>
  </si>
  <si>
    <t>51.6</t>
  </si>
  <si>
    <t>41.8</t>
  </si>
  <si>
    <t>53.3</t>
  </si>
  <si>
    <t>58.1</t>
  </si>
  <si>
    <t>59.5</t>
  </si>
  <si>
    <t>65.8</t>
  </si>
  <si>
    <t>31.1</t>
  </si>
  <si>
    <t>38.8</t>
  </si>
  <si>
    <t>49</t>
  </si>
  <si>
    <t>59.6</t>
  </si>
  <si>
    <t>63.5</t>
  </si>
  <si>
    <t>35.1</t>
  </si>
  <si>
    <t>45.1</t>
  </si>
  <si>
    <t>50</t>
  </si>
  <si>
    <t>38.2</t>
  </si>
  <si>
    <t>39.9</t>
  </si>
  <si>
    <t>54.4</t>
  </si>
  <si>
    <t>59.8</t>
  </si>
  <si>
    <t>38.3</t>
  </si>
  <si>
    <t>53.2</t>
  </si>
  <si>
    <t>46.6</t>
  </si>
  <si>
    <t>62.1</t>
  </si>
  <si>
    <t>64.1</t>
  </si>
  <si>
    <t>36.6</t>
  </si>
  <si>
    <t>60.7</t>
  </si>
  <si>
    <t>43</t>
  </si>
  <si>
    <t>44.5</t>
  </si>
  <si>
    <t>62.4</t>
  </si>
  <si>
    <t>40</t>
  </si>
  <si>
    <t>63.8</t>
  </si>
  <si>
    <t>60.6</t>
  </si>
  <si>
    <t>41.3</t>
  </si>
  <si>
    <t>61.8</t>
  </si>
  <si>
    <t>57.6</t>
  </si>
  <si>
    <t>66.3</t>
  </si>
  <si>
    <t>62.3</t>
  </si>
  <si>
    <t>63.7</t>
  </si>
  <si>
    <t>58.2</t>
  </si>
  <si>
    <t>62.2</t>
  </si>
  <si>
    <t>61</t>
  </si>
  <si>
    <t>60.4</t>
  </si>
  <si>
    <t>67.4</t>
  </si>
  <si>
    <t>56.6</t>
  </si>
  <si>
    <t>49.5</t>
  </si>
  <si>
    <t>64.3</t>
  </si>
  <si>
    <t>44</t>
  </si>
  <si>
    <t>62.6</t>
  </si>
  <si>
    <t>65.2</t>
  </si>
  <si>
    <t>43.1</t>
  </si>
  <si>
    <t>64.4</t>
  </si>
  <si>
    <t>45.2</t>
  </si>
  <si>
    <t>65.9</t>
  </si>
  <si>
    <t>43.5</t>
  </si>
  <si>
    <t>66.8</t>
  </si>
  <si>
    <t>74.6</t>
  </si>
  <si>
    <t>66.6</t>
  </si>
  <si>
    <t>48.6</t>
  </si>
  <si>
    <t>语文(城区2)</t>
  </si>
  <si>
    <t>37.1</t>
  </si>
  <si>
    <t>42.6</t>
  </si>
  <si>
    <t>39.8</t>
  </si>
  <si>
    <t>37.2</t>
  </si>
  <si>
    <t>44.9</t>
  </si>
  <si>
    <t>40.3</t>
  </si>
  <si>
    <t>45.7</t>
  </si>
  <si>
    <t>46.7</t>
  </si>
  <si>
    <t>31.3</t>
  </si>
  <si>
    <t>34.5</t>
  </si>
  <si>
    <t>52</t>
  </si>
  <si>
    <t>49.2</t>
  </si>
  <si>
    <t>52.1</t>
  </si>
  <si>
    <t>31.2</t>
  </si>
  <si>
    <t>50.9</t>
  </si>
  <si>
    <t>45.8</t>
  </si>
  <si>
    <t>40.8</t>
  </si>
  <si>
    <t>35.8</t>
  </si>
  <si>
    <t>57.9</t>
  </si>
  <si>
    <t>54.7</t>
  </si>
  <si>
    <t>56.7</t>
  </si>
  <si>
    <t>42.5</t>
  </si>
  <si>
    <t>59</t>
  </si>
  <si>
    <t>64</t>
  </si>
  <si>
    <t>40.5</t>
  </si>
  <si>
    <t>36.5</t>
  </si>
  <si>
    <t>41.5</t>
  </si>
  <si>
    <t>53.7</t>
  </si>
  <si>
    <t>59.3</t>
  </si>
  <si>
    <t>35</t>
  </si>
  <si>
    <t>54</t>
  </si>
  <si>
    <t>44.2</t>
  </si>
  <si>
    <t>59.7</t>
  </si>
  <si>
    <t>64.9</t>
  </si>
  <si>
    <t>66.5</t>
  </si>
  <si>
    <t>67</t>
  </si>
  <si>
    <t>62</t>
  </si>
  <si>
    <t>60.2</t>
  </si>
  <si>
    <t>68.4</t>
  </si>
  <si>
    <t>62.5</t>
  </si>
  <si>
    <t>65.4</t>
  </si>
  <si>
    <t>语文(乡村1)</t>
  </si>
  <si>
    <t>41.1</t>
  </si>
  <si>
    <t>28.6</t>
  </si>
  <si>
    <t>55.3</t>
  </si>
  <si>
    <t>47.2</t>
  </si>
  <si>
    <t>37.5</t>
  </si>
  <si>
    <t>52.2</t>
  </si>
  <si>
    <t>53</t>
  </si>
  <si>
    <t>48.4</t>
  </si>
  <si>
    <t>53.6</t>
  </si>
  <si>
    <t>51.1</t>
  </si>
  <si>
    <t>61.2</t>
  </si>
  <si>
    <t>59.2</t>
  </si>
  <si>
    <t>38.5</t>
  </si>
  <si>
    <t>38.6</t>
  </si>
  <si>
    <t>61.3</t>
  </si>
  <si>
    <t>39.5</t>
  </si>
  <si>
    <t>47</t>
  </si>
  <si>
    <t>62.8</t>
  </si>
  <si>
    <t>58.3</t>
  </si>
  <si>
    <t>48</t>
  </si>
  <si>
    <t>77.5</t>
  </si>
  <si>
    <t>语文(乡村2)</t>
  </si>
  <si>
    <t>32.4</t>
  </si>
  <si>
    <t>47.5</t>
  </si>
  <si>
    <t>34</t>
  </si>
  <si>
    <t>58.9</t>
  </si>
  <si>
    <t>36.1</t>
  </si>
  <si>
    <t>60.1</t>
  </si>
  <si>
    <t>60.8</t>
  </si>
  <si>
    <t>58.5</t>
  </si>
  <si>
    <t>61.5</t>
  </si>
  <si>
    <t>41.9</t>
  </si>
  <si>
    <t>63.9</t>
  </si>
  <si>
    <t>69.5</t>
  </si>
  <si>
    <t>63.6</t>
  </si>
  <si>
    <t>73.1</t>
  </si>
  <si>
    <t>数学(城区)</t>
  </si>
  <si>
    <t>60.9</t>
  </si>
  <si>
    <t>57.4</t>
  </si>
  <si>
    <t>42.4</t>
  </si>
  <si>
    <t>54.9</t>
  </si>
  <si>
    <t>44.8</t>
  </si>
  <si>
    <t>45.6</t>
  </si>
  <si>
    <t>65.1</t>
  </si>
  <si>
    <t>71</t>
  </si>
  <si>
    <t>63.3</t>
  </si>
  <si>
    <t>63.2</t>
  </si>
  <si>
    <t>42.2</t>
  </si>
  <si>
    <t>70.9</t>
  </si>
  <si>
    <t>68</t>
  </si>
  <si>
    <t>66.9</t>
  </si>
  <si>
    <t>45.3</t>
  </si>
  <si>
    <t>74.7</t>
  </si>
  <si>
    <t>70.4</t>
  </si>
  <si>
    <t>70.5</t>
  </si>
  <si>
    <t>70</t>
  </si>
  <si>
    <t>71.6</t>
  </si>
  <si>
    <t>75.9</t>
  </si>
  <si>
    <t>75.2</t>
  </si>
  <si>
    <t>数学(乡村)</t>
  </si>
  <si>
    <t>61.1</t>
  </si>
  <si>
    <t>64.2</t>
  </si>
  <si>
    <t>55.7</t>
  </si>
  <si>
    <t>64.6</t>
  </si>
  <si>
    <t>63.1</t>
  </si>
  <si>
    <t>67.1</t>
  </si>
  <si>
    <t>68.8</t>
  </si>
  <si>
    <t>67.3</t>
  </si>
  <si>
    <t>69.8</t>
  </si>
  <si>
    <t>78.2</t>
  </si>
  <si>
    <t>体育</t>
  </si>
  <si>
    <t>信息</t>
  </si>
  <si>
    <t>音乐</t>
  </si>
  <si>
    <t>美术</t>
  </si>
  <si>
    <t>61.9</t>
  </si>
  <si>
    <t>78.8</t>
  </si>
  <si>
    <t>初中</t>
  </si>
  <si>
    <t>数学</t>
  </si>
  <si>
    <t>65.5</t>
  </si>
  <si>
    <t>73.2</t>
  </si>
  <si>
    <t>英语</t>
  </si>
  <si>
    <t>65.6</t>
  </si>
  <si>
    <t>74</t>
  </si>
  <si>
    <t>地理</t>
  </si>
  <si>
    <t>物理</t>
  </si>
  <si>
    <t>69</t>
  </si>
  <si>
    <t>79</t>
  </si>
  <si>
    <t>道德法治</t>
  </si>
  <si>
    <t>招聘单位</t>
    <phoneticPr fontId="1" type="noConversion"/>
  </si>
  <si>
    <t>濉溪县2021年公开招聘非在编中小学教学人员面试考生名单</t>
    <phoneticPr fontId="1" type="noConversion"/>
  </si>
  <si>
    <t>笔试合
成成绩</t>
    <phoneticPr fontId="1" type="noConversion"/>
  </si>
  <si>
    <t>笔试总分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</si>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</sst>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_3674_6201c38d052b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6"/>
  <sheetViews>
    <sheetView tabSelected="1" workbookViewId="0">
      <selection activeCell="A2" sqref="A2:B2"/>
    </sheetView>
  </sheetViews>
  <sheetFormatPr defaultRowHeight="13.5"/>
  <cols>
    <col min="1" max="1" width="4.875" customWidth="1"/>
    <col min="2" max="2" width="5.875" customWidth="1"/>
    <col min="3" max="3" width="11" style="3" customWidth="1"/>
    <col min="4" max="4" width="7.375" style="3" customWidth="1"/>
    <col min="5" max="5" width="9" style="3"/>
    <col min="6" max="6" width="12" style="3" customWidth="1"/>
    <col min="7" max="7" width="8.125" style="3" customWidth="1"/>
    <col min="8" max="8" width="8" style="3" customWidth="1"/>
    <col min="9" max="9" width="6.875" style="3" customWidth="1"/>
    <col min="10" max="10" width="9" style="3"/>
    <col min="11" max="11" width="11.75" style="3" customWidth="1"/>
  </cols>
  <sheetData>
    <row r="1" spans="1:11" ht="42" customHeight="1">
      <c r="A1" s="11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8.25" customHeight="1">
      <c r="A2" s="12" t="s">
        <v>272</v>
      </c>
      <c r="B2" s="6" t="s">
        <v>0</v>
      </c>
      <c r="C2" s="6" t="s">
        <v>1</v>
      </c>
      <c r="D2" s="6" t="s">
        <v>268</v>
      </c>
      <c r="E2" s="6" t="s">
        <v>2</v>
      </c>
      <c r="F2" s="6" t="s">
        <v>3</v>
      </c>
      <c r="G2" s="7" t="s">
        <v>4</v>
      </c>
      <c r="H2" s="7" t="s">
        <v>5</v>
      </c>
      <c r="I2" s="6" t="s">
        <v>6</v>
      </c>
      <c r="J2" s="6" t="s">
        <v>271</v>
      </c>
      <c r="K2" s="5" t="s">
        <v>270</v>
      </c>
    </row>
    <row r="3" spans="1:11">
      <c r="A3" s="4">
        <v>1</v>
      </c>
      <c r="B3" s="1" t="str">
        <f t="shared" ref="B3:B32" si="0">"101"</f>
        <v>101</v>
      </c>
      <c r="C3" s="1" t="s">
        <v>7</v>
      </c>
      <c r="D3" s="1" t="s">
        <v>8</v>
      </c>
      <c r="E3" s="1" t="str">
        <f>"刘茹梦"</f>
        <v>刘茹梦</v>
      </c>
      <c r="F3" s="1" t="str">
        <f>"2022024321"</f>
        <v>2022024321</v>
      </c>
      <c r="G3" s="2" t="s">
        <v>135</v>
      </c>
      <c r="H3" s="2" t="s">
        <v>136</v>
      </c>
      <c r="I3" s="1">
        <v>29</v>
      </c>
      <c r="J3" s="1">
        <f t="shared" ref="J3:J66" si="1">G3+H3+I3</f>
        <v>144.19999999999999</v>
      </c>
      <c r="K3" s="4">
        <f>J3/2</f>
        <v>72.099999999999994</v>
      </c>
    </row>
    <row r="4" spans="1:11">
      <c r="A4" s="4">
        <v>2</v>
      </c>
      <c r="B4" s="1" t="str">
        <f t="shared" si="0"/>
        <v>101</v>
      </c>
      <c r="C4" s="1" t="s">
        <v>7</v>
      </c>
      <c r="D4" s="1" t="s">
        <v>8</v>
      </c>
      <c r="E4" s="1" t="str">
        <f>"张婧"</f>
        <v>张婧</v>
      </c>
      <c r="F4" s="1" t="str">
        <f>"2022023830"</f>
        <v>2022023830</v>
      </c>
      <c r="G4" s="2" t="s">
        <v>90</v>
      </c>
      <c r="H4" s="2" t="s">
        <v>18</v>
      </c>
      <c r="I4" s="1">
        <v>29</v>
      </c>
      <c r="J4" s="1">
        <f t="shared" si="1"/>
        <v>141.6</v>
      </c>
      <c r="K4" s="4">
        <f t="shared" ref="K4:K32" si="2">J4/2</f>
        <v>70.8</v>
      </c>
    </row>
    <row r="5" spans="1:11">
      <c r="A5" s="4">
        <v>3</v>
      </c>
      <c r="B5" s="1" t="str">
        <f t="shared" si="0"/>
        <v>101</v>
      </c>
      <c r="C5" s="1" t="s">
        <v>7</v>
      </c>
      <c r="D5" s="1" t="s">
        <v>8</v>
      </c>
      <c r="E5" s="1" t="str">
        <f>"朱志强"</f>
        <v>朱志强</v>
      </c>
      <c r="F5" s="1" t="str">
        <f>"2022024316"</f>
        <v>2022024316</v>
      </c>
      <c r="G5" s="2" t="s">
        <v>134</v>
      </c>
      <c r="H5" s="2" t="s">
        <v>95</v>
      </c>
      <c r="I5" s="1">
        <v>26</v>
      </c>
      <c r="J5" s="1">
        <f t="shared" si="1"/>
        <v>140.5</v>
      </c>
      <c r="K5" s="4">
        <f t="shared" si="2"/>
        <v>70.25</v>
      </c>
    </row>
    <row r="6" spans="1:11">
      <c r="A6" s="4">
        <v>4</v>
      </c>
      <c r="B6" s="1" t="str">
        <f t="shared" si="0"/>
        <v>101</v>
      </c>
      <c r="C6" s="1" t="s">
        <v>7</v>
      </c>
      <c r="D6" s="1" t="s">
        <v>8</v>
      </c>
      <c r="E6" s="1" t="str">
        <f>"王溪溪"</f>
        <v>王溪溪</v>
      </c>
      <c r="F6" s="1" t="str">
        <f>"2022023010"</f>
        <v>2022023010</v>
      </c>
      <c r="G6" s="2" t="s">
        <v>133</v>
      </c>
      <c r="H6" s="2" t="s">
        <v>19</v>
      </c>
      <c r="I6" s="1">
        <v>30</v>
      </c>
      <c r="J6" s="1">
        <f t="shared" si="1"/>
        <v>139.6</v>
      </c>
      <c r="K6" s="4">
        <f t="shared" si="2"/>
        <v>69.8</v>
      </c>
    </row>
    <row r="7" spans="1:11">
      <c r="A7" s="4">
        <v>5</v>
      </c>
      <c r="B7" s="1" t="str">
        <f t="shared" si="0"/>
        <v>101</v>
      </c>
      <c r="C7" s="1" t="s">
        <v>7</v>
      </c>
      <c r="D7" s="1" t="s">
        <v>8</v>
      </c>
      <c r="E7" s="1" t="str">
        <f>"王柯利"</f>
        <v>王柯利</v>
      </c>
      <c r="F7" s="1" t="str">
        <f>"2022023815"</f>
        <v>2022023815</v>
      </c>
      <c r="G7" s="2" t="s">
        <v>131</v>
      </c>
      <c r="H7" s="2" t="s">
        <v>132</v>
      </c>
      <c r="I7" s="1">
        <v>30</v>
      </c>
      <c r="J7" s="1">
        <f t="shared" si="1"/>
        <v>139.4</v>
      </c>
      <c r="K7" s="4">
        <f t="shared" si="2"/>
        <v>69.7</v>
      </c>
    </row>
    <row r="8" spans="1:11">
      <c r="A8" s="4">
        <v>6</v>
      </c>
      <c r="B8" s="1" t="str">
        <f t="shared" si="0"/>
        <v>101</v>
      </c>
      <c r="C8" s="1" t="s">
        <v>7</v>
      </c>
      <c r="D8" s="1" t="s">
        <v>8</v>
      </c>
      <c r="E8" s="1" t="str">
        <f>"梁倩"</f>
        <v>梁倩</v>
      </c>
      <c r="F8" s="1" t="str">
        <f>"2022020306"</f>
        <v>2022020306</v>
      </c>
      <c r="G8" s="2" t="s">
        <v>129</v>
      </c>
      <c r="H8" s="2" t="s">
        <v>130</v>
      </c>
      <c r="I8" s="1">
        <v>29</v>
      </c>
      <c r="J8" s="1">
        <f t="shared" si="1"/>
        <v>138.60000000000002</v>
      </c>
      <c r="K8" s="4">
        <f t="shared" si="2"/>
        <v>69.300000000000011</v>
      </c>
    </row>
    <row r="9" spans="1:11">
      <c r="A9" s="4">
        <v>7</v>
      </c>
      <c r="B9" s="1" t="str">
        <f t="shared" si="0"/>
        <v>101</v>
      </c>
      <c r="C9" s="1" t="s">
        <v>7</v>
      </c>
      <c r="D9" s="1" t="s">
        <v>8</v>
      </c>
      <c r="E9" s="1" t="str">
        <f>"孟文静"</f>
        <v>孟文静</v>
      </c>
      <c r="F9" s="1" t="str">
        <f>"2022022011"</f>
        <v>2022022011</v>
      </c>
      <c r="G9" s="2" t="s">
        <v>127</v>
      </c>
      <c r="H9" s="2" t="s">
        <v>128</v>
      </c>
      <c r="I9" s="1">
        <v>30</v>
      </c>
      <c r="J9" s="1">
        <f t="shared" si="1"/>
        <v>138.30000000000001</v>
      </c>
      <c r="K9" s="4">
        <f t="shared" si="2"/>
        <v>69.150000000000006</v>
      </c>
    </row>
    <row r="10" spans="1:11">
      <c r="A10" s="4">
        <v>8</v>
      </c>
      <c r="B10" s="1" t="str">
        <f t="shared" si="0"/>
        <v>101</v>
      </c>
      <c r="C10" s="1" t="s">
        <v>7</v>
      </c>
      <c r="D10" s="1" t="s">
        <v>8</v>
      </c>
      <c r="E10" s="1" t="str">
        <f>"万梓琳"</f>
        <v>万梓琳</v>
      </c>
      <c r="F10" s="1" t="str">
        <f>"2022020225"</f>
        <v>2022020225</v>
      </c>
      <c r="G10" s="2" t="s">
        <v>126</v>
      </c>
      <c r="H10" s="2" t="s">
        <v>106</v>
      </c>
      <c r="I10" s="1">
        <v>30</v>
      </c>
      <c r="J10" s="1">
        <f t="shared" si="1"/>
        <v>137.1</v>
      </c>
      <c r="K10" s="4">
        <f t="shared" si="2"/>
        <v>68.55</v>
      </c>
    </row>
    <row r="11" spans="1:11">
      <c r="A11" s="4">
        <v>9</v>
      </c>
      <c r="B11" s="1" t="str">
        <f t="shared" si="0"/>
        <v>101</v>
      </c>
      <c r="C11" s="1" t="s">
        <v>7</v>
      </c>
      <c r="D11" s="1" t="s">
        <v>8</v>
      </c>
      <c r="E11" s="1" t="str">
        <f>"蒋丽茹"</f>
        <v>蒋丽茹</v>
      </c>
      <c r="F11" s="1" t="str">
        <f>"2022020303"</f>
        <v>2022020303</v>
      </c>
      <c r="G11" s="2" t="s">
        <v>124</v>
      </c>
      <c r="H11" s="2" t="s">
        <v>125</v>
      </c>
      <c r="I11" s="1">
        <v>28</v>
      </c>
      <c r="J11" s="1">
        <f t="shared" si="1"/>
        <v>136.30000000000001</v>
      </c>
      <c r="K11" s="4">
        <f t="shared" si="2"/>
        <v>68.150000000000006</v>
      </c>
    </row>
    <row r="12" spans="1:11">
      <c r="A12" s="4">
        <v>10</v>
      </c>
      <c r="B12" s="1" t="str">
        <f t="shared" si="0"/>
        <v>101</v>
      </c>
      <c r="C12" s="1" t="s">
        <v>7</v>
      </c>
      <c r="D12" s="1" t="s">
        <v>8</v>
      </c>
      <c r="E12" s="1" t="str">
        <f>"单青"</f>
        <v>单青</v>
      </c>
      <c r="F12" s="1" t="str">
        <f>"2022020326"</f>
        <v>2022020326</v>
      </c>
      <c r="G12" s="2" t="s">
        <v>122</v>
      </c>
      <c r="H12" s="2" t="s">
        <v>123</v>
      </c>
      <c r="I12" s="1">
        <v>30</v>
      </c>
      <c r="J12" s="1">
        <f t="shared" si="1"/>
        <v>136.1</v>
      </c>
      <c r="K12" s="4">
        <f t="shared" si="2"/>
        <v>68.05</v>
      </c>
    </row>
    <row r="13" spans="1:11">
      <c r="A13" s="4">
        <v>11</v>
      </c>
      <c r="B13" s="1" t="str">
        <f t="shared" si="0"/>
        <v>101</v>
      </c>
      <c r="C13" s="1" t="s">
        <v>7</v>
      </c>
      <c r="D13" s="1" t="s">
        <v>8</v>
      </c>
      <c r="E13" s="1" t="str">
        <f>"惠梓"</f>
        <v>惠梓</v>
      </c>
      <c r="F13" s="1" t="str">
        <f>"2022022313"</f>
        <v>2022022313</v>
      </c>
      <c r="G13" s="2" t="s">
        <v>121</v>
      </c>
      <c r="H13" s="2" t="s">
        <v>51</v>
      </c>
      <c r="I13" s="1">
        <v>30</v>
      </c>
      <c r="J13" s="1">
        <f t="shared" si="1"/>
        <v>135.5</v>
      </c>
      <c r="K13" s="4">
        <f t="shared" si="2"/>
        <v>67.75</v>
      </c>
    </row>
    <row r="14" spans="1:11">
      <c r="A14" s="4">
        <v>12</v>
      </c>
      <c r="B14" s="1" t="str">
        <f t="shared" si="0"/>
        <v>101</v>
      </c>
      <c r="C14" s="1" t="s">
        <v>7</v>
      </c>
      <c r="D14" s="1" t="s">
        <v>8</v>
      </c>
      <c r="E14" s="1" t="str">
        <f>"王莉丽"</f>
        <v>王莉丽</v>
      </c>
      <c r="F14" s="1" t="str">
        <f>"2022022502"</f>
        <v>2022022502</v>
      </c>
      <c r="G14" s="2" t="s">
        <v>120</v>
      </c>
      <c r="H14" s="2" t="s">
        <v>14</v>
      </c>
      <c r="I14" s="1">
        <v>30</v>
      </c>
      <c r="J14" s="1">
        <f t="shared" si="1"/>
        <v>135</v>
      </c>
      <c r="K14" s="4">
        <f t="shared" si="2"/>
        <v>67.5</v>
      </c>
    </row>
    <row r="15" spans="1:11">
      <c r="A15" s="4">
        <v>13</v>
      </c>
      <c r="B15" s="1" t="str">
        <f t="shared" si="0"/>
        <v>101</v>
      </c>
      <c r="C15" s="1" t="s">
        <v>7</v>
      </c>
      <c r="D15" s="1" t="s">
        <v>8</v>
      </c>
      <c r="E15" s="1" t="str">
        <f>"刘楠楠"</f>
        <v>刘楠楠</v>
      </c>
      <c r="F15" s="1" t="str">
        <f>"2022021623"</f>
        <v>2022021623</v>
      </c>
      <c r="G15" s="2" t="s">
        <v>118</v>
      </c>
      <c r="H15" s="2" t="s">
        <v>81</v>
      </c>
      <c r="I15" s="1">
        <v>30</v>
      </c>
      <c r="J15" s="1">
        <f t="shared" si="1"/>
        <v>134</v>
      </c>
      <c r="K15" s="4">
        <f t="shared" si="2"/>
        <v>67</v>
      </c>
    </row>
    <row r="16" spans="1:11">
      <c r="A16" s="4">
        <v>14</v>
      </c>
      <c r="B16" s="1" t="str">
        <f t="shared" si="0"/>
        <v>101</v>
      </c>
      <c r="C16" s="1" t="s">
        <v>7</v>
      </c>
      <c r="D16" s="1" t="s">
        <v>8</v>
      </c>
      <c r="E16" s="1" t="str">
        <f>"陈敏"</f>
        <v>陈敏</v>
      </c>
      <c r="F16" s="1" t="str">
        <f>"2022022111"</f>
        <v>2022022111</v>
      </c>
      <c r="G16" s="2" t="s">
        <v>119</v>
      </c>
      <c r="H16" s="2" t="s">
        <v>105</v>
      </c>
      <c r="I16" s="1">
        <v>30</v>
      </c>
      <c r="J16" s="1">
        <f t="shared" si="1"/>
        <v>134</v>
      </c>
      <c r="K16" s="4">
        <f t="shared" si="2"/>
        <v>67</v>
      </c>
    </row>
    <row r="17" spans="1:11">
      <c r="A17" s="4">
        <v>15</v>
      </c>
      <c r="B17" s="1" t="str">
        <f t="shared" si="0"/>
        <v>101</v>
      </c>
      <c r="C17" s="1" t="s">
        <v>7</v>
      </c>
      <c r="D17" s="1" t="s">
        <v>8</v>
      </c>
      <c r="E17" s="1" t="str">
        <f>"刘丽芳"</f>
        <v>刘丽芳</v>
      </c>
      <c r="F17" s="1" t="str">
        <f>"2022020922"</f>
        <v>2022020922</v>
      </c>
      <c r="G17" s="2" t="s">
        <v>117</v>
      </c>
      <c r="H17" s="2" t="s">
        <v>92</v>
      </c>
      <c r="I17" s="1">
        <v>30</v>
      </c>
      <c r="J17" s="1">
        <f t="shared" si="1"/>
        <v>133.30000000000001</v>
      </c>
      <c r="K17" s="4">
        <f t="shared" si="2"/>
        <v>66.650000000000006</v>
      </c>
    </row>
    <row r="18" spans="1:11">
      <c r="A18" s="4">
        <v>16</v>
      </c>
      <c r="B18" s="1" t="str">
        <f t="shared" si="0"/>
        <v>101</v>
      </c>
      <c r="C18" s="1" t="s">
        <v>7</v>
      </c>
      <c r="D18" s="1" t="s">
        <v>8</v>
      </c>
      <c r="E18" s="1" t="str">
        <f>"黄知音"</f>
        <v>黄知音</v>
      </c>
      <c r="F18" s="1" t="str">
        <f>"2022022914"</f>
        <v>2022022914</v>
      </c>
      <c r="G18" s="2" t="s">
        <v>62</v>
      </c>
      <c r="H18" s="2" t="s">
        <v>13</v>
      </c>
      <c r="I18" s="1">
        <v>30</v>
      </c>
      <c r="J18" s="1">
        <f t="shared" si="1"/>
        <v>133.1</v>
      </c>
      <c r="K18" s="4">
        <f t="shared" si="2"/>
        <v>66.55</v>
      </c>
    </row>
    <row r="19" spans="1:11">
      <c r="A19" s="4">
        <v>17</v>
      </c>
      <c r="B19" s="1" t="str">
        <f t="shared" si="0"/>
        <v>101</v>
      </c>
      <c r="C19" s="1" t="s">
        <v>7</v>
      </c>
      <c r="D19" s="1" t="s">
        <v>8</v>
      </c>
      <c r="E19" s="1" t="str">
        <f>"李丹"</f>
        <v>李丹</v>
      </c>
      <c r="F19" s="1" t="str">
        <f>"2022024003"</f>
        <v>2022024003</v>
      </c>
      <c r="G19" s="2" t="s">
        <v>116</v>
      </c>
      <c r="H19" s="2" t="s">
        <v>78</v>
      </c>
      <c r="I19" s="1">
        <v>28</v>
      </c>
      <c r="J19" s="1">
        <f t="shared" si="1"/>
        <v>133.1</v>
      </c>
      <c r="K19" s="4">
        <f t="shared" si="2"/>
        <v>66.55</v>
      </c>
    </row>
    <row r="20" spans="1:11">
      <c r="A20" s="4">
        <v>18</v>
      </c>
      <c r="B20" s="1" t="str">
        <f t="shared" si="0"/>
        <v>101</v>
      </c>
      <c r="C20" s="1" t="s">
        <v>7</v>
      </c>
      <c r="D20" s="1" t="s">
        <v>8</v>
      </c>
      <c r="E20" s="1" t="str">
        <f>"吴凡"</f>
        <v>吴凡</v>
      </c>
      <c r="F20" s="1" t="str">
        <f>"2022021202"</f>
        <v>2022021202</v>
      </c>
      <c r="G20" s="2" t="s">
        <v>115</v>
      </c>
      <c r="H20" s="2" t="s">
        <v>74</v>
      </c>
      <c r="I20" s="1">
        <v>27</v>
      </c>
      <c r="J20" s="1">
        <f t="shared" si="1"/>
        <v>132.9</v>
      </c>
      <c r="K20" s="4">
        <f t="shared" si="2"/>
        <v>66.45</v>
      </c>
    </row>
    <row r="21" spans="1:11">
      <c r="A21" s="4">
        <v>19</v>
      </c>
      <c r="B21" s="1" t="str">
        <f t="shared" si="0"/>
        <v>101</v>
      </c>
      <c r="C21" s="1" t="s">
        <v>7</v>
      </c>
      <c r="D21" s="1" t="s">
        <v>8</v>
      </c>
      <c r="E21" s="1" t="str">
        <f>"张雨若"</f>
        <v>张雨若</v>
      </c>
      <c r="F21" s="1" t="str">
        <f>"2022023303"</f>
        <v>2022023303</v>
      </c>
      <c r="G21" s="2" t="s">
        <v>114</v>
      </c>
      <c r="H21" s="2" t="s">
        <v>32</v>
      </c>
      <c r="I21" s="1">
        <v>30</v>
      </c>
      <c r="J21" s="1">
        <f t="shared" si="1"/>
        <v>132.30000000000001</v>
      </c>
      <c r="K21" s="4">
        <f t="shared" si="2"/>
        <v>66.150000000000006</v>
      </c>
    </row>
    <row r="22" spans="1:11">
      <c r="A22" s="4">
        <v>20</v>
      </c>
      <c r="B22" s="1" t="str">
        <f t="shared" si="0"/>
        <v>101</v>
      </c>
      <c r="C22" s="1" t="s">
        <v>7</v>
      </c>
      <c r="D22" s="1" t="s">
        <v>8</v>
      </c>
      <c r="E22" s="1" t="str">
        <f>"马萌萌"</f>
        <v>马萌萌</v>
      </c>
      <c r="F22" s="1" t="str">
        <f>"2022021308"</f>
        <v>2022021308</v>
      </c>
      <c r="G22" s="2" t="s">
        <v>113</v>
      </c>
      <c r="H22" s="2" t="s">
        <v>106</v>
      </c>
      <c r="I22" s="1">
        <v>30</v>
      </c>
      <c r="J22" s="1">
        <f t="shared" si="1"/>
        <v>132.1</v>
      </c>
      <c r="K22" s="4">
        <f t="shared" si="2"/>
        <v>66.05</v>
      </c>
    </row>
    <row r="23" spans="1:11">
      <c r="A23" s="4">
        <v>21</v>
      </c>
      <c r="B23" s="1" t="str">
        <f t="shared" si="0"/>
        <v>101</v>
      </c>
      <c r="C23" s="1" t="s">
        <v>7</v>
      </c>
      <c r="D23" s="1" t="s">
        <v>8</v>
      </c>
      <c r="E23" s="1" t="str">
        <f>"郑玥"</f>
        <v>郑玥</v>
      </c>
      <c r="F23" s="1" t="str">
        <f>"2022020611"</f>
        <v>2022020611</v>
      </c>
      <c r="G23" s="2" t="s">
        <v>110</v>
      </c>
      <c r="H23" s="2" t="s">
        <v>111</v>
      </c>
      <c r="I23" s="1">
        <v>30</v>
      </c>
      <c r="J23" s="1">
        <f t="shared" si="1"/>
        <v>131.9</v>
      </c>
      <c r="K23" s="4">
        <f t="shared" si="2"/>
        <v>65.95</v>
      </c>
    </row>
    <row r="24" spans="1:11">
      <c r="A24" s="4">
        <v>22</v>
      </c>
      <c r="B24" s="1" t="str">
        <f t="shared" si="0"/>
        <v>101</v>
      </c>
      <c r="C24" s="1" t="s">
        <v>7</v>
      </c>
      <c r="D24" s="1" t="s">
        <v>8</v>
      </c>
      <c r="E24" s="1" t="str">
        <f>"张薇玮"</f>
        <v>张薇玮</v>
      </c>
      <c r="F24" s="1" t="str">
        <f>"2022021426"</f>
        <v>2022021426</v>
      </c>
      <c r="G24" s="2" t="s">
        <v>112</v>
      </c>
      <c r="H24" s="2" t="s">
        <v>27</v>
      </c>
      <c r="I24" s="1">
        <v>26</v>
      </c>
      <c r="J24" s="1">
        <f t="shared" si="1"/>
        <v>131.9</v>
      </c>
      <c r="K24" s="4">
        <f t="shared" si="2"/>
        <v>65.95</v>
      </c>
    </row>
    <row r="25" spans="1:11">
      <c r="A25" s="4">
        <v>23</v>
      </c>
      <c r="B25" s="1" t="str">
        <f t="shared" si="0"/>
        <v>101</v>
      </c>
      <c r="C25" s="1" t="s">
        <v>7</v>
      </c>
      <c r="D25" s="1" t="s">
        <v>8</v>
      </c>
      <c r="E25" s="1" t="str">
        <f>"陈习"</f>
        <v>陈习</v>
      </c>
      <c r="F25" s="1" t="str">
        <f>"2022023128"</f>
        <v>2022023128</v>
      </c>
      <c r="G25" s="2" t="s">
        <v>109</v>
      </c>
      <c r="H25" s="2" t="s">
        <v>57</v>
      </c>
      <c r="I25" s="1">
        <v>25</v>
      </c>
      <c r="J25" s="1">
        <f t="shared" si="1"/>
        <v>131.69999999999999</v>
      </c>
      <c r="K25" s="4">
        <f t="shared" si="2"/>
        <v>65.849999999999994</v>
      </c>
    </row>
    <row r="26" spans="1:11">
      <c r="A26" s="4">
        <v>24</v>
      </c>
      <c r="B26" s="1" t="str">
        <f t="shared" si="0"/>
        <v>101</v>
      </c>
      <c r="C26" s="1" t="s">
        <v>7</v>
      </c>
      <c r="D26" s="1" t="s">
        <v>8</v>
      </c>
      <c r="E26" s="1" t="str">
        <f>"满花"</f>
        <v>满花</v>
      </c>
      <c r="F26" s="1" t="str">
        <f>"2022020706"</f>
        <v>2022020706</v>
      </c>
      <c r="G26" s="2" t="s">
        <v>107</v>
      </c>
      <c r="H26" s="2" t="s">
        <v>108</v>
      </c>
      <c r="I26" s="1">
        <v>29</v>
      </c>
      <c r="J26" s="1">
        <f t="shared" si="1"/>
        <v>131.4</v>
      </c>
      <c r="K26" s="4">
        <f t="shared" si="2"/>
        <v>65.7</v>
      </c>
    </row>
    <row r="27" spans="1:11">
      <c r="A27" s="4">
        <v>25</v>
      </c>
      <c r="B27" s="1" t="str">
        <f t="shared" si="0"/>
        <v>101</v>
      </c>
      <c r="C27" s="1" t="s">
        <v>7</v>
      </c>
      <c r="D27" s="1" t="s">
        <v>8</v>
      </c>
      <c r="E27" s="1" t="str">
        <f>"张倩玉"</f>
        <v>张倩玉</v>
      </c>
      <c r="F27" s="1" t="str">
        <f>"2022020510"</f>
        <v>2022020510</v>
      </c>
      <c r="G27" s="2" t="s">
        <v>44</v>
      </c>
      <c r="H27" s="2" t="s">
        <v>106</v>
      </c>
      <c r="I27" s="1">
        <v>30</v>
      </c>
      <c r="J27" s="1">
        <f t="shared" si="1"/>
        <v>131</v>
      </c>
      <c r="K27" s="4">
        <f t="shared" si="2"/>
        <v>65.5</v>
      </c>
    </row>
    <row r="28" spans="1:11">
      <c r="A28" s="4">
        <v>26</v>
      </c>
      <c r="B28" s="1" t="str">
        <f t="shared" si="0"/>
        <v>101</v>
      </c>
      <c r="C28" s="1" t="s">
        <v>7</v>
      </c>
      <c r="D28" s="1" t="s">
        <v>8</v>
      </c>
      <c r="E28" s="1" t="str">
        <f>"吴雪"</f>
        <v>吴雪</v>
      </c>
      <c r="F28" s="1" t="str">
        <f>"2022020517"</f>
        <v>2022020517</v>
      </c>
      <c r="G28" s="2" t="s">
        <v>102</v>
      </c>
      <c r="H28" s="2" t="s">
        <v>103</v>
      </c>
      <c r="I28" s="1">
        <v>30</v>
      </c>
      <c r="J28" s="1">
        <f t="shared" si="1"/>
        <v>130.69999999999999</v>
      </c>
      <c r="K28" s="4">
        <f t="shared" si="2"/>
        <v>65.349999999999994</v>
      </c>
    </row>
    <row r="29" spans="1:11">
      <c r="A29" s="4">
        <v>27</v>
      </c>
      <c r="B29" s="1" t="str">
        <f t="shared" si="0"/>
        <v>101</v>
      </c>
      <c r="C29" s="1" t="s">
        <v>7</v>
      </c>
      <c r="D29" s="1" t="s">
        <v>8</v>
      </c>
      <c r="E29" s="1" t="str">
        <f>"薛月月"</f>
        <v>薛月月</v>
      </c>
      <c r="F29" s="1" t="str">
        <f>"2022023507"</f>
        <v>2022023507</v>
      </c>
      <c r="G29" s="2" t="s">
        <v>104</v>
      </c>
      <c r="H29" s="2" t="s">
        <v>105</v>
      </c>
      <c r="I29" s="1">
        <v>27</v>
      </c>
      <c r="J29" s="1">
        <f t="shared" si="1"/>
        <v>130.69999999999999</v>
      </c>
      <c r="K29" s="4">
        <f t="shared" si="2"/>
        <v>65.349999999999994</v>
      </c>
    </row>
    <row r="30" spans="1:11">
      <c r="A30" s="4">
        <v>28</v>
      </c>
      <c r="B30" s="1" t="str">
        <f t="shared" si="0"/>
        <v>101</v>
      </c>
      <c r="C30" s="1" t="s">
        <v>7</v>
      </c>
      <c r="D30" s="1" t="s">
        <v>8</v>
      </c>
      <c r="E30" s="1" t="str">
        <f>"朱孟婷"</f>
        <v>朱孟婷</v>
      </c>
      <c r="F30" s="1" t="str">
        <f>"2022021524"</f>
        <v>2022021524</v>
      </c>
      <c r="G30" s="2" t="s">
        <v>60</v>
      </c>
      <c r="H30" s="2" t="s">
        <v>14</v>
      </c>
      <c r="I30" s="1">
        <v>28</v>
      </c>
      <c r="J30" s="1">
        <f t="shared" si="1"/>
        <v>130.30000000000001</v>
      </c>
      <c r="K30" s="4">
        <f t="shared" si="2"/>
        <v>65.150000000000006</v>
      </c>
    </row>
    <row r="31" spans="1:11">
      <c r="A31" s="4">
        <v>29</v>
      </c>
      <c r="B31" s="1" t="str">
        <f t="shared" si="0"/>
        <v>101</v>
      </c>
      <c r="C31" s="1" t="s">
        <v>7</v>
      </c>
      <c r="D31" s="1" t="s">
        <v>8</v>
      </c>
      <c r="E31" s="1" t="str">
        <f>"祖曼慧"</f>
        <v>祖曼慧</v>
      </c>
      <c r="F31" s="1" t="str">
        <f>"2022020708"</f>
        <v>2022020708</v>
      </c>
      <c r="G31" s="2" t="s">
        <v>101</v>
      </c>
      <c r="H31" s="2" t="s">
        <v>87</v>
      </c>
      <c r="I31" s="1">
        <v>29</v>
      </c>
      <c r="J31" s="1">
        <f t="shared" si="1"/>
        <v>129.9</v>
      </c>
      <c r="K31" s="4">
        <f t="shared" si="2"/>
        <v>64.95</v>
      </c>
    </row>
    <row r="32" spans="1:11">
      <c r="A32" s="4">
        <v>30</v>
      </c>
      <c r="B32" s="1" t="str">
        <f t="shared" si="0"/>
        <v>101</v>
      </c>
      <c r="C32" s="1" t="s">
        <v>7</v>
      </c>
      <c r="D32" s="1" t="s">
        <v>8</v>
      </c>
      <c r="E32" s="1" t="str">
        <f>"张雨晨"</f>
        <v>张雨晨</v>
      </c>
      <c r="F32" s="1" t="str">
        <f>"2022020125"</f>
        <v>2022020125</v>
      </c>
      <c r="G32" s="2" t="s">
        <v>99</v>
      </c>
      <c r="H32" s="2" t="s">
        <v>100</v>
      </c>
      <c r="I32" s="1">
        <v>30</v>
      </c>
      <c r="J32" s="1">
        <f t="shared" si="1"/>
        <v>129.80000000000001</v>
      </c>
      <c r="K32" s="4">
        <f t="shared" si="2"/>
        <v>64.900000000000006</v>
      </c>
    </row>
    <row r="33" spans="1:11">
      <c r="A33" s="4">
        <v>31</v>
      </c>
      <c r="B33" s="1" t="str">
        <f t="shared" ref="B33:B62" si="3">"102"</f>
        <v>102</v>
      </c>
      <c r="C33" s="1" t="s">
        <v>137</v>
      </c>
      <c r="D33" s="1" t="s">
        <v>8</v>
      </c>
      <c r="E33" s="1" t="str">
        <f>"葛金玉"</f>
        <v>葛金玉</v>
      </c>
      <c r="F33" s="1" t="str">
        <f>"2022023312"</f>
        <v>2022023312</v>
      </c>
      <c r="G33" s="2" t="s">
        <v>178</v>
      </c>
      <c r="H33" s="2" t="s">
        <v>144</v>
      </c>
      <c r="I33" s="1">
        <v>30</v>
      </c>
      <c r="J33" s="1">
        <f t="shared" si="1"/>
        <v>141.10000000000002</v>
      </c>
      <c r="K33" s="4">
        <f t="shared" ref="K33:K62" si="4">J33/2</f>
        <v>70.550000000000011</v>
      </c>
    </row>
    <row r="34" spans="1:11">
      <c r="A34" s="4">
        <v>32</v>
      </c>
      <c r="B34" s="1" t="str">
        <f t="shared" si="3"/>
        <v>102</v>
      </c>
      <c r="C34" s="1" t="s">
        <v>137</v>
      </c>
      <c r="D34" s="1" t="s">
        <v>8</v>
      </c>
      <c r="E34" s="1" t="str">
        <f>"张情缘"</f>
        <v>张情缘</v>
      </c>
      <c r="F34" s="1" t="str">
        <f>"2022022605"</f>
        <v>2022022605</v>
      </c>
      <c r="G34" s="2" t="s">
        <v>177</v>
      </c>
      <c r="H34" s="2" t="s">
        <v>125</v>
      </c>
      <c r="I34" s="1">
        <v>30</v>
      </c>
      <c r="J34" s="1">
        <f t="shared" si="1"/>
        <v>136.5</v>
      </c>
      <c r="K34" s="4">
        <f t="shared" si="4"/>
        <v>68.25</v>
      </c>
    </row>
    <row r="35" spans="1:11">
      <c r="A35" s="4">
        <v>33</v>
      </c>
      <c r="B35" s="8" t="str">
        <f t="shared" si="3"/>
        <v>102</v>
      </c>
      <c r="C35" s="8" t="s">
        <v>137</v>
      </c>
      <c r="D35" s="8" t="s">
        <v>8</v>
      </c>
      <c r="E35" s="8" t="str">
        <f>"张耀津"</f>
        <v>张耀津</v>
      </c>
      <c r="F35" s="8" t="str">
        <f>"2022021020"</f>
        <v>2022021020</v>
      </c>
      <c r="G35" s="9" t="s">
        <v>176</v>
      </c>
      <c r="H35" s="9" t="s">
        <v>31</v>
      </c>
      <c r="I35" s="8">
        <v>30</v>
      </c>
      <c r="J35" s="8">
        <f t="shared" si="1"/>
        <v>136.4</v>
      </c>
      <c r="K35" s="10">
        <f t="shared" si="4"/>
        <v>68.2</v>
      </c>
    </row>
    <row r="36" spans="1:11">
      <c r="A36" s="4">
        <v>34</v>
      </c>
      <c r="B36" s="8" t="str">
        <f t="shared" si="3"/>
        <v>102</v>
      </c>
      <c r="C36" s="8" t="s">
        <v>137</v>
      </c>
      <c r="D36" s="8" t="s">
        <v>8</v>
      </c>
      <c r="E36" s="8" t="str">
        <f>"周瑞"</f>
        <v>周瑞</v>
      </c>
      <c r="F36" s="8" t="str">
        <f>"2022023113"</f>
        <v>2022023113</v>
      </c>
      <c r="G36" s="9" t="s">
        <v>173</v>
      </c>
      <c r="H36" s="9" t="s">
        <v>143</v>
      </c>
      <c r="I36" s="8">
        <v>29</v>
      </c>
      <c r="J36" s="8">
        <f t="shared" si="1"/>
        <v>136.30000000000001</v>
      </c>
      <c r="K36" s="10">
        <f t="shared" si="4"/>
        <v>68.150000000000006</v>
      </c>
    </row>
    <row r="37" spans="1:11">
      <c r="A37" s="4">
        <v>35</v>
      </c>
      <c r="B37" s="8" t="str">
        <f t="shared" si="3"/>
        <v>102</v>
      </c>
      <c r="C37" s="8" t="s">
        <v>137</v>
      </c>
      <c r="D37" s="8" t="s">
        <v>8</v>
      </c>
      <c r="E37" s="8" t="str">
        <f>"刘靓"</f>
        <v>刘靓</v>
      </c>
      <c r="F37" s="8" t="str">
        <f>"2022020221"</f>
        <v>2022020221</v>
      </c>
      <c r="G37" s="9" t="s">
        <v>175</v>
      </c>
      <c r="H37" s="9" t="s">
        <v>153</v>
      </c>
      <c r="I37" s="8">
        <v>30</v>
      </c>
      <c r="J37" s="8">
        <f t="shared" si="1"/>
        <v>136</v>
      </c>
      <c r="K37" s="10">
        <f t="shared" si="4"/>
        <v>68</v>
      </c>
    </row>
    <row r="38" spans="1:11">
      <c r="A38" s="4">
        <v>36</v>
      </c>
      <c r="B38" s="8" t="str">
        <f t="shared" si="3"/>
        <v>102</v>
      </c>
      <c r="C38" s="8" t="s">
        <v>137</v>
      </c>
      <c r="D38" s="8" t="s">
        <v>8</v>
      </c>
      <c r="E38" s="8" t="str">
        <f>"李明"</f>
        <v>李明</v>
      </c>
      <c r="F38" s="8" t="str">
        <f>"2022022825"</f>
        <v>2022022825</v>
      </c>
      <c r="G38" s="9" t="s">
        <v>174</v>
      </c>
      <c r="H38" s="9" t="s">
        <v>105</v>
      </c>
      <c r="I38" s="8">
        <v>29</v>
      </c>
      <c r="J38" s="8">
        <f t="shared" si="1"/>
        <v>134</v>
      </c>
      <c r="K38" s="10">
        <f t="shared" si="4"/>
        <v>67</v>
      </c>
    </row>
    <row r="39" spans="1:11">
      <c r="A39" s="4">
        <v>37</v>
      </c>
      <c r="B39" s="8" t="str">
        <f t="shared" si="3"/>
        <v>102</v>
      </c>
      <c r="C39" s="8" t="s">
        <v>137</v>
      </c>
      <c r="D39" s="8" t="s">
        <v>8</v>
      </c>
      <c r="E39" s="8" t="str">
        <f>"陈飞"</f>
        <v>陈飞</v>
      </c>
      <c r="F39" s="8" t="str">
        <f>"2022022215"</f>
        <v>2022022215</v>
      </c>
      <c r="G39" s="9" t="s">
        <v>173</v>
      </c>
      <c r="H39" s="9" t="s">
        <v>35</v>
      </c>
      <c r="I39" s="8">
        <v>29</v>
      </c>
      <c r="J39" s="8">
        <f t="shared" si="1"/>
        <v>133.80000000000001</v>
      </c>
      <c r="K39" s="10">
        <f t="shared" si="4"/>
        <v>66.900000000000006</v>
      </c>
    </row>
    <row r="40" spans="1:11">
      <c r="A40" s="4">
        <v>38</v>
      </c>
      <c r="B40" s="8" t="str">
        <f t="shared" si="3"/>
        <v>102</v>
      </c>
      <c r="C40" s="8" t="s">
        <v>137</v>
      </c>
      <c r="D40" s="8" t="s">
        <v>8</v>
      </c>
      <c r="E40" s="8" t="str">
        <f>"徐子辰"</f>
        <v>徐子辰</v>
      </c>
      <c r="F40" s="8" t="str">
        <f>"2022022305"</f>
        <v>2022022305</v>
      </c>
      <c r="G40" s="9" t="s">
        <v>113</v>
      </c>
      <c r="H40" s="9" t="s">
        <v>130</v>
      </c>
      <c r="I40" s="8">
        <v>30</v>
      </c>
      <c r="J40" s="8">
        <f t="shared" si="1"/>
        <v>132.80000000000001</v>
      </c>
      <c r="K40" s="10">
        <f t="shared" si="4"/>
        <v>66.400000000000006</v>
      </c>
    </row>
    <row r="41" spans="1:11">
      <c r="A41" s="4">
        <v>39</v>
      </c>
      <c r="B41" s="8" t="str">
        <f t="shared" si="3"/>
        <v>102</v>
      </c>
      <c r="C41" s="8" t="s">
        <v>137</v>
      </c>
      <c r="D41" s="8" t="s">
        <v>8</v>
      </c>
      <c r="E41" s="8" t="str">
        <f>"李淑淋"</f>
        <v>李淑淋</v>
      </c>
      <c r="F41" s="8" t="str">
        <f>"2022022511"</f>
        <v>2022022511</v>
      </c>
      <c r="G41" s="9" t="s">
        <v>157</v>
      </c>
      <c r="H41" s="9" t="s">
        <v>13</v>
      </c>
      <c r="I41" s="8">
        <v>30</v>
      </c>
      <c r="J41" s="8">
        <f t="shared" si="1"/>
        <v>131.5</v>
      </c>
      <c r="K41" s="10">
        <f t="shared" si="4"/>
        <v>65.75</v>
      </c>
    </row>
    <row r="42" spans="1:11">
      <c r="A42" s="4">
        <v>40</v>
      </c>
      <c r="B42" s="8" t="str">
        <f t="shared" si="3"/>
        <v>102</v>
      </c>
      <c r="C42" s="8" t="s">
        <v>137</v>
      </c>
      <c r="D42" s="8" t="s">
        <v>8</v>
      </c>
      <c r="E42" s="8" t="str">
        <f>"孙杨"</f>
        <v>孙杨</v>
      </c>
      <c r="F42" s="8" t="str">
        <f>"2022021511"</f>
        <v>2022021511</v>
      </c>
      <c r="G42" s="9" t="s">
        <v>172</v>
      </c>
      <c r="H42" s="9" t="s">
        <v>17</v>
      </c>
      <c r="I42" s="8">
        <v>30</v>
      </c>
      <c r="J42" s="8">
        <f t="shared" si="1"/>
        <v>130.9</v>
      </c>
      <c r="K42" s="10">
        <f t="shared" si="4"/>
        <v>65.45</v>
      </c>
    </row>
    <row r="43" spans="1:11">
      <c r="A43" s="4">
        <v>41</v>
      </c>
      <c r="B43" s="1" t="str">
        <f t="shared" si="3"/>
        <v>102</v>
      </c>
      <c r="C43" s="1" t="s">
        <v>137</v>
      </c>
      <c r="D43" s="1" t="s">
        <v>8</v>
      </c>
      <c r="E43" s="1" t="str">
        <f>"徐云巧"</f>
        <v>徐云巧</v>
      </c>
      <c r="F43" s="1" t="str">
        <f>"2022022223"</f>
        <v>2022022223</v>
      </c>
      <c r="G43" s="2" t="s">
        <v>34</v>
      </c>
      <c r="H43" s="2" t="s">
        <v>100</v>
      </c>
      <c r="I43" s="1">
        <v>29</v>
      </c>
      <c r="J43" s="1">
        <f t="shared" si="1"/>
        <v>130.80000000000001</v>
      </c>
      <c r="K43" s="4">
        <f t="shared" si="4"/>
        <v>65.400000000000006</v>
      </c>
    </row>
    <row r="44" spans="1:11">
      <c r="A44" s="4">
        <v>42</v>
      </c>
      <c r="B44" s="1" t="str">
        <f t="shared" si="3"/>
        <v>102</v>
      </c>
      <c r="C44" s="1" t="s">
        <v>137</v>
      </c>
      <c r="D44" s="1" t="s">
        <v>8</v>
      </c>
      <c r="E44" s="1" t="str">
        <f>"石王露"</f>
        <v>石王露</v>
      </c>
      <c r="F44" s="1" t="str">
        <f>"2022023517"</f>
        <v>2022023517</v>
      </c>
      <c r="G44" s="2" t="s">
        <v>45</v>
      </c>
      <c r="H44" s="2" t="s">
        <v>125</v>
      </c>
      <c r="I44" s="1">
        <v>29</v>
      </c>
      <c r="J44" s="1">
        <f t="shared" si="1"/>
        <v>130.80000000000001</v>
      </c>
      <c r="K44" s="4">
        <f t="shared" si="4"/>
        <v>65.400000000000006</v>
      </c>
    </row>
    <row r="45" spans="1:11">
      <c r="A45" s="4">
        <v>43</v>
      </c>
      <c r="B45" s="1" t="str">
        <f t="shared" si="3"/>
        <v>102</v>
      </c>
      <c r="C45" s="1" t="s">
        <v>137</v>
      </c>
      <c r="D45" s="1" t="s">
        <v>8</v>
      </c>
      <c r="E45" s="1" t="str">
        <f>"丁倩"</f>
        <v>丁倩</v>
      </c>
      <c r="F45" s="1" t="str">
        <f>"2022023402"</f>
        <v>2022023402</v>
      </c>
      <c r="G45" s="2" t="s">
        <v>120</v>
      </c>
      <c r="H45" s="2" t="s">
        <v>95</v>
      </c>
      <c r="I45" s="1">
        <v>30</v>
      </c>
      <c r="J45" s="1">
        <f t="shared" si="1"/>
        <v>130.30000000000001</v>
      </c>
      <c r="K45" s="4">
        <f t="shared" si="4"/>
        <v>65.150000000000006</v>
      </c>
    </row>
    <row r="46" spans="1:11">
      <c r="A46" s="4">
        <v>44</v>
      </c>
      <c r="B46" s="1" t="str">
        <f t="shared" si="3"/>
        <v>102</v>
      </c>
      <c r="C46" s="1" t="s">
        <v>137</v>
      </c>
      <c r="D46" s="1" t="s">
        <v>8</v>
      </c>
      <c r="E46" s="1" t="str">
        <f>"夏丹丹"</f>
        <v>夏丹丹</v>
      </c>
      <c r="F46" s="1" t="str">
        <f>"2022023016"</f>
        <v>2022023016</v>
      </c>
      <c r="G46" s="2" t="s">
        <v>62</v>
      </c>
      <c r="H46" s="2" t="s">
        <v>74</v>
      </c>
      <c r="I46" s="1">
        <v>30</v>
      </c>
      <c r="J46" s="1">
        <f t="shared" si="1"/>
        <v>129.9</v>
      </c>
      <c r="K46" s="4">
        <f t="shared" si="4"/>
        <v>64.95</v>
      </c>
    </row>
    <row r="47" spans="1:11">
      <c r="A47" s="4">
        <v>45</v>
      </c>
      <c r="B47" s="1" t="str">
        <f t="shared" si="3"/>
        <v>102</v>
      </c>
      <c r="C47" s="1" t="s">
        <v>137</v>
      </c>
      <c r="D47" s="1" t="s">
        <v>8</v>
      </c>
      <c r="E47" s="1" t="str">
        <f>"康瑞洪"</f>
        <v>康瑞洪</v>
      </c>
      <c r="F47" s="1" t="str">
        <f>"2022024001"</f>
        <v>2022024001</v>
      </c>
      <c r="G47" s="2" t="s">
        <v>53</v>
      </c>
      <c r="H47" s="2" t="s">
        <v>105</v>
      </c>
      <c r="I47" s="1">
        <v>29</v>
      </c>
      <c r="J47" s="1">
        <f t="shared" si="1"/>
        <v>129.5</v>
      </c>
      <c r="K47" s="4">
        <f t="shared" si="4"/>
        <v>64.75</v>
      </c>
    </row>
    <row r="48" spans="1:11">
      <c r="A48" s="4">
        <v>46</v>
      </c>
      <c r="B48" s="1" t="str">
        <f t="shared" si="3"/>
        <v>102</v>
      </c>
      <c r="C48" s="1" t="s">
        <v>137</v>
      </c>
      <c r="D48" s="1" t="s">
        <v>8</v>
      </c>
      <c r="E48" s="1" t="str">
        <f>"周琳"</f>
        <v>周琳</v>
      </c>
      <c r="F48" s="1" t="str">
        <f>"2022023724"</f>
        <v>2022023724</v>
      </c>
      <c r="G48" s="2" t="s">
        <v>171</v>
      </c>
      <c r="H48" s="2" t="s">
        <v>49</v>
      </c>
      <c r="I48" s="1">
        <v>29</v>
      </c>
      <c r="J48" s="1">
        <f t="shared" si="1"/>
        <v>129.4</v>
      </c>
      <c r="K48" s="4">
        <f t="shared" si="4"/>
        <v>64.7</v>
      </c>
    </row>
    <row r="49" spans="1:11">
      <c r="A49" s="4">
        <v>47</v>
      </c>
      <c r="B49" s="1" t="str">
        <f t="shared" si="3"/>
        <v>102</v>
      </c>
      <c r="C49" s="1" t="s">
        <v>137</v>
      </c>
      <c r="D49" s="1" t="s">
        <v>8</v>
      </c>
      <c r="E49" s="1" t="str">
        <f>"罗姗姗"</f>
        <v>罗姗姗</v>
      </c>
      <c r="F49" s="1" t="str">
        <f>"2022021914"</f>
        <v>2022021914</v>
      </c>
      <c r="G49" s="2" t="s">
        <v>42</v>
      </c>
      <c r="H49" s="2" t="s">
        <v>106</v>
      </c>
      <c r="I49" s="1">
        <v>30</v>
      </c>
      <c r="J49" s="1">
        <f t="shared" si="1"/>
        <v>129.30000000000001</v>
      </c>
      <c r="K49" s="4">
        <f t="shared" si="4"/>
        <v>64.650000000000006</v>
      </c>
    </row>
    <row r="50" spans="1:11">
      <c r="A50" s="4">
        <v>48</v>
      </c>
      <c r="B50" s="1" t="str">
        <f t="shared" si="3"/>
        <v>102</v>
      </c>
      <c r="C50" s="1" t="s">
        <v>137</v>
      </c>
      <c r="D50" s="1" t="s">
        <v>8</v>
      </c>
      <c r="E50" s="1" t="str">
        <f>"吴霄雯"</f>
        <v>吴霄雯</v>
      </c>
      <c r="F50" s="1" t="str">
        <f>"2022020524"</f>
        <v>2022020524</v>
      </c>
      <c r="G50" s="2" t="s">
        <v>170</v>
      </c>
      <c r="H50" s="2" t="s">
        <v>164</v>
      </c>
      <c r="I50" s="1">
        <v>28</v>
      </c>
      <c r="J50" s="1">
        <f t="shared" si="1"/>
        <v>129.19999999999999</v>
      </c>
      <c r="K50" s="4">
        <f t="shared" si="4"/>
        <v>64.599999999999994</v>
      </c>
    </row>
    <row r="51" spans="1:11">
      <c r="A51" s="4">
        <v>49</v>
      </c>
      <c r="B51" s="1" t="str">
        <f t="shared" si="3"/>
        <v>102</v>
      </c>
      <c r="C51" s="1" t="s">
        <v>137</v>
      </c>
      <c r="D51" s="1" t="s">
        <v>8</v>
      </c>
      <c r="E51" s="1" t="str">
        <f>"曹文娟"</f>
        <v>曹文娟</v>
      </c>
      <c r="F51" s="1" t="str">
        <f>"2022023107"</f>
        <v>2022023107</v>
      </c>
      <c r="G51" s="2" t="s">
        <v>118</v>
      </c>
      <c r="H51" s="2" t="s">
        <v>61</v>
      </c>
      <c r="I51" s="1">
        <v>29</v>
      </c>
      <c r="J51" s="1">
        <f t="shared" si="1"/>
        <v>128.9</v>
      </c>
      <c r="K51" s="4">
        <f t="shared" si="4"/>
        <v>64.45</v>
      </c>
    </row>
    <row r="52" spans="1:11">
      <c r="A52" s="4">
        <v>50</v>
      </c>
      <c r="B52" s="1" t="str">
        <f t="shared" si="3"/>
        <v>102</v>
      </c>
      <c r="C52" s="1" t="s">
        <v>137</v>
      </c>
      <c r="D52" s="1" t="s">
        <v>8</v>
      </c>
      <c r="E52" s="1" t="str">
        <f>"周梅雨"</f>
        <v>周梅雨</v>
      </c>
      <c r="F52" s="1" t="str">
        <f>"2022022505"</f>
        <v>2022022505</v>
      </c>
      <c r="G52" s="2" t="s">
        <v>168</v>
      </c>
      <c r="H52" s="2" t="s">
        <v>169</v>
      </c>
      <c r="I52" s="1">
        <v>30</v>
      </c>
      <c r="J52" s="1">
        <f t="shared" si="1"/>
        <v>128.19999999999999</v>
      </c>
      <c r="K52" s="4">
        <f t="shared" si="4"/>
        <v>64.099999999999994</v>
      </c>
    </row>
    <row r="53" spans="1:11">
      <c r="A53" s="4">
        <v>51</v>
      </c>
      <c r="B53" s="1" t="str">
        <f t="shared" si="3"/>
        <v>102</v>
      </c>
      <c r="C53" s="1" t="s">
        <v>137</v>
      </c>
      <c r="D53" s="1" t="s">
        <v>8</v>
      </c>
      <c r="E53" s="1" t="str">
        <f>"张亚男"</f>
        <v>张亚男</v>
      </c>
      <c r="F53" s="1" t="str">
        <f>"2022022924"</f>
        <v>2022022924</v>
      </c>
      <c r="G53" s="2" t="s">
        <v>69</v>
      </c>
      <c r="H53" s="2" t="s">
        <v>68</v>
      </c>
      <c r="I53" s="1">
        <v>30</v>
      </c>
      <c r="J53" s="1">
        <f t="shared" si="1"/>
        <v>128</v>
      </c>
      <c r="K53" s="4">
        <f t="shared" si="4"/>
        <v>64</v>
      </c>
    </row>
    <row r="54" spans="1:11">
      <c r="A54" s="4">
        <v>52</v>
      </c>
      <c r="B54" s="1" t="str">
        <f t="shared" si="3"/>
        <v>102</v>
      </c>
      <c r="C54" s="1" t="s">
        <v>137</v>
      </c>
      <c r="D54" s="1" t="s">
        <v>8</v>
      </c>
      <c r="E54" s="1" t="str">
        <f>"王海洋"</f>
        <v>王海洋</v>
      </c>
      <c r="F54" s="1" t="str">
        <f>"2022022907"</f>
        <v>2022022907</v>
      </c>
      <c r="G54" s="2" t="s">
        <v>90</v>
      </c>
      <c r="H54" s="2" t="s">
        <v>43</v>
      </c>
      <c r="I54" s="1">
        <v>29</v>
      </c>
      <c r="J54" s="1">
        <f t="shared" si="1"/>
        <v>127.4</v>
      </c>
      <c r="K54" s="4">
        <f t="shared" si="4"/>
        <v>63.7</v>
      </c>
    </row>
    <row r="55" spans="1:11">
      <c r="A55" s="4">
        <v>53</v>
      </c>
      <c r="B55" s="1" t="str">
        <f t="shared" si="3"/>
        <v>102</v>
      </c>
      <c r="C55" s="1" t="s">
        <v>137</v>
      </c>
      <c r="D55" s="1" t="s">
        <v>8</v>
      </c>
      <c r="E55" s="1" t="str">
        <f>"赵晴晴"</f>
        <v>赵晴晴</v>
      </c>
      <c r="F55" s="1" t="str">
        <f>"2022021803"</f>
        <v>2022021803</v>
      </c>
      <c r="G55" s="2" t="s">
        <v>150</v>
      </c>
      <c r="H55" s="2" t="s">
        <v>14</v>
      </c>
      <c r="I55" s="1">
        <v>29</v>
      </c>
      <c r="J55" s="1">
        <f t="shared" si="1"/>
        <v>125.7</v>
      </c>
      <c r="K55" s="4">
        <f t="shared" si="4"/>
        <v>62.85</v>
      </c>
    </row>
    <row r="56" spans="1:11">
      <c r="A56" s="4">
        <v>54</v>
      </c>
      <c r="B56" s="1" t="str">
        <f t="shared" si="3"/>
        <v>102</v>
      </c>
      <c r="C56" s="1" t="s">
        <v>137</v>
      </c>
      <c r="D56" s="1" t="s">
        <v>8</v>
      </c>
      <c r="E56" s="1" t="str">
        <f>"曹腾腾"</f>
        <v>曹腾腾</v>
      </c>
      <c r="F56" s="1" t="str">
        <f>"2022021011"</f>
        <v>2022021011</v>
      </c>
      <c r="G56" s="2" t="s">
        <v>152</v>
      </c>
      <c r="H56" s="2" t="s">
        <v>125</v>
      </c>
      <c r="I56" s="1">
        <v>30</v>
      </c>
      <c r="J56" s="1">
        <f t="shared" si="1"/>
        <v>124.9</v>
      </c>
      <c r="K56" s="4">
        <f t="shared" si="4"/>
        <v>62.45</v>
      </c>
    </row>
    <row r="57" spans="1:11">
      <c r="A57" s="4">
        <v>55</v>
      </c>
      <c r="B57" s="1" t="str">
        <f t="shared" si="3"/>
        <v>102</v>
      </c>
      <c r="C57" s="1" t="s">
        <v>137</v>
      </c>
      <c r="D57" s="1" t="s">
        <v>8</v>
      </c>
      <c r="E57" s="1" t="str">
        <f>"唐静文"</f>
        <v>唐静文</v>
      </c>
      <c r="F57" s="1" t="str">
        <f>"2022020518"</f>
        <v>2022020518</v>
      </c>
      <c r="G57" s="2" t="s">
        <v>166</v>
      </c>
      <c r="H57" s="2" t="s">
        <v>167</v>
      </c>
      <c r="I57" s="1">
        <v>30</v>
      </c>
      <c r="J57" s="1">
        <f t="shared" si="1"/>
        <v>124.3</v>
      </c>
      <c r="K57" s="4">
        <f t="shared" si="4"/>
        <v>62.15</v>
      </c>
    </row>
    <row r="58" spans="1:11">
      <c r="A58" s="4">
        <v>56</v>
      </c>
      <c r="B58" s="1" t="str">
        <f t="shared" si="3"/>
        <v>102</v>
      </c>
      <c r="C58" s="1" t="s">
        <v>137</v>
      </c>
      <c r="D58" s="1" t="s">
        <v>8</v>
      </c>
      <c r="E58" s="1" t="str">
        <f>"杨紫钰"</f>
        <v>杨紫钰</v>
      </c>
      <c r="F58" s="1" t="str">
        <f>"2022020728"</f>
        <v>2022020728</v>
      </c>
      <c r="G58" s="2" t="s">
        <v>165</v>
      </c>
      <c r="H58" s="2" t="s">
        <v>78</v>
      </c>
      <c r="I58" s="1">
        <v>29</v>
      </c>
      <c r="J58" s="1">
        <f t="shared" si="1"/>
        <v>124.1</v>
      </c>
      <c r="K58" s="4">
        <f t="shared" si="4"/>
        <v>62.05</v>
      </c>
    </row>
    <row r="59" spans="1:11">
      <c r="A59" s="4">
        <v>57</v>
      </c>
      <c r="B59" s="1" t="str">
        <f t="shared" si="3"/>
        <v>102</v>
      </c>
      <c r="C59" s="1" t="s">
        <v>137</v>
      </c>
      <c r="D59" s="1" t="s">
        <v>8</v>
      </c>
      <c r="E59" s="1" t="str">
        <f>"张雨蒙"</f>
        <v>张雨蒙</v>
      </c>
      <c r="F59" s="1" t="str">
        <f>"2022023504"</f>
        <v>2022023504</v>
      </c>
      <c r="G59" s="2" t="s">
        <v>67</v>
      </c>
      <c r="H59" s="2" t="s">
        <v>132</v>
      </c>
      <c r="I59" s="1">
        <v>30</v>
      </c>
      <c r="J59" s="1">
        <f t="shared" si="1"/>
        <v>123.6</v>
      </c>
      <c r="K59" s="4">
        <f t="shared" si="4"/>
        <v>61.8</v>
      </c>
    </row>
    <row r="60" spans="1:11">
      <c r="A60" s="4">
        <v>58</v>
      </c>
      <c r="B60" s="1" t="str">
        <f t="shared" si="3"/>
        <v>102</v>
      </c>
      <c r="C60" s="1" t="s">
        <v>137</v>
      </c>
      <c r="D60" s="1" t="s">
        <v>8</v>
      </c>
      <c r="E60" s="1" t="str">
        <f>"王倩倩"</f>
        <v>王倩倩</v>
      </c>
      <c r="F60" s="1" t="str">
        <f>"2022024212"</f>
        <v>2022024212</v>
      </c>
      <c r="G60" s="2" t="s">
        <v>72</v>
      </c>
      <c r="H60" s="2" t="s">
        <v>164</v>
      </c>
      <c r="I60" s="1">
        <v>29</v>
      </c>
      <c r="J60" s="1">
        <f t="shared" si="1"/>
        <v>123.6</v>
      </c>
      <c r="K60" s="4">
        <f t="shared" si="4"/>
        <v>61.8</v>
      </c>
    </row>
    <row r="61" spans="1:11">
      <c r="A61" s="4">
        <v>59</v>
      </c>
      <c r="B61" s="1" t="str">
        <f t="shared" si="3"/>
        <v>102</v>
      </c>
      <c r="C61" s="1" t="s">
        <v>137</v>
      </c>
      <c r="D61" s="1" t="s">
        <v>8</v>
      </c>
      <c r="E61" s="1" t="str">
        <f>"王丽丽"</f>
        <v>王丽丽</v>
      </c>
      <c r="F61" s="1" t="str">
        <f>"2022022509"</f>
        <v>2022022509</v>
      </c>
      <c r="G61" s="2" t="s">
        <v>33</v>
      </c>
      <c r="H61" s="2" t="s">
        <v>163</v>
      </c>
      <c r="I61" s="1">
        <v>29</v>
      </c>
      <c r="J61" s="1">
        <f t="shared" si="1"/>
        <v>123.5</v>
      </c>
      <c r="K61" s="4">
        <f t="shared" si="4"/>
        <v>61.75</v>
      </c>
    </row>
    <row r="62" spans="1:11">
      <c r="A62" s="4">
        <v>60</v>
      </c>
      <c r="B62" s="1" t="str">
        <f t="shared" si="3"/>
        <v>102</v>
      </c>
      <c r="C62" s="1" t="s">
        <v>137</v>
      </c>
      <c r="D62" s="1" t="s">
        <v>8</v>
      </c>
      <c r="E62" s="1" t="str">
        <f>"卓佐"</f>
        <v>卓佐</v>
      </c>
      <c r="F62" s="1" t="str">
        <f>"2022021309"</f>
        <v>2022021309</v>
      </c>
      <c r="G62" s="2" t="s">
        <v>36</v>
      </c>
      <c r="H62" s="2" t="s">
        <v>74</v>
      </c>
      <c r="I62" s="1">
        <v>28</v>
      </c>
      <c r="J62" s="1">
        <f t="shared" si="1"/>
        <v>123.4</v>
      </c>
      <c r="K62" s="4">
        <f t="shared" si="4"/>
        <v>61.7</v>
      </c>
    </row>
    <row r="63" spans="1:11">
      <c r="A63" s="4">
        <v>61</v>
      </c>
      <c r="B63" s="1" t="str">
        <f t="shared" ref="B63:B98" si="5">"103"</f>
        <v>103</v>
      </c>
      <c r="C63" s="1" t="s">
        <v>179</v>
      </c>
      <c r="D63" s="1" t="s">
        <v>8</v>
      </c>
      <c r="E63" s="1" t="str">
        <f>"陈丁丁"</f>
        <v>陈丁丁</v>
      </c>
      <c r="F63" s="1" t="str">
        <f>"2022020313"</f>
        <v>2022020313</v>
      </c>
      <c r="G63" s="2" t="s">
        <v>200</v>
      </c>
      <c r="H63" s="2" t="s">
        <v>59</v>
      </c>
      <c r="I63" s="1">
        <v>28</v>
      </c>
      <c r="J63" s="1">
        <f t="shared" si="1"/>
        <v>146.4</v>
      </c>
      <c r="K63" s="4">
        <f t="shared" ref="K63:K98" si="6">J63/2</f>
        <v>73.2</v>
      </c>
    </row>
    <row r="64" spans="1:11">
      <c r="A64" s="4">
        <v>62</v>
      </c>
      <c r="B64" s="1" t="str">
        <f t="shared" si="5"/>
        <v>103</v>
      </c>
      <c r="C64" s="1" t="s">
        <v>179</v>
      </c>
      <c r="D64" s="1" t="s">
        <v>8</v>
      </c>
      <c r="E64" s="1" t="str">
        <f>"张莹"</f>
        <v>张莹</v>
      </c>
      <c r="F64" s="1" t="str">
        <f>"2022020913"</f>
        <v>2022020913</v>
      </c>
      <c r="G64" s="2" t="s">
        <v>102</v>
      </c>
      <c r="H64" s="2" t="s">
        <v>185</v>
      </c>
      <c r="I64" s="1">
        <v>29</v>
      </c>
      <c r="J64" s="1">
        <f t="shared" si="1"/>
        <v>145.30000000000001</v>
      </c>
      <c r="K64" s="4">
        <f t="shared" si="6"/>
        <v>72.650000000000006</v>
      </c>
    </row>
    <row r="65" spans="1:11">
      <c r="A65" s="4">
        <v>63</v>
      </c>
      <c r="B65" s="1" t="str">
        <f t="shared" si="5"/>
        <v>103</v>
      </c>
      <c r="C65" s="1" t="s">
        <v>179</v>
      </c>
      <c r="D65" s="1" t="s">
        <v>8</v>
      </c>
      <c r="E65" s="1" t="str">
        <f>"李峥嵘"</f>
        <v>李峥嵘</v>
      </c>
      <c r="F65" s="1" t="str">
        <f>"2022022205"</f>
        <v>2022022205</v>
      </c>
      <c r="G65" s="2" t="s">
        <v>85</v>
      </c>
      <c r="H65" s="2" t="s">
        <v>199</v>
      </c>
      <c r="I65" s="1">
        <v>30</v>
      </c>
      <c r="J65" s="1">
        <f t="shared" si="1"/>
        <v>143.80000000000001</v>
      </c>
      <c r="K65" s="4">
        <f t="shared" si="6"/>
        <v>71.900000000000006</v>
      </c>
    </row>
    <row r="66" spans="1:11">
      <c r="A66" s="4">
        <v>64</v>
      </c>
      <c r="B66" s="1" t="str">
        <f t="shared" si="5"/>
        <v>103</v>
      </c>
      <c r="C66" s="1" t="s">
        <v>179</v>
      </c>
      <c r="D66" s="1" t="s">
        <v>8</v>
      </c>
      <c r="E66" s="1" t="str">
        <f>"党文英"</f>
        <v>党文英</v>
      </c>
      <c r="F66" s="1" t="str">
        <f>"2022023629"</f>
        <v>2022023629</v>
      </c>
      <c r="G66" s="2" t="s">
        <v>131</v>
      </c>
      <c r="H66" s="2" t="s">
        <v>46</v>
      </c>
      <c r="I66" s="1">
        <v>30</v>
      </c>
      <c r="J66" s="1">
        <f t="shared" si="1"/>
        <v>142.80000000000001</v>
      </c>
      <c r="K66" s="4">
        <f t="shared" si="6"/>
        <v>71.400000000000006</v>
      </c>
    </row>
    <row r="67" spans="1:11">
      <c r="A67" s="4">
        <v>65</v>
      </c>
      <c r="B67" s="1" t="str">
        <f t="shared" si="5"/>
        <v>103</v>
      </c>
      <c r="C67" s="1" t="s">
        <v>179</v>
      </c>
      <c r="D67" s="1" t="s">
        <v>8</v>
      </c>
      <c r="E67" s="1" t="str">
        <f>"王雯雯"</f>
        <v>王雯雯</v>
      </c>
      <c r="F67" s="1" t="str">
        <f>"2022021509"</f>
        <v>2022021509</v>
      </c>
      <c r="G67" s="2" t="s">
        <v>160</v>
      </c>
      <c r="H67" s="2" t="s">
        <v>50</v>
      </c>
      <c r="I67" s="1">
        <v>30</v>
      </c>
      <c r="J67" s="1">
        <f t="shared" ref="J67:J130" si="7">G67+H67+I67</f>
        <v>137.5</v>
      </c>
      <c r="K67" s="4">
        <f t="shared" si="6"/>
        <v>68.75</v>
      </c>
    </row>
    <row r="68" spans="1:11">
      <c r="A68" s="4">
        <v>66</v>
      </c>
      <c r="B68" s="1" t="str">
        <f t="shared" si="5"/>
        <v>103</v>
      </c>
      <c r="C68" s="1" t="s">
        <v>179</v>
      </c>
      <c r="D68" s="1" t="s">
        <v>8</v>
      </c>
      <c r="E68" s="1" t="str">
        <f>"陈文娟"</f>
        <v>陈文娟</v>
      </c>
      <c r="F68" s="1" t="str">
        <f>"2022023308"</f>
        <v>2022023308</v>
      </c>
      <c r="G68" s="2" t="s">
        <v>178</v>
      </c>
      <c r="H68" s="2" t="s">
        <v>164</v>
      </c>
      <c r="I68" s="1">
        <v>30</v>
      </c>
      <c r="J68" s="1">
        <f t="shared" si="7"/>
        <v>136.9</v>
      </c>
      <c r="K68" s="4">
        <f t="shared" si="6"/>
        <v>68.45</v>
      </c>
    </row>
    <row r="69" spans="1:11">
      <c r="A69" s="4">
        <v>67</v>
      </c>
      <c r="B69" s="1" t="str">
        <f t="shared" si="5"/>
        <v>103</v>
      </c>
      <c r="C69" s="1" t="s">
        <v>179</v>
      </c>
      <c r="D69" s="1" t="s">
        <v>8</v>
      </c>
      <c r="E69" s="1" t="str">
        <f>"张炜炜"</f>
        <v>张炜炜</v>
      </c>
      <c r="F69" s="1" t="str">
        <f>"2022021723"</f>
        <v>2022021723</v>
      </c>
      <c r="G69" s="2" t="s">
        <v>135</v>
      </c>
      <c r="H69" s="2" t="s">
        <v>58</v>
      </c>
      <c r="I69" s="1">
        <v>30</v>
      </c>
      <c r="J69" s="1">
        <f t="shared" si="7"/>
        <v>134.19999999999999</v>
      </c>
      <c r="K69" s="4">
        <f t="shared" si="6"/>
        <v>67.099999999999994</v>
      </c>
    </row>
    <row r="70" spans="1:11">
      <c r="A70" s="4">
        <v>68</v>
      </c>
      <c r="B70" s="1" t="str">
        <f t="shared" si="5"/>
        <v>103</v>
      </c>
      <c r="C70" s="1" t="s">
        <v>179</v>
      </c>
      <c r="D70" s="1" t="s">
        <v>8</v>
      </c>
      <c r="E70" s="1" t="str">
        <f>"王小渊"</f>
        <v>王小渊</v>
      </c>
      <c r="F70" s="1" t="str">
        <f>"2022023618"</f>
        <v>2022023618</v>
      </c>
      <c r="G70" s="2" t="s">
        <v>165</v>
      </c>
      <c r="H70" s="2" t="s">
        <v>67</v>
      </c>
      <c r="I70" s="1">
        <v>29</v>
      </c>
      <c r="J70" s="1">
        <f t="shared" si="7"/>
        <v>132.80000000000001</v>
      </c>
      <c r="K70" s="4">
        <f t="shared" si="6"/>
        <v>66.400000000000006</v>
      </c>
    </row>
    <row r="71" spans="1:11">
      <c r="A71" s="4">
        <v>69</v>
      </c>
      <c r="B71" s="1" t="str">
        <f t="shared" si="5"/>
        <v>103</v>
      </c>
      <c r="C71" s="1" t="s">
        <v>179</v>
      </c>
      <c r="D71" s="1" t="s">
        <v>8</v>
      </c>
      <c r="E71" s="1" t="str">
        <f>"王新潮"</f>
        <v>王新潮</v>
      </c>
      <c r="F71" s="1" t="str">
        <f>"2022023701"</f>
        <v>2022023701</v>
      </c>
      <c r="G71" s="2" t="s">
        <v>83</v>
      </c>
      <c r="H71" s="2" t="s">
        <v>169</v>
      </c>
      <c r="I71" s="1">
        <v>29</v>
      </c>
      <c r="J71" s="1">
        <f t="shared" si="7"/>
        <v>131.30000000000001</v>
      </c>
      <c r="K71" s="4">
        <f t="shared" si="6"/>
        <v>65.650000000000006</v>
      </c>
    </row>
    <row r="72" spans="1:11">
      <c r="A72" s="4">
        <v>70</v>
      </c>
      <c r="B72" s="1" t="str">
        <f t="shared" si="5"/>
        <v>103</v>
      </c>
      <c r="C72" s="1" t="s">
        <v>179</v>
      </c>
      <c r="D72" s="1" t="s">
        <v>8</v>
      </c>
      <c r="E72" s="1" t="str">
        <f>"郑楠楠"</f>
        <v>郑楠楠</v>
      </c>
      <c r="F72" s="1" t="str">
        <f>"2022021728"</f>
        <v>2022021728</v>
      </c>
      <c r="G72" s="2" t="s">
        <v>198</v>
      </c>
      <c r="H72" s="2" t="s">
        <v>81</v>
      </c>
      <c r="I72" s="1">
        <v>30</v>
      </c>
      <c r="J72" s="1">
        <f t="shared" si="7"/>
        <v>130.1</v>
      </c>
      <c r="K72" s="4">
        <f t="shared" si="6"/>
        <v>65.05</v>
      </c>
    </row>
    <row r="73" spans="1:11">
      <c r="A73" s="4">
        <v>71</v>
      </c>
      <c r="B73" s="1" t="str">
        <f t="shared" si="5"/>
        <v>103</v>
      </c>
      <c r="C73" s="1" t="s">
        <v>179</v>
      </c>
      <c r="D73" s="1" t="s">
        <v>8</v>
      </c>
      <c r="E73" s="1" t="str">
        <f>"李萌萌"</f>
        <v>李萌萌</v>
      </c>
      <c r="F73" s="1" t="str">
        <f>"2022023910"</f>
        <v>2022023910</v>
      </c>
      <c r="G73" s="2" t="s">
        <v>158</v>
      </c>
      <c r="H73" s="2" t="s">
        <v>169</v>
      </c>
      <c r="I73" s="1">
        <v>28</v>
      </c>
      <c r="J73" s="1">
        <f t="shared" si="7"/>
        <v>128.9</v>
      </c>
      <c r="K73" s="4">
        <f t="shared" si="6"/>
        <v>64.45</v>
      </c>
    </row>
    <row r="74" spans="1:11">
      <c r="A74" s="4">
        <v>72</v>
      </c>
      <c r="B74" s="1" t="str">
        <f t="shared" si="5"/>
        <v>103</v>
      </c>
      <c r="C74" s="1" t="s">
        <v>179</v>
      </c>
      <c r="D74" s="1" t="s">
        <v>8</v>
      </c>
      <c r="E74" s="1" t="str">
        <f>"张佳佳"</f>
        <v>张佳佳</v>
      </c>
      <c r="F74" s="1" t="str">
        <f>"2022023222"</f>
        <v>2022023222</v>
      </c>
      <c r="G74" s="2" t="s">
        <v>30</v>
      </c>
      <c r="H74" s="2" t="s">
        <v>13</v>
      </c>
      <c r="I74" s="1">
        <v>30</v>
      </c>
      <c r="J74" s="1">
        <f t="shared" si="7"/>
        <v>128.30000000000001</v>
      </c>
      <c r="K74" s="4">
        <f t="shared" si="6"/>
        <v>64.150000000000006</v>
      </c>
    </row>
    <row r="75" spans="1:11">
      <c r="A75" s="4">
        <v>73</v>
      </c>
      <c r="B75" s="1" t="str">
        <f t="shared" si="5"/>
        <v>103</v>
      </c>
      <c r="C75" s="1" t="s">
        <v>179</v>
      </c>
      <c r="D75" s="1" t="s">
        <v>8</v>
      </c>
      <c r="E75" s="1" t="str">
        <f>"刘慢慢"</f>
        <v>刘慢慢</v>
      </c>
      <c r="F75" s="1" t="str">
        <f>"2022022114"</f>
        <v>2022022114</v>
      </c>
      <c r="G75" s="2" t="s">
        <v>42</v>
      </c>
      <c r="H75" s="2" t="s">
        <v>92</v>
      </c>
      <c r="I75" s="1">
        <v>28</v>
      </c>
      <c r="J75" s="1">
        <f t="shared" si="7"/>
        <v>127.9</v>
      </c>
      <c r="K75" s="4">
        <f t="shared" si="6"/>
        <v>63.95</v>
      </c>
    </row>
    <row r="76" spans="1:11">
      <c r="A76" s="4">
        <v>74</v>
      </c>
      <c r="B76" s="1" t="str">
        <f t="shared" si="5"/>
        <v>103</v>
      </c>
      <c r="C76" s="1" t="s">
        <v>179</v>
      </c>
      <c r="D76" s="1" t="s">
        <v>8</v>
      </c>
      <c r="E76" s="1" t="str">
        <f>"刘秀梅"</f>
        <v>刘秀梅</v>
      </c>
      <c r="F76" s="1" t="str">
        <f>"2022021925"</f>
        <v>2022021925</v>
      </c>
      <c r="G76" s="2" t="s">
        <v>197</v>
      </c>
      <c r="H76" s="2" t="s">
        <v>138</v>
      </c>
      <c r="I76" s="1">
        <v>27</v>
      </c>
      <c r="J76" s="1">
        <f t="shared" si="7"/>
        <v>126.9</v>
      </c>
      <c r="K76" s="4">
        <f t="shared" si="6"/>
        <v>63.45</v>
      </c>
    </row>
    <row r="77" spans="1:11">
      <c r="A77" s="4">
        <v>75</v>
      </c>
      <c r="B77" s="1" t="str">
        <f t="shared" si="5"/>
        <v>103</v>
      </c>
      <c r="C77" s="1" t="s">
        <v>179</v>
      </c>
      <c r="D77" s="1" t="s">
        <v>8</v>
      </c>
      <c r="E77" s="1" t="str">
        <f>"杜丹丹"</f>
        <v>杜丹丹</v>
      </c>
      <c r="F77" s="1" t="str">
        <f>"2022022905"</f>
        <v>2022022905</v>
      </c>
      <c r="G77" s="2" t="s">
        <v>67</v>
      </c>
      <c r="H77" s="2" t="s">
        <v>196</v>
      </c>
      <c r="I77" s="1">
        <v>29</v>
      </c>
      <c r="J77" s="1">
        <f t="shared" si="7"/>
        <v>126.1</v>
      </c>
      <c r="K77" s="4">
        <f t="shared" si="6"/>
        <v>63.05</v>
      </c>
    </row>
    <row r="78" spans="1:11">
      <c r="A78" s="4">
        <v>76</v>
      </c>
      <c r="B78" s="1" t="str">
        <f t="shared" si="5"/>
        <v>103</v>
      </c>
      <c r="C78" s="1" t="s">
        <v>179</v>
      </c>
      <c r="D78" s="1" t="s">
        <v>8</v>
      </c>
      <c r="E78" s="1" t="str">
        <f>"孙梦梦"</f>
        <v>孙梦梦</v>
      </c>
      <c r="F78" s="1" t="str">
        <f>"2022023705"</f>
        <v>2022023705</v>
      </c>
      <c r="G78" s="2" t="s">
        <v>69</v>
      </c>
      <c r="H78" s="2" t="s">
        <v>195</v>
      </c>
      <c r="I78" s="1">
        <v>30</v>
      </c>
      <c r="J78" s="1">
        <f t="shared" si="7"/>
        <v>125.5</v>
      </c>
      <c r="K78" s="4">
        <f t="shared" si="6"/>
        <v>62.75</v>
      </c>
    </row>
    <row r="79" spans="1:11">
      <c r="A79" s="4">
        <v>77</v>
      </c>
      <c r="B79" s="1" t="str">
        <f t="shared" si="5"/>
        <v>103</v>
      </c>
      <c r="C79" s="1" t="s">
        <v>179</v>
      </c>
      <c r="D79" s="1" t="s">
        <v>8</v>
      </c>
      <c r="E79" s="1" t="str">
        <f>"杨威"</f>
        <v>杨威</v>
      </c>
      <c r="F79" s="1" t="str">
        <f>"2022020423"</f>
        <v>2022020423</v>
      </c>
      <c r="G79" s="2" t="s">
        <v>120</v>
      </c>
      <c r="H79" s="2" t="s">
        <v>167</v>
      </c>
      <c r="I79" s="1">
        <v>30</v>
      </c>
      <c r="J79" s="1">
        <f t="shared" si="7"/>
        <v>125.4</v>
      </c>
      <c r="K79" s="4">
        <f t="shared" si="6"/>
        <v>62.7</v>
      </c>
    </row>
    <row r="80" spans="1:11">
      <c r="A80" s="4">
        <v>78</v>
      </c>
      <c r="B80" s="1" t="str">
        <f t="shared" si="5"/>
        <v>103</v>
      </c>
      <c r="C80" s="1" t="s">
        <v>179</v>
      </c>
      <c r="D80" s="1" t="s">
        <v>8</v>
      </c>
      <c r="E80" s="1" t="str">
        <f>"刘亚莉"</f>
        <v>刘亚莉</v>
      </c>
      <c r="F80" s="1" t="str">
        <f>"2022022709"</f>
        <v>2022022709</v>
      </c>
      <c r="G80" s="2" t="s">
        <v>194</v>
      </c>
      <c r="H80" s="2" t="s">
        <v>81</v>
      </c>
      <c r="I80" s="1">
        <v>22</v>
      </c>
      <c r="J80" s="1">
        <f t="shared" si="7"/>
        <v>125.1</v>
      </c>
      <c r="K80" s="4">
        <f t="shared" si="6"/>
        <v>62.55</v>
      </c>
    </row>
    <row r="81" spans="1:11">
      <c r="A81" s="4">
        <v>79</v>
      </c>
      <c r="B81" s="1" t="str">
        <f t="shared" si="5"/>
        <v>103</v>
      </c>
      <c r="C81" s="1" t="s">
        <v>179</v>
      </c>
      <c r="D81" s="1" t="s">
        <v>8</v>
      </c>
      <c r="E81" s="1" t="str">
        <f>"赵云培"</f>
        <v>赵云培</v>
      </c>
      <c r="F81" s="1" t="str">
        <f>"2022022022"</f>
        <v>2022022022</v>
      </c>
      <c r="G81" s="2" t="s">
        <v>22</v>
      </c>
      <c r="H81" s="2" t="s">
        <v>78</v>
      </c>
      <c r="I81" s="1">
        <v>30</v>
      </c>
      <c r="J81" s="1">
        <f t="shared" si="7"/>
        <v>124.9</v>
      </c>
      <c r="K81" s="4">
        <f t="shared" si="6"/>
        <v>62.45</v>
      </c>
    </row>
    <row r="82" spans="1:11">
      <c r="A82" s="4">
        <v>80</v>
      </c>
      <c r="B82" s="1" t="str">
        <f t="shared" si="5"/>
        <v>103</v>
      </c>
      <c r="C82" s="1" t="s">
        <v>179</v>
      </c>
      <c r="D82" s="1" t="s">
        <v>8</v>
      </c>
      <c r="E82" s="1" t="str">
        <f>"王洁"</f>
        <v>王洁</v>
      </c>
      <c r="F82" s="1" t="str">
        <f>"2022023017"</f>
        <v>2022023017</v>
      </c>
      <c r="G82" s="2" t="s">
        <v>157</v>
      </c>
      <c r="H82" s="2" t="s">
        <v>140</v>
      </c>
      <c r="I82" s="1">
        <v>30</v>
      </c>
      <c r="J82" s="1">
        <f t="shared" si="7"/>
        <v>124.5</v>
      </c>
      <c r="K82" s="4">
        <f t="shared" si="6"/>
        <v>62.25</v>
      </c>
    </row>
    <row r="83" spans="1:11">
      <c r="A83" s="4">
        <v>81</v>
      </c>
      <c r="B83" s="1" t="str">
        <f t="shared" si="5"/>
        <v>103</v>
      </c>
      <c r="C83" s="1" t="s">
        <v>179</v>
      </c>
      <c r="D83" s="1" t="s">
        <v>8</v>
      </c>
      <c r="E83" s="1" t="str">
        <f>"沙小城"</f>
        <v>沙小城</v>
      </c>
      <c r="F83" s="1" t="str">
        <f>"2022024019"</f>
        <v>2022024019</v>
      </c>
      <c r="G83" s="2" t="s">
        <v>44</v>
      </c>
      <c r="H83" s="2" t="s">
        <v>193</v>
      </c>
      <c r="I83" s="1">
        <v>29</v>
      </c>
      <c r="J83" s="1">
        <f t="shared" si="7"/>
        <v>124.1</v>
      </c>
      <c r="K83" s="4">
        <f t="shared" si="6"/>
        <v>62.05</v>
      </c>
    </row>
    <row r="84" spans="1:11">
      <c r="A84" s="4">
        <v>82</v>
      </c>
      <c r="B84" s="1" t="str">
        <f t="shared" si="5"/>
        <v>103</v>
      </c>
      <c r="C84" s="1" t="s">
        <v>179</v>
      </c>
      <c r="D84" s="1" t="s">
        <v>8</v>
      </c>
      <c r="E84" s="1" t="str">
        <f>"汪淼"</f>
        <v>汪淼</v>
      </c>
      <c r="F84" s="1" t="str">
        <f>"2022024305"</f>
        <v>2022024305</v>
      </c>
      <c r="G84" s="2" t="s">
        <v>62</v>
      </c>
      <c r="H84" s="2" t="s">
        <v>192</v>
      </c>
      <c r="I84" s="1">
        <v>29</v>
      </c>
      <c r="J84" s="1">
        <f t="shared" si="7"/>
        <v>123.8</v>
      </c>
      <c r="K84" s="4">
        <f t="shared" si="6"/>
        <v>61.9</v>
      </c>
    </row>
    <row r="85" spans="1:11">
      <c r="A85" s="4">
        <v>83</v>
      </c>
      <c r="B85" s="1" t="str">
        <f t="shared" si="5"/>
        <v>103</v>
      </c>
      <c r="C85" s="1" t="s">
        <v>179</v>
      </c>
      <c r="D85" s="1" t="s">
        <v>8</v>
      </c>
      <c r="E85" s="1" t="str">
        <f>"王雪"</f>
        <v>王雪</v>
      </c>
      <c r="F85" s="1" t="str">
        <f>"2022022523"</f>
        <v>2022022523</v>
      </c>
      <c r="G85" s="2" t="s">
        <v>67</v>
      </c>
      <c r="H85" s="2" t="s">
        <v>106</v>
      </c>
      <c r="I85" s="1">
        <v>29</v>
      </c>
      <c r="J85" s="1">
        <f t="shared" si="7"/>
        <v>123.6</v>
      </c>
      <c r="K85" s="4">
        <f t="shared" si="6"/>
        <v>61.8</v>
      </c>
    </row>
    <row r="86" spans="1:11">
      <c r="A86" s="4">
        <v>84</v>
      </c>
      <c r="B86" s="1" t="str">
        <f t="shared" si="5"/>
        <v>103</v>
      </c>
      <c r="C86" s="1" t="s">
        <v>179</v>
      </c>
      <c r="D86" s="1" t="s">
        <v>8</v>
      </c>
      <c r="E86" s="1" t="str">
        <f>"王欢欢"</f>
        <v>王欢欢</v>
      </c>
      <c r="F86" s="1" t="str">
        <f>"2022022704"</f>
        <v>2022022704</v>
      </c>
      <c r="G86" s="2" t="s">
        <v>41</v>
      </c>
      <c r="H86" s="2" t="s">
        <v>128</v>
      </c>
      <c r="I86" s="1">
        <v>30</v>
      </c>
      <c r="J86" s="1">
        <f t="shared" si="7"/>
        <v>123</v>
      </c>
      <c r="K86" s="4">
        <f t="shared" si="6"/>
        <v>61.5</v>
      </c>
    </row>
    <row r="87" spans="1:11">
      <c r="A87" s="4">
        <v>85</v>
      </c>
      <c r="B87" s="1" t="str">
        <f t="shared" si="5"/>
        <v>103</v>
      </c>
      <c r="C87" s="1" t="s">
        <v>179</v>
      </c>
      <c r="D87" s="1" t="s">
        <v>8</v>
      </c>
      <c r="E87" s="1" t="str">
        <f>"王紫晓"</f>
        <v>王紫晓</v>
      </c>
      <c r="F87" s="1" t="str">
        <f>"2022023711"</f>
        <v>2022023711</v>
      </c>
      <c r="G87" s="2" t="s">
        <v>191</v>
      </c>
      <c r="H87" s="2" t="s">
        <v>28</v>
      </c>
      <c r="I87" s="1">
        <v>29</v>
      </c>
      <c r="J87" s="1">
        <f t="shared" si="7"/>
        <v>123</v>
      </c>
      <c r="K87" s="4">
        <f t="shared" si="6"/>
        <v>61.5</v>
      </c>
    </row>
    <row r="88" spans="1:11">
      <c r="A88" s="4">
        <v>86</v>
      </c>
      <c r="B88" s="1" t="str">
        <f t="shared" si="5"/>
        <v>103</v>
      </c>
      <c r="C88" s="1" t="s">
        <v>179</v>
      </c>
      <c r="D88" s="1" t="s">
        <v>8</v>
      </c>
      <c r="E88" s="1" t="str">
        <f>"段丽"</f>
        <v>段丽</v>
      </c>
      <c r="F88" s="1" t="str">
        <f>"2022022506"</f>
        <v>2022022506</v>
      </c>
      <c r="G88" s="2" t="s">
        <v>60</v>
      </c>
      <c r="H88" s="2" t="s">
        <v>155</v>
      </c>
      <c r="I88" s="1">
        <v>29</v>
      </c>
      <c r="J88" s="1">
        <f t="shared" si="7"/>
        <v>122.5</v>
      </c>
      <c r="K88" s="4">
        <f t="shared" si="6"/>
        <v>61.25</v>
      </c>
    </row>
    <row r="89" spans="1:11">
      <c r="A89" s="4">
        <v>87</v>
      </c>
      <c r="B89" s="1" t="str">
        <f t="shared" si="5"/>
        <v>103</v>
      </c>
      <c r="C89" s="1" t="s">
        <v>179</v>
      </c>
      <c r="D89" s="1" t="s">
        <v>8</v>
      </c>
      <c r="E89" s="1" t="str">
        <f>"陈雪萍"</f>
        <v>陈雪萍</v>
      </c>
      <c r="F89" s="1" t="str">
        <f>"2022020421"</f>
        <v>2022020421</v>
      </c>
      <c r="G89" s="2" t="s">
        <v>190</v>
      </c>
      <c r="H89" s="2" t="s">
        <v>151</v>
      </c>
      <c r="I89" s="1">
        <v>30</v>
      </c>
      <c r="J89" s="1">
        <f t="shared" si="7"/>
        <v>122.4</v>
      </c>
      <c r="K89" s="4">
        <f t="shared" si="6"/>
        <v>61.2</v>
      </c>
    </row>
    <row r="90" spans="1:11">
      <c r="A90" s="4">
        <v>88</v>
      </c>
      <c r="B90" s="1" t="str">
        <f t="shared" si="5"/>
        <v>103</v>
      </c>
      <c r="C90" s="1" t="s">
        <v>179</v>
      </c>
      <c r="D90" s="1" t="s">
        <v>8</v>
      </c>
      <c r="E90" s="1" t="str">
        <f>"李丽"</f>
        <v>李丽</v>
      </c>
      <c r="F90" s="1" t="str">
        <f>"2022024202"</f>
        <v>2022024202</v>
      </c>
      <c r="G90" s="2" t="s">
        <v>11</v>
      </c>
      <c r="H90" s="2" t="s">
        <v>130</v>
      </c>
      <c r="I90" s="1">
        <v>28</v>
      </c>
      <c r="J90" s="1">
        <f t="shared" si="7"/>
        <v>121.9</v>
      </c>
      <c r="K90" s="4">
        <f t="shared" si="6"/>
        <v>60.95</v>
      </c>
    </row>
    <row r="91" spans="1:11">
      <c r="A91" s="4">
        <v>89</v>
      </c>
      <c r="B91" s="1" t="str">
        <f t="shared" si="5"/>
        <v>103</v>
      </c>
      <c r="C91" s="1" t="s">
        <v>179</v>
      </c>
      <c r="D91" s="1" t="s">
        <v>8</v>
      </c>
      <c r="E91" s="1" t="str">
        <f>"解双翠"</f>
        <v>解双翠</v>
      </c>
      <c r="F91" s="1" t="str">
        <f>"2022023625"</f>
        <v>2022023625</v>
      </c>
      <c r="G91" s="2" t="s">
        <v>48</v>
      </c>
      <c r="H91" s="2" t="s">
        <v>61</v>
      </c>
      <c r="I91" s="1">
        <v>29</v>
      </c>
      <c r="J91" s="1">
        <f t="shared" si="7"/>
        <v>121.80000000000001</v>
      </c>
      <c r="K91" s="4">
        <f t="shared" si="6"/>
        <v>60.900000000000006</v>
      </c>
    </row>
    <row r="92" spans="1:11">
      <c r="A92" s="4">
        <v>90</v>
      </c>
      <c r="B92" s="1" t="str">
        <f t="shared" si="5"/>
        <v>103</v>
      </c>
      <c r="C92" s="1" t="s">
        <v>179</v>
      </c>
      <c r="D92" s="1" t="s">
        <v>8</v>
      </c>
      <c r="E92" s="1" t="str">
        <f>"相伟娜"</f>
        <v>相伟娜</v>
      </c>
      <c r="F92" s="1" t="str">
        <f>"2022023415"</f>
        <v>2022023415</v>
      </c>
      <c r="G92" s="2" t="s">
        <v>150</v>
      </c>
      <c r="H92" s="2" t="s">
        <v>143</v>
      </c>
      <c r="I92" s="1">
        <v>29</v>
      </c>
      <c r="J92" s="1">
        <f t="shared" si="7"/>
        <v>121.4</v>
      </c>
      <c r="K92" s="4">
        <f t="shared" si="6"/>
        <v>60.7</v>
      </c>
    </row>
    <row r="93" spans="1:11">
      <c r="A93" s="4">
        <v>91</v>
      </c>
      <c r="B93" s="1" t="str">
        <f t="shared" si="5"/>
        <v>103</v>
      </c>
      <c r="C93" s="1" t="s">
        <v>179</v>
      </c>
      <c r="D93" s="1" t="s">
        <v>8</v>
      </c>
      <c r="E93" s="1" t="str">
        <f>"雷明凤"</f>
        <v>雷明凤</v>
      </c>
      <c r="F93" s="1" t="str">
        <f>"2022022809"</f>
        <v>2022022809</v>
      </c>
      <c r="G93" s="2" t="s">
        <v>29</v>
      </c>
      <c r="H93" s="2" t="s">
        <v>73</v>
      </c>
      <c r="I93" s="1">
        <v>30</v>
      </c>
      <c r="J93" s="1">
        <f t="shared" si="7"/>
        <v>121.1</v>
      </c>
      <c r="K93" s="4">
        <f t="shared" si="6"/>
        <v>60.55</v>
      </c>
    </row>
    <row r="94" spans="1:11">
      <c r="A94" s="4">
        <v>92</v>
      </c>
      <c r="B94" s="1" t="str">
        <f t="shared" si="5"/>
        <v>103</v>
      </c>
      <c r="C94" s="1" t="s">
        <v>179</v>
      </c>
      <c r="D94" s="1" t="s">
        <v>8</v>
      </c>
      <c r="E94" s="1" t="str">
        <f>"董程程"</f>
        <v>董程程</v>
      </c>
      <c r="F94" s="1" t="str">
        <f>"2022022802"</f>
        <v>2022022802</v>
      </c>
      <c r="G94" s="2" t="s">
        <v>188</v>
      </c>
      <c r="H94" s="2" t="s">
        <v>47</v>
      </c>
      <c r="I94" s="1">
        <v>28</v>
      </c>
      <c r="J94" s="1">
        <f t="shared" si="7"/>
        <v>120.9</v>
      </c>
      <c r="K94" s="4">
        <f t="shared" si="6"/>
        <v>60.45</v>
      </c>
    </row>
    <row r="95" spans="1:11">
      <c r="A95" s="4">
        <v>93</v>
      </c>
      <c r="B95" s="1" t="str">
        <f t="shared" si="5"/>
        <v>103</v>
      </c>
      <c r="C95" s="1" t="s">
        <v>179</v>
      </c>
      <c r="D95" s="1" t="s">
        <v>8</v>
      </c>
      <c r="E95" s="1" t="str">
        <f>"刘楠"</f>
        <v>刘楠</v>
      </c>
      <c r="F95" s="1" t="str">
        <f>"2022023118"</f>
        <v>2022023118</v>
      </c>
      <c r="G95" s="2" t="s">
        <v>189</v>
      </c>
      <c r="H95" s="2" t="s">
        <v>140</v>
      </c>
      <c r="I95" s="1">
        <v>30</v>
      </c>
      <c r="J95" s="1">
        <f t="shared" si="7"/>
        <v>120.9</v>
      </c>
      <c r="K95" s="4">
        <f t="shared" si="6"/>
        <v>60.45</v>
      </c>
    </row>
    <row r="96" spans="1:11">
      <c r="A96" s="4">
        <v>94</v>
      </c>
      <c r="B96" s="1" t="str">
        <f t="shared" si="5"/>
        <v>103</v>
      </c>
      <c r="C96" s="1" t="s">
        <v>179</v>
      </c>
      <c r="D96" s="1" t="s">
        <v>8</v>
      </c>
      <c r="E96" s="1" t="str">
        <f>"关梦珍"</f>
        <v>关梦珍</v>
      </c>
      <c r="F96" s="1" t="str">
        <f>"2022024123"</f>
        <v>2022024123</v>
      </c>
      <c r="G96" s="2" t="s">
        <v>67</v>
      </c>
      <c r="H96" s="2" t="s">
        <v>64</v>
      </c>
      <c r="I96" s="1">
        <v>30</v>
      </c>
      <c r="J96" s="1">
        <f t="shared" si="7"/>
        <v>120.5</v>
      </c>
      <c r="K96" s="4">
        <f t="shared" si="6"/>
        <v>60.25</v>
      </c>
    </row>
    <row r="97" spans="1:11">
      <c r="A97" s="4">
        <v>95</v>
      </c>
      <c r="B97" s="1" t="str">
        <f t="shared" si="5"/>
        <v>103</v>
      </c>
      <c r="C97" s="1" t="s">
        <v>179</v>
      </c>
      <c r="D97" s="1" t="s">
        <v>8</v>
      </c>
      <c r="E97" s="1" t="str">
        <f>"王钰"</f>
        <v>王钰</v>
      </c>
      <c r="F97" s="1" t="str">
        <f>"2022024128"</f>
        <v>2022024128</v>
      </c>
      <c r="G97" s="2" t="s">
        <v>93</v>
      </c>
      <c r="H97" s="2" t="s">
        <v>64</v>
      </c>
      <c r="I97" s="1">
        <v>30</v>
      </c>
      <c r="J97" s="1">
        <f t="shared" si="7"/>
        <v>120.4</v>
      </c>
      <c r="K97" s="4">
        <f t="shared" si="6"/>
        <v>60.2</v>
      </c>
    </row>
    <row r="98" spans="1:11">
      <c r="A98" s="4">
        <v>96</v>
      </c>
      <c r="B98" s="1" t="str">
        <f t="shared" si="5"/>
        <v>103</v>
      </c>
      <c r="C98" s="1" t="s">
        <v>179</v>
      </c>
      <c r="D98" s="1" t="s">
        <v>8</v>
      </c>
      <c r="E98" s="1" t="str">
        <f>"薛娆"</f>
        <v>薛娆</v>
      </c>
      <c r="F98" s="1" t="str">
        <f>"2022022620"</f>
        <v>2022022620</v>
      </c>
      <c r="G98" s="2" t="s">
        <v>38</v>
      </c>
      <c r="H98" s="2" t="s">
        <v>9</v>
      </c>
      <c r="I98" s="1">
        <v>26</v>
      </c>
      <c r="J98" s="1">
        <f t="shared" si="7"/>
        <v>120.1</v>
      </c>
      <c r="K98" s="4">
        <f t="shared" si="6"/>
        <v>60.05</v>
      </c>
    </row>
    <row r="99" spans="1:11">
      <c r="A99" s="4">
        <v>97</v>
      </c>
      <c r="B99" s="1" t="str">
        <f t="shared" ref="B99:B128" si="8">"104"</f>
        <v>104</v>
      </c>
      <c r="C99" s="1" t="s">
        <v>201</v>
      </c>
      <c r="D99" s="1" t="s">
        <v>8</v>
      </c>
      <c r="E99" s="1" t="str">
        <f>"陆莹莹"</f>
        <v>陆莹莹</v>
      </c>
      <c r="F99" s="1" t="str">
        <f>"2022023202"</f>
        <v>2022023202</v>
      </c>
      <c r="G99" s="2" t="s">
        <v>215</v>
      </c>
      <c r="H99" s="2" t="s">
        <v>211</v>
      </c>
      <c r="I99" s="1">
        <v>30</v>
      </c>
      <c r="J99" s="1">
        <f t="shared" si="7"/>
        <v>145</v>
      </c>
      <c r="K99" s="4">
        <f t="shared" ref="K99:K128" si="9">J99/2</f>
        <v>72.5</v>
      </c>
    </row>
    <row r="100" spans="1:11">
      <c r="A100" s="4">
        <v>98</v>
      </c>
      <c r="B100" s="1" t="str">
        <f t="shared" si="8"/>
        <v>104</v>
      </c>
      <c r="C100" s="1" t="s">
        <v>201</v>
      </c>
      <c r="D100" s="1" t="s">
        <v>8</v>
      </c>
      <c r="E100" s="1" t="str">
        <f>"郭飞宇"</f>
        <v>郭飞宇</v>
      </c>
      <c r="F100" s="1" t="str">
        <f>"2022021716"</f>
        <v>2022021716</v>
      </c>
      <c r="G100" s="2" t="s">
        <v>214</v>
      </c>
      <c r="H100" s="2" t="s">
        <v>169</v>
      </c>
      <c r="I100" s="1">
        <v>30</v>
      </c>
      <c r="J100" s="1">
        <f t="shared" si="7"/>
        <v>137.80000000000001</v>
      </c>
      <c r="K100" s="4">
        <f t="shared" si="9"/>
        <v>68.900000000000006</v>
      </c>
    </row>
    <row r="101" spans="1:11">
      <c r="A101" s="4">
        <v>99</v>
      </c>
      <c r="B101" s="1" t="str">
        <f t="shared" si="8"/>
        <v>104</v>
      </c>
      <c r="C101" s="1" t="s">
        <v>201</v>
      </c>
      <c r="D101" s="1" t="s">
        <v>8</v>
      </c>
      <c r="E101" s="1" t="str">
        <f>"怀自强"</f>
        <v>怀自强</v>
      </c>
      <c r="F101" s="1" t="str">
        <f>"2022023112"</f>
        <v>2022023112</v>
      </c>
      <c r="G101" s="2" t="s">
        <v>120</v>
      </c>
      <c r="H101" s="2" t="s">
        <v>169</v>
      </c>
      <c r="I101" s="1">
        <v>29</v>
      </c>
      <c r="J101" s="1">
        <f t="shared" si="7"/>
        <v>133.6</v>
      </c>
      <c r="K101" s="4">
        <f t="shared" si="9"/>
        <v>66.8</v>
      </c>
    </row>
    <row r="102" spans="1:11">
      <c r="A102" s="4">
        <v>100</v>
      </c>
      <c r="B102" s="1" t="str">
        <f t="shared" si="8"/>
        <v>104</v>
      </c>
      <c r="C102" s="1" t="s">
        <v>201</v>
      </c>
      <c r="D102" s="1" t="s">
        <v>8</v>
      </c>
      <c r="E102" s="1" t="str">
        <f>"任春苗"</f>
        <v>任春苗</v>
      </c>
      <c r="F102" s="1" t="str">
        <f>"2022024117"</f>
        <v>2022024117</v>
      </c>
      <c r="G102" s="2" t="s">
        <v>213</v>
      </c>
      <c r="H102" s="2" t="s">
        <v>206</v>
      </c>
      <c r="I102" s="1">
        <v>27</v>
      </c>
      <c r="J102" s="1">
        <f t="shared" si="7"/>
        <v>132.6</v>
      </c>
      <c r="K102" s="4">
        <f t="shared" si="9"/>
        <v>66.3</v>
      </c>
    </row>
    <row r="103" spans="1:11">
      <c r="A103" s="4">
        <v>101</v>
      </c>
      <c r="B103" s="1" t="str">
        <f t="shared" si="8"/>
        <v>104</v>
      </c>
      <c r="C103" s="1" t="s">
        <v>201</v>
      </c>
      <c r="D103" s="1" t="s">
        <v>8</v>
      </c>
      <c r="E103" s="1" t="str">
        <f>"李琼"</f>
        <v>李琼</v>
      </c>
      <c r="F103" s="1" t="str">
        <f>"2022020116"</f>
        <v>2022020116</v>
      </c>
      <c r="G103" s="2" t="s">
        <v>212</v>
      </c>
      <c r="H103" s="2" t="s">
        <v>103</v>
      </c>
      <c r="I103" s="1">
        <v>30</v>
      </c>
      <c r="J103" s="1">
        <f t="shared" si="7"/>
        <v>130.5</v>
      </c>
      <c r="K103" s="4">
        <f t="shared" si="9"/>
        <v>65.25</v>
      </c>
    </row>
    <row r="104" spans="1:11">
      <c r="A104" s="4">
        <v>102</v>
      </c>
      <c r="B104" s="1" t="str">
        <f t="shared" si="8"/>
        <v>104</v>
      </c>
      <c r="C104" s="1" t="s">
        <v>201</v>
      </c>
      <c r="D104" s="1" t="s">
        <v>8</v>
      </c>
      <c r="E104" s="1" t="str">
        <f>"薛如男"</f>
        <v>薛如男</v>
      </c>
      <c r="F104" s="1" t="str">
        <f>"2022020805"</f>
        <v>2022020805</v>
      </c>
      <c r="G104" s="2" t="s">
        <v>97</v>
      </c>
      <c r="H104" s="2" t="s">
        <v>164</v>
      </c>
      <c r="I104" s="1">
        <v>28</v>
      </c>
      <c r="J104" s="1">
        <f t="shared" si="7"/>
        <v>129.30000000000001</v>
      </c>
      <c r="K104" s="4">
        <f t="shared" si="9"/>
        <v>64.650000000000006</v>
      </c>
    </row>
    <row r="105" spans="1:11">
      <c r="A105" s="4">
        <v>103</v>
      </c>
      <c r="B105" s="1" t="str">
        <f t="shared" si="8"/>
        <v>104</v>
      </c>
      <c r="C105" s="1" t="s">
        <v>201</v>
      </c>
      <c r="D105" s="1" t="s">
        <v>8</v>
      </c>
      <c r="E105" s="1" t="str">
        <f>"陈蒙蒙"</f>
        <v>陈蒙蒙</v>
      </c>
      <c r="F105" s="1" t="str">
        <f>"2022022913"</f>
        <v>2022022913</v>
      </c>
      <c r="G105" s="2" t="s">
        <v>113</v>
      </c>
      <c r="H105" s="2" t="s">
        <v>211</v>
      </c>
      <c r="I105" s="1">
        <v>29</v>
      </c>
      <c r="J105" s="1">
        <f t="shared" si="7"/>
        <v>128.5</v>
      </c>
      <c r="K105" s="4">
        <f t="shared" si="9"/>
        <v>64.25</v>
      </c>
    </row>
    <row r="106" spans="1:11">
      <c r="A106" s="4">
        <v>104</v>
      </c>
      <c r="B106" s="1" t="str">
        <f t="shared" si="8"/>
        <v>104</v>
      </c>
      <c r="C106" s="1" t="s">
        <v>201</v>
      </c>
      <c r="D106" s="1" t="s">
        <v>8</v>
      </c>
      <c r="E106" s="1" t="str">
        <f>"周洁"</f>
        <v>周洁</v>
      </c>
      <c r="F106" s="1" t="str">
        <f>"2022022703"</f>
        <v>2022022703</v>
      </c>
      <c r="G106" s="2" t="s">
        <v>113</v>
      </c>
      <c r="H106" s="2" t="s">
        <v>143</v>
      </c>
      <c r="I106" s="1">
        <v>30</v>
      </c>
      <c r="J106" s="1">
        <f t="shared" si="7"/>
        <v>127.9</v>
      </c>
      <c r="K106" s="4">
        <f t="shared" si="9"/>
        <v>63.95</v>
      </c>
    </row>
    <row r="107" spans="1:11">
      <c r="A107" s="4">
        <v>105</v>
      </c>
      <c r="B107" s="1" t="str">
        <f t="shared" si="8"/>
        <v>104</v>
      </c>
      <c r="C107" s="1" t="s">
        <v>201</v>
      </c>
      <c r="D107" s="1" t="s">
        <v>8</v>
      </c>
      <c r="E107" s="1" t="str">
        <f>"任明俐"</f>
        <v>任明俐</v>
      </c>
      <c r="F107" s="1" t="str">
        <f>"2022022308"</f>
        <v>2022022308</v>
      </c>
      <c r="G107" s="2" t="s">
        <v>210</v>
      </c>
      <c r="H107" s="2" t="s">
        <v>138</v>
      </c>
      <c r="I107" s="1">
        <v>28</v>
      </c>
      <c r="J107" s="1">
        <f t="shared" si="7"/>
        <v>126.6</v>
      </c>
      <c r="K107" s="4">
        <f t="shared" si="9"/>
        <v>63.3</v>
      </c>
    </row>
    <row r="108" spans="1:11">
      <c r="A108" s="4">
        <v>106</v>
      </c>
      <c r="B108" s="1" t="str">
        <f t="shared" si="8"/>
        <v>104</v>
      </c>
      <c r="C108" s="1" t="s">
        <v>201</v>
      </c>
      <c r="D108" s="1" t="s">
        <v>8</v>
      </c>
      <c r="E108" s="1" t="str">
        <f>"钱梦君"</f>
        <v>钱梦君</v>
      </c>
      <c r="F108" s="1" t="str">
        <f>"2022022608"</f>
        <v>2022022608</v>
      </c>
      <c r="G108" s="2" t="s">
        <v>99</v>
      </c>
      <c r="H108" s="2" t="s">
        <v>57</v>
      </c>
      <c r="I108" s="1">
        <v>30</v>
      </c>
      <c r="J108" s="1">
        <f t="shared" si="7"/>
        <v>126.1</v>
      </c>
      <c r="K108" s="4">
        <f t="shared" si="9"/>
        <v>63.05</v>
      </c>
    </row>
    <row r="109" spans="1:11">
      <c r="A109" s="4">
        <v>107</v>
      </c>
      <c r="B109" s="1" t="str">
        <f t="shared" si="8"/>
        <v>104</v>
      </c>
      <c r="C109" s="1" t="s">
        <v>201</v>
      </c>
      <c r="D109" s="1" t="s">
        <v>8</v>
      </c>
      <c r="E109" s="1" t="str">
        <f>"吴明珠"</f>
        <v>吴明珠</v>
      </c>
      <c r="F109" s="1" t="str">
        <f>"2022020324"</f>
        <v>2022020324</v>
      </c>
      <c r="G109" s="2" t="s">
        <v>209</v>
      </c>
      <c r="H109" s="2" t="s">
        <v>103</v>
      </c>
      <c r="I109" s="1">
        <v>30</v>
      </c>
      <c r="J109" s="1">
        <f t="shared" si="7"/>
        <v>125.1</v>
      </c>
      <c r="K109" s="4">
        <f t="shared" si="9"/>
        <v>62.55</v>
      </c>
    </row>
    <row r="110" spans="1:11">
      <c r="A110" s="4">
        <v>108</v>
      </c>
      <c r="B110" s="1" t="str">
        <f t="shared" si="8"/>
        <v>104</v>
      </c>
      <c r="C110" s="1" t="s">
        <v>201</v>
      </c>
      <c r="D110" s="1" t="s">
        <v>8</v>
      </c>
      <c r="E110" s="1" t="str">
        <f>"曹晨晨"</f>
        <v>曹晨晨</v>
      </c>
      <c r="F110" s="1" t="str">
        <f>"2022021106"</f>
        <v>2022021106</v>
      </c>
      <c r="G110" s="2" t="s">
        <v>185</v>
      </c>
      <c r="H110" s="2" t="s">
        <v>68</v>
      </c>
      <c r="I110" s="1">
        <v>30</v>
      </c>
      <c r="J110" s="1">
        <f t="shared" si="7"/>
        <v>124.2</v>
      </c>
      <c r="K110" s="4">
        <f t="shared" si="9"/>
        <v>62.1</v>
      </c>
    </row>
    <row r="111" spans="1:11">
      <c r="A111" s="4">
        <v>109</v>
      </c>
      <c r="B111" s="1" t="str">
        <f t="shared" si="8"/>
        <v>104</v>
      </c>
      <c r="C111" s="1" t="s">
        <v>201</v>
      </c>
      <c r="D111" s="1" t="s">
        <v>8</v>
      </c>
      <c r="E111" s="1" t="str">
        <f>"马妮妮"</f>
        <v>马妮妮</v>
      </c>
      <c r="F111" s="1" t="str">
        <f>"2022021406"</f>
        <v>2022021406</v>
      </c>
      <c r="G111" s="2" t="s">
        <v>148</v>
      </c>
      <c r="H111" s="2" t="s">
        <v>68</v>
      </c>
      <c r="I111" s="1">
        <v>30</v>
      </c>
      <c r="J111" s="1">
        <f t="shared" si="7"/>
        <v>124</v>
      </c>
      <c r="K111" s="4">
        <f t="shared" si="9"/>
        <v>62</v>
      </c>
    </row>
    <row r="112" spans="1:11">
      <c r="A112" s="4">
        <v>110</v>
      </c>
      <c r="B112" s="1" t="str">
        <f t="shared" si="8"/>
        <v>104</v>
      </c>
      <c r="C112" s="1" t="s">
        <v>201</v>
      </c>
      <c r="D112" s="1" t="s">
        <v>8</v>
      </c>
      <c r="E112" s="1" t="str">
        <f>"任明莉"</f>
        <v>任明莉</v>
      </c>
      <c r="F112" s="1" t="str">
        <f>"2022024201"</f>
        <v>2022024201</v>
      </c>
      <c r="G112" s="2" t="s">
        <v>96</v>
      </c>
      <c r="H112" s="2" t="s">
        <v>143</v>
      </c>
      <c r="I112" s="1">
        <v>29</v>
      </c>
      <c r="J112" s="1">
        <f t="shared" si="7"/>
        <v>123.69999999999999</v>
      </c>
      <c r="K112" s="4">
        <f t="shared" si="9"/>
        <v>61.849999999999994</v>
      </c>
    </row>
    <row r="113" spans="1:11">
      <c r="A113" s="4">
        <v>111</v>
      </c>
      <c r="B113" s="1" t="str">
        <f t="shared" si="8"/>
        <v>104</v>
      </c>
      <c r="C113" s="1" t="s">
        <v>201</v>
      </c>
      <c r="D113" s="1" t="s">
        <v>8</v>
      </c>
      <c r="E113" s="1" t="str">
        <f>"王杨杨"</f>
        <v>王杨杨</v>
      </c>
      <c r="F113" s="1" t="str">
        <f>"2022022429"</f>
        <v>2022022429</v>
      </c>
      <c r="G113" s="2" t="s">
        <v>38</v>
      </c>
      <c r="H113" s="2" t="s">
        <v>64</v>
      </c>
      <c r="I113" s="1">
        <v>30</v>
      </c>
      <c r="J113" s="1">
        <f t="shared" si="7"/>
        <v>123.3</v>
      </c>
      <c r="K113" s="4">
        <f t="shared" si="9"/>
        <v>61.65</v>
      </c>
    </row>
    <row r="114" spans="1:11">
      <c r="A114" s="4">
        <v>112</v>
      </c>
      <c r="B114" s="1" t="str">
        <f t="shared" si="8"/>
        <v>104</v>
      </c>
      <c r="C114" s="1" t="s">
        <v>201</v>
      </c>
      <c r="D114" s="1" t="s">
        <v>8</v>
      </c>
      <c r="E114" s="1" t="str">
        <f>"纪念"</f>
        <v>纪念</v>
      </c>
      <c r="F114" s="1" t="str">
        <f>"2022022108"</f>
        <v>2022022108</v>
      </c>
      <c r="G114" s="2" t="s">
        <v>208</v>
      </c>
      <c r="H114" s="2" t="s">
        <v>55</v>
      </c>
      <c r="I114" s="1">
        <v>29</v>
      </c>
      <c r="J114" s="1">
        <f t="shared" si="7"/>
        <v>123</v>
      </c>
      <c r="K114" s="4">
        <f t="shared" si="9"/>
        <v>61.5</v>
      </c>
    </row>
    <row r="115" spans="1:11">
      <c r="A115" s="4">
        <v>113</v>
      </c>
      <c r="B115" s="1" t="str">
        <f t="shared" si="8"/>
        <v>104</v>
      </c>
      <c r="C115" s="1" t="s">
        <v>201</v>
      </c>
      <c r="D115" s="1" t="s">
        <v>8</v>
      </c>
      <c r="E115" s="1" t="str">
        <f>"左青荣"</f>
        <v>左青荣</v>
      </c>
      <c r="F115" s="1" t="str">
        <f>"2022020413"</f>
        <v>2022020413</v>
      </c>
      <c r="G115" s="2" t="s">
        <v>207</v>
      </c>
      <c r="H115" s="2" t="s">
        <v>202</v>
      </c>
      <c r="I115" s="1">
        <v>30</v>
      </c>
      <c r="J115" s="1">
        <f t="shared" si="7"/>
        <v>122.5</v>
      </c>
      <c r="K115" s="4">
        <f t="shared" si="9"/>
        <v>61.25</v>
      </c>
    </row>
    <row r="116" spans="1:11">
      <c r="A116" s="4">
        <v>114</v>
      </c>
      <c r="B116" s="1" t="str">
        <f t="shared" si="8"/>
        <v>104</v>
      </c>
      <c r="C116" s="1" t="s">
        <v>201</v>
      </c>
      <c r="D116" s="1" t="s">
        <v>8</v>
      </c>
      <c r="E116" s="1" t="str">
        <f>"李玉争"</f>
        <v>李玉争</v>
      </c>
      <c r="F116" s="1" t="str">
        <f>"2022023322"</f>
        <v>2022023322</v>
      </c>
      <c r="G116" s="2" t="s">
        <v>80</v>
      </c>
      <c r="H116" s="2" t="s">
        <v>57</v>
      </c>
      <c r="I116" s="1">
        <v>28</v>
      </c>
      <c r="J116" s="1">
        <f t="shared" si="7"/>
        <v>122.5</v>
      </c>
      <c r="K116" s="4">
        <f t="shared" si="9"/>
        <v>61.25</v>
      </c>
    </row>
    <row r="117" spans="1:11">
      <c r="A117" s="4">
        <v>115</v>
      </c>
      <c r="B117" s="1" t="str">
        <f t="shared" si="8"/>
        <v>104</v>
      </c>
      <c r="C117" s="1" t="s">
        <v>201</v>
      </c>
      <c r="D117" s="1" t="s">
        <v>8</v>
      </c>
      <c r="E117" s="1" t="str">
        <f>"崔灿"</f>
        <v>崔灿</v>
      </c>
      <c r="F117" s="1" t="str">
        <f>"2022020829"</f>
        <v>2022020829</v>
      </c>
      <c r="G117" s="2" t="s">
        <v>39</v>
      </c>
      <c r="H117" s="2" t="s">
        <v>74</v>
      </c>
      <c r="I117" s="1">
        <v>30</v>
      </c>
      <c r="J117" s="1">
        <f t="shared" si="7"/>
        <v>122.4</v>
      </c>
      <c r="K117" s="4">
        <f t="shared" si="9"/>
        <v>61.2</v>
      </c>
    </row>
    <row r="118" spans="1:11">
      <c r="A118" s="4">
        <v>116</v>
      </c>
      <c r="B118" s="1" t="str">
        <f t="shared" si="8"/>
        <v>104</v>
      </c>
      <c r="C118" s="1" t="s">
        <v>201</v>
      </c>
      <c r="D118" s="1" t="s">
        <v>8</v>
      </c>
      <c r="E118" s="1" t="str">
        <f>"任鹏飞"</f>
        <v>任鹏飞</v>
      </c>
      <c r="F118" s="1" t="str">
        <f>"2022021207"</f>
        <v>2022021207</v>
      </c>
      <c r="G118" s="2" t="s">
        <v>122</v>
      </c>
      <c r="H118" s="2" t="s">
        <v>58</v>
      </c>
      <c r="I118" s="1">
        <v>28</v>
      </c>
      <c r="J118" s="1">
        <f t="shared" si="7"/>
        <v>122.2</v>
      </c>
      <c r="K118" s="4">
        <f t="shared" si="9"/>
        <v>61.1</v>
      </c>
    </row>
    <row r="119" spans="1:11">
      <c r="A119" s="4">
        <v>117</v>
      </c>
      <c r="B119" s="1" t="str">
        <f t="shared" si="8"/>
        <v>104</v>
      </c>
      <c r="C119" s="1" t="s">
        <v>201</v>
      </c>
      <c r="D119" s="1" t="s">
        <v>8</v>
      </c>
      <c r="E119" s="1" t="str">
        <f>"谭琳琳"</f>
        <v>谭琳琳</v>
      </c>
      <c r="F119" s="1" t="str">
        <f>"2022024110"</f>
        <v>2022024110</v>
      </c>
      <c r="G119" s="2" t="s">
        <v>113</v>
      </c>
      <c r="H119" s="2" t="s">
        <v>206</v>
      </c>
      <c r="I119" s="1">
        <v>28</v>
      </c>
      <c r="J119" s="1">
        <f t="shared" si="7"/>
        <v>121.7</v>
      </c>
      <c r="K119" s="4">
        <f t="shared" si="9"/>
        <v>60.85</v>
      </c>
    </row>
    <row r="120" spans="1:11">
      <c r="A120" s="4">
        <v>118</v>
      </c>
      <c r="B120" s="1" t="str">
        <f t="shared" si="8"/>
        <v>104</v>
      </c>
      <c r="C120" s="1" t="s">
        <v>201</v>
      </c>
      <c r="D120" s="1" t="s">
        <v>8</v>
      </c>
      <c r="E120" s="1" t="str">
        <f>"任磊"</f>
        <v>任磊</v>
      </c>
      <c r="F120" s="1" t="str">
        <f>"2022020723"</f>
        <v>2022020723</v>
      </c>
      <c r="G120" s="2" t="s">
        <v>48</v>
      </c>
      <c r="H120" s="2" t="s">
        <v>138</v>
      </c>
      <c r="I120" s="1">
        <v>29</v>
      </c>
      <c r="J120" s="1">
        <f t="shared" si="7"/>
        <v>121.2</v>
      </c>
      <c r="K120" s="4">
        <f t="shared" si="9"/>
        <v>60.6</v>
      </c>
    </row>
    <row r="121" spans="1:11">
      <c r="A121" s="4">
        <v>119</v>
      </c>
      <c r="B121" s="1" t="str">
        <f t="shared" si="8"/>
        <v>104</v>
      </c>
      <c r="C121" s="1" t="s">
        <v>201</v>
      </c>
      <c r="D121" s="1" t="s">
        <v>8</v>
      </c>
      <c r="E121" s="1" t="str">
        <f>"王丹一"</f>
        <v>王丹一</v>
      </c>
      <c r="F121" s="1" t="str">
        <f>"2022023124"</f>
        <v>2022023124</v>
      </c>
      <c r="G121" s="2" t="s">
        <v>15</v>
      </c>
      <c r="H121" s="2" t="s">
        <v>162</v>
      </c>
      <c r="I121" s="1">
        <v>30</v>
      </c>
      <c r="J121" s="1">
        <f t="shared" si="7"/>
        <v>121.2</v>
      </c>
      <c r="K121" s="4">
        <f t="shared" si="9"/>
        <v>60.6</v>
      </c>
    </row>
    <row r="122" spans="1:11">
      <c r="A122" s="4">
        <v>120</v>
      </c>
      <c r="B122" s="1" t="str">
        <f t="shared" si="8"/>
        <v>104</v>
      </c>
      <c r="C122" s="1" t="s">
        <v>201</v>
      </c>
      <c r="D122" s="1" t="s">
        <v>8</v>
      </c>
      <c r="E122" s="1" t="str">
        <f>"王倩倩"</f>
        <v>王倩倩</v>
      </c>
      <c r="F122" s="1" t="str">
        <f>"2022020328"</f>
        <v>2022020328</v>
      </c>
      <c r="G122" s="2" t="s">
        <v>89</v>
      </c>
      <c r="H122" s="2" t="s">
        <v>86</v>
      </c>
      <c r="I122" s="1">
        <v>30</v>
      </c>
      <c r="J122" s="1">
        <f t="shared" si="7"/>
        <v>120.7</v>
      </c>
      <c r="K122" s="4">
        <f t="shared" si="9"/>
        <v>60.35</v>
      </c>
    </row>
    <row r="123" spans="1:11">
      <c r="A123" s="4">
        <v>121</v>
      </c>
      <c r="B123" s="1" t="str">
        <f t="shared" si="8"/>
        <v>104</v>
      </c>
      <c r="C123" s="1" t="s">
        <v>201</v>
      </c>
      <c r="D123" s="1" t="s">
        <v>8</v>
      </c>
      <c r="E123" s="1" t="str">
        <f>"王秀秀"</f>
        <v>王秀秀</v>
      </c>
      <c r="F123" s="1" t="str">
        <f>"2022020801"</f>
        <v>2022020801</v>
      </c>
      <c r="G123" s="2" t="s">
        <v>157</v>
      </c>
      <c r="H123" s="2" t="s">
        <v>56</v>
      </c>
      <c r="I123" s="1">
        <v>29</v>
      </c>
      <c r="J123" s="1">
        <f t="shared" si="7"/>
        <v>120.7</v>
      </c>
      <c r="K123" s="4">
        <f t="shared" si="9"/>
        <v>60.35</v>
      </c>
    </row>
    <row r="124" spans="1:11">
      <c r="A124" s="4">
        <v>122</v>
      </c>
      <c r="B124" s="1" t="str">
        <f t="shared" si="8"/>
        <v>104</v>
      </c>
      <c r="C124" s="1" t="s">
        <v>201</v>
      </c>
      <c r="D124" s="1" t="s">
        <v>8</v>
      </c>
      <c r="E124" s="1" t="str">
        <f>"孟春交"</f>
        <v>孟春交</v>
      </c>
      <c r="F124" s="1" t="str">
        <f>"2022023418"</f>
        <v>2022023418</v>
      </c>
      <c r="G124" s="2" t="s">
        <v>185</v>
      </c>
      <c r="H124" s="2" t="s">
        <v>98</v>
      </c>
      <c r="I124" s="1">
        <v>30</v>
      </c>
      <c r="J124" s="1">
        <f t="shared" si="7"/>
        <v>120.5</v>
      </c>
      <c r="K124" s="4">
        <f t="shared" si="9"/>
        <v>60.25</v>
      </c>
    </row>
    <row r="125" spans="1:11">
      <c r="A125" s="4">
        <v>123</v>
      </c>
      <c r="B125" s="1" t="str">
        <f t="shared" si="8"/>
        <v>104</v>
      </c>
      <c r="C125" s="1" t="s">
        <v>201</v>
      </c>
      <c r="D125" s="1" t="s">
        <v>8</v>
      </c>
      <c r="E125" s="1" t="str">
        <f>"王子璇"</f>
        <v>王子璇</v>
      </c>
      <c r="F125" s="1" t="str">
        <f>"2022023920"</f>
        <v>2022023920</v>
      </c>
      <c r="G125" s="2" t="s">
        <v>89</v>
      </c>
      <c r="H125" s="2" t="s">
        <v>12</v>
      </c>
      <c r="I125" s="1">
        <v>28</v>
      </c>
      <c r="J125" s="1">
        <f t="shared" si="7"/>
        <v>120.5</v>
      </c>
      <c r="K125" s="4">
        <f t="shared" si="9"/>
        <v>60.25</v>
      </c>
    </row>
    <row r="126" spans="1:11">
      <c r="A126" s="4">
        <v>124</v>
      </c>
      <c r="B126" s="1" t="str">
        <f t="shared" si="8"/>
        <v>104</v>
      </c>
      <c r="C126" s="1" t="s">
        <v>201</v>
      </c>
      <c r="D126" s="1" t="s">
        <v>8</v>
      </c>
      <c r="E126" s="1" t="str">
        <f>"管婧君"</f>
        <v>管婧君</v>
      </c>
      <c r="F126" s="1" t="str">
        <f>"2022023301"</f>
        <v>2022023301</v>
      </c>
      <c r="G126" s="2" t="s">
        <v>183</v>
      </c>
      <c r="H126" s="2" t="s">
        <v>27</v>
      </c>
      <c r="I126" s="1">
        <v>29</v>
      </c>
      <c r="J126" s="1">
        <f t="shared" si="7"/>
        <v>120.30000000000001</v>
      </c>
      <c r="K126" s="4">
        <f t="shared" si="9"/>
        <v>60.150000000000006</v>
      </c>
    </row>
    <row r="127" spans="1:11">
      <c r="A127" s="4">
        <v>125</v>
      </c>
      <c r="B127" s="1" t="str">
        <f t="shared" si="8"/>
        <v>104</v>
      </c>
      <c r="C127" s="1" t="s">
        <v>201</v>
      </c>
      <c r="D127" s="1" t="s">
        <v>8</v>
      </c>
      <c r="E127" s="1" t="str">
        <f>"魏玉晴"</f>
        <v>魏玉晴</v>
      </c>
      <c r="F127" s="1" t="str">
        <f>"2022023120"</f>
        <v>2022023120</v>
      </c>
      <c r="G127" s="2" t="s">
        <v>205</v>
      </c>
      <c r="H127" s="2" t="s">
        <v>202</v>
      </c>
      <c r="I127" s="1">
        <v>29</v>
      </c>
      <c r="J127" s="1">
        <f t="shared" si="7"/>
        <v>120.3</v>
      </c>
      <c r="K127" s="4">
        <f t="shared" si="9"/>
        <v>60.15</v>
      </c>
    </row>
    <row r="128" spans="1:11">
      <c r="A128" s="4">
        <v>126</v>
      </c>
      <c r="B128" s="1" t="str">
        <f t="shared" si="8"/>
        <v>104</v>
      </c>
      <c r="C128" s="1" t="s">
        <v>201</v>
      </c>
      <c r="D128" s="1" t="s">
        <v>8</v>
      </c>
      <c r="E128" s="1" t="str">
        <f>"陶言言"</f>
        <v>陶言言</v>
      </c>
      <c r="F128" s="1" t="str">
        <f>"2022024111"</f>
        <v>2022024111</v>
      </c>
      <c r="G128" s="2" t="s">
        <v>82</v>
      </c>
      <c r="H128" s="2" t="s">
        <v>79</v>
      </c>
      <c r="I128" s="1">
        <v>30</v>
      </c>
      <c r="J128" s="1">
        <f t="shared" si="7"/>
        <v>120.19999999999999</v>
      </c>
      <c r="K128" s="4">
        <f t="shared" si="9"/>
        <v>60.099999999999994</v>
      </c>
    </row>
    <row r="129" spans="1:11">
      <c r="A129" s="4">
        <v>127</v>
      </c>
      <c r="B129" s="1" t="str">
        <f t="shared" ref="B129:B168" si="10">"105"</f>
        <v>105</v>
      </c>
      <c r="C129" s="1" t="s">
        <v>216</v>
      </c>
      <c r="D129" s="1" t="s">
        <v>8</v>
      </c>
      <c r="E129" s="1" t="str">
        <f>"陈杰"</f>
        <v>陈杰</v>
      </c>
      <c r="F129" s="1" t="str">
        <f>"2022020127"</f>
        <v>2022020127</v>
      </c>
      <c r="G129" s="2" t="s">
        <v>75</v>
      </c>
      <c r="H129" s="2" t="s">
        <v>18</v>
      </c>
      <c r="I129" s="1">
        <v>30</v>
      </c>
      <c r="J129" s="1">
        <f t="shared" si="7"/>
        <v>149.19999999999999</v>
      </c>
      <c r="K129" s="4">
        <f t="shared" ref="K129:K168" si="11">J129/2</f>
        <v>74.599999999999994</v>
      </c>
    </row>
    <row r="130" spans="1:11">
      <c r="A130" s="4">
        <v>128</v>
      </c>
      <c r="B130" s="1" t="str">
        <f t="shared" si="10"/>
        <v>105</v>
      </c>
      <c r="C130" s="1" t="s">
        <v>216</v>
      </c>
      <c r="D130" s="1" t="s">
        <v>8</v>
      </c>
      <c r="E130" s="1" t="str">
        <f>"董献伟"</f>
        <v>董献伟</v>
      </c>
      <c r="F130" s="1" t="str">
        <f>"2022023627"</f>
        <v>2022023627</v>
      </c>
      <c r="G130" s="2" t="s">
        <v>238</v>
      </c>
      <c r="H130" s="2" t="s">
        <v>74</v>
      </c>
      <c r="I130" s="1">
        <v>28</v>
      </c>
      <c r="J130" s="1">
        <f t="shared" si="7"/>
        <v>146.80000000000001</v>
      </c>
      <c r="K130" s="4">
        <f t="shared" si="11"/>
        <v>73.400000000000006</v>
      </c>
    </row>
    <row r="131" spans="1:11">
      <c r="A131" s="4">
        <v>129</v>
      </c>
      <c r="B131" s="1" t="str">
        <f t="shared" si="10"/>
        <v>105</v>
      </c>
      <c r="C131" s="1" t="s">
        <v>216</v>
      </c>
      <c r="D131" s="1" t="s">
        <v>8</v>
      </c>
      <c r="E131" s="1" t="str">
        <f>"孟令超"</f>
        <v>孟令超</v>
      </c>
      <c r="F131" s="1" t="str">
        <f>"2022024311"</f>
        <v>2022024311</v>
      </c>
      <c r="G131" s="2" t="s">
        <v>237</v>
      </c>
      <c r="H131" s="2" t="s">
        <v>140</v>
      </c>
      <c r="I131" s="1">
        <v>30</v>
      </c>
      <c r="J131" s="1">
        <f t="shared" ref="J131:J194" si="12">G131+H131+I131</f>
        <v>145.69999999999999</v>
      </c>
      <c r="K131" s="4">
        <f t="shared" si="11"/>
        <v>72.849999999999994</v>
      </c>
    </row>
    <row r="132" spans="1:11">
      <c r="A132" s="4">
        <v>130</v>
      </c>
      <c r="B132" s="1" t="str">
        <f t="shared" si="10"/>
        <v>105</v>
      </c>
      <c r="C132" s="1" t="s">
        <v>216</v>
      </c>
      <c r="D132" s="1" t="s">
        <v>8</v>
      </c>
      <c r="E132" s="1" t="str">
        <f>"朱敏"</f>
        <v>朱敏</v>
      </c>
      <c r="F132" s="1" t="str">
        <f>"2022022612"</f>
        <v>2022022612</v>
      </c>
      <c r="G132" s="2" t="s">
        <v>236</v>
      </c>
      <c r="H132" s="2" t="s">
        <v>169</v>
      </c>
      <c r="I132" s="1">
        <v>29</v>
      </c>
      <c r="J132" s="1">
        <f t="shared" si="12"/>
        <v>144.80000000000001</v>
      </c>
      <c r="K132" s="4">
        <f t="shared" si="11"/>
        <v>72.400000000000006</v>
      </c>
    </row>
    <row r="133" spans="1:11">
      <c r="A133" s="4">
        <v>131</v>
      </c>
      <c r="B133" s="1" t="str">
        <f t="shared" si="10"/>
        <v>105</v>
      </c>
      <c r="C133" s="1" t="s">
        <v>216</v>
      </c>
      <c r="D133" s="1" t="s">
        <v>8</v>
      </c>
      <c r="E133" s="1" t="str">
        <f>"陈莹"</f>
        <v>陈莹</v>
      </c>
      <c r="F133" s="1" t="str">
        <f>"2022020908"</f>
        <v>2022020908</v>
      </c>
      <c r="G133" s="2" t="s">
        <v>235</v>
      </c>
      <c r="H133" s="2" t="s">
        <v>92</v>
      </c>
      <c r="I133" s="1">
        <v>29</v>
      </c>
      <c r="J133" s="1">
        <f t="shared" si="12"/>
        <v>144.1</v>
      </c>
      <c r="K133" s="4">
        <f t="shared" si="11"/>
        <v>72.05</v>
      </c>
    </row>
    <row r="134" spans="1:11">
      <c r="A134" s="4">
        <v>132</v>
      </c>
      <c r="B134" s="1" t="str">
        <f t="shared" si="10"/>
        <v>105</v>
      </c>
      <c r="C134" s="1" t="s">
        <v>216</v>
      </c>
      <c r="D134" s="1" t="s">
        <v>8</v>
      </c>
      <c r="E134" s="1" t="str">
        <f>"王艺"</f>
        <v>王艺</v>
      </c>
      <c r="F134" s="1" t="str">
        <f>"2022020428"</f>
        <v>2022020428</v>
      </c>
      <c r="G134" s="2" t="s">
        <v>234</v>
      </c>
      <c r="H134" s="2" t="s">
        <v>106</v>
      </c>
      <c r="I134" s="1">
        <v>28</v>
      </c>
      <c r="J134" s="1">
        <f t="shared" si="12"/>
        <v>143</v>
      </c>
      <c r="K134" s="4">
        <f t="shared" si="11"/>
        <v>71.5</v>
      </c>
    </row>
    <row r="135" spans="1:11">
      <c r="A135" s="4">
        <v>133</v>
      </c>
      <c r="B135" s="1" t="str">
        <f t="shared" si="10"/>
        <v>105</v>
      </c>
      <c r="C135" s="1" t="s">
        <v>216</v>
      </c>
      <c r="D135" s="1" t="s">
        <v>8</v>
      </c>
      <c r="E135" s="1" t="str">
        <f>"高芷珺"</f>
        <v>高芷珺</v>
      </c>
      <c r="F135" s="1" t="str">
        <f>"2022020121"</f>
        <v>2022020121</v>
      </c>
      <c r="G135" s="2" t="s">
        <v>90</v>
      </c>
      <c r="H135" s="2" t="s">
        <v>149</v>
      </c>
      <c r="I135" s="1">
        <v>30</v>
      </c>
      <c r="J135" s="1">
        <f t="shared" si="12"/>
        <v>142.69999999999999</v>
      </c>
      <c r="K135" s="4">
        <f t="shared" si="11"/>
        <v>71.349999999999994</v>
      </c>
    </row>
    <row r="136" spans="1:11">
      <c r="A136" s="4">
        <v>134</v>
      </c>
      <c r="B136" s="1" t="str">
        <f t="shared" si="10"/>
        <v>105</v>
      </c>
      <c r="C136" s="1" t="s">
        <v>216</v>
      </c>
      <c r="D136" s="1" t="s">
        <v>8</v>
      </c>
      <c r="E136" s="1" t="str">
        <f>"郭梓怡"</f>
        <v>郭梓怡</v>
      </c>
      <c r="F136" s="1" t="str">
        <f>"2022023630"</f>
        <v>2022023630</v>
      </c>
      <c r="G136" s="2" t="s">
        <v>233</v>
      </c>
      <c r="H136" s="2" t="s">
        <v>74</v>
      </c>
      <c r="I136" s="1">
        <v>28</v>
      </c>
      <c r="J136" s="1">
        <f t="shared" si="12"/>
        <v>142</v>
      </c>
      <c r="K136" s="4">
        <f t="shared" si="11"/>
        <v>71</v>
      </c>
    </row>
    <row r="137" spans="1:11">
      <c r="A137" s="4">
        <v>135</v>
      </c>
      <c r="B137" s="1" t="str">
        <f t="shared" si="10"/>
        <v>105</v>
      </c>
      <c r="C137" s="1" t="s">
        <v>216</v>
      </c>
      <c r="D137" s="1" t="s">
        <v>8</v>
      </c>
      <c r="E137" s="1" t="str">
        <f>"李文慧"</f>
        <v>李文慧</v>
      </c>
      <c r="F137" s="1" t="str">
        <f>"2022022304"</f>
        <v>2022022304</v>
      </c>
      <c r="G137" s="2" t="s">
        <v>232</v>
      </c>
      <c r="H137" s="2" t="s">
        <v>103</v>
      </c>
      <c r="I137" s="1">
        <v>30</v>
      </c>
      <c r="J137" s="1">
        <f t="shared" si="12"/>
        <v>141.30000000000001</v>
      </c>
      <c r="K137" s="4">
        <f t="shared" si="11"/>
        <v>70.650000000000006</v>
      </c>
    </row>
    <row r="138" spans="1:11">
      <c r="A138" s="4">
        <v>136</v>
      </c>
      <c r="B138" s="1" t="str">
        <f t="shared" si="10"/>
        <v>105</v>
      </c>
      <c r="C138" s="1" t="s">
        <v>216</v>
      </c>
      <c r="D138" s="1" t="s">
        <v>8</v>
      </c>
      <c r="E138" s="1" t="str">
        <f>"肖庆庆"</f>
        <v>肖庆庆</v>
      </c>
      <c r="F138" s="1" t="str">
        <f>"2022023707"</f>
        <v>2022023707</v>
      </c>
      <c r="G138" s="2" t="s">
        <v>178</v>
      </c>
      <c r="H138" s="2" t="s">
        <v>231</v>
      </c>
      <c r="I138" s="1">
        <v>29</v>
      </c>
      <c r="J138" s="1">
        <f t="shared" si="12"/>
        <v>139.69999999999999</v>
      </c>
      <c r="K138" s="4">
        <f t="shared" si="11"/>
        <v>69.849999999999994</v>
      </c>
    </row>
    <row r="139" spans="1:11">
      <c r="A139" s="4">
        <v>137</v>
      </c>
      <c r="B139" s="1" t="str">
        <f t="shared" si="10"/>
        <v>105</v>
      </c>
      <c r="C139" s="1" t="s">
        <v>216</v>
      </c>
      <c r="D139" s="1" t="s">
        <v>8</v>
      </c>
      <c r="E139" s="1" t="str">
        <f>"陈楠"</f>
        <v>陈楠</v>
      </c>
      <c r="F139" s="1" t="str">
        <f>"2022020511"</f>
        <v>2022020511</v>
      </c>
      <c r="G139" s="2" t="s">
        <v>223</v>
      </c>
      <c r="H139" s="2" t="s">
        <v>106</v>
      </c>
      <c r="I139" s="1">
        <v>30</v>
      </c>
      <c r="J139" s="1">
        <f t="shared" si="12"/>
        <v>139.6</v>
      </c>
      <c r="K139" s="4">
        <f t="shared" si="11"/>
        <v>69.8</v>
      </c>
    </row>
    <row r="140" spans="1:11">
      <c r="A140" s="4">
        <v>138</v>
      </c>
      <c r="B140" s="1" t="str">
        <f t="shared" si="10"/>
        <v>105</v>
      </c>
      <c r="C140" s="1" t="s">
        <v>216</v>
      </c>
      <c r="D140" s="1" t="s">
        <v>8</v>
      </c>
      <c r="E140" s="1" t="str">
        <f>"张雅坤"</f>
        <v>张雅坤</v>
      </c>
      <c r="F140" s="1" t="str">
        <f>"2022022012"</f>
        <v>2022022012</v>
      </c>
      <c r="G140" s="2" t="s">
        <v>230</v>
      </c>
      <c r="H140" s="2" t="s">
        <v>68</v>
      </c>
      <c r="I140" s="1">
        <v>29</v>
      </c>
      <c r="J140" s="1">
        <f t="shared" si="12"/>
        <v>137.9</v>
      </c>
      <c r="K140" s="4">
        <f t="shared" si="11"/>
        <v>68.95</v>
      </c>
    </row>
    <row r="141" spans="1:11">
      <c r="A141" s="4">
        <v>139</v>
      </c>
      <c r="B141" s="1" t="str">
        <f t="shared" si="10"/>
        <v>105</v>
      </c>
      <c r="C141" s="1" t="s">
        <v>216</v>
      </c>
      <c r="D141" s="1" t="s">
        <v>8</v>
      </c>
      <c r="E141" s="1" t="str">
        <f>"李真"</f>
        <v>李真</v>
      </c>
      <c r="F141" s="1" t="str">
        <f>"2022020821"</f>
        <v>2022020821</v>
      </c>
      <c r="G141" s="2" t="s">
        <v>214</v>
      </c>
      <c r="H141" s="2" t="s">
        <v>27</v>
      </c>
      <c r="I141" s="1">
        <v>30</v>
      </c>
      <c r="J141" s="1">
        <f t="shared" si="12"/>
        <v>137.69999999999999</v>
      </c>
      <c r="K141" s="4">
        <f t="shared" si="11"/>
        <v>68.849999999999994</v>
      </c>
    </row>
    <row r="142" spans="1:11">
      <c r="A142" s="4">
        <v>140</v>
      </c>
      <c r="B142" s="1" t="str">
        <f t="shared" si="10"/>
        <v>105</v>
      </c>
      <c r="C142" s="1" t="s">
        <v>216</v>
      </c>
      <c r="D142" s="1" t="s">
        <v>8</v>
      </c>
      <c r="E142" s="1" t="str">
        <f>"朱倩楠"</f>
        <v>朱倩楠</v>
      </c>
      <c r="F142" s="1" t="str">
        <f>"2022022421"</f>
        <v>2022022421</v>
      </c>
      <c r="G142" s="2" t="s">
        <v>229</v>
      </c>
      <c r="H142" s="2" t="s">
        <v>51</v>
      </c>
      <c r="I142" s="1">
        <v>30</v>
      </c>
      <c r="J142" s="1">
        <f t="shared" si="12"/>
        <v>136.1</v>
      </c>
      <c r="K142" s="4">
        <f t="shared" si="11"/>
        <v>68.05</v>
      </c>
    </row>
    <row r="143" spans="1:11">
      <c r="A143" s="4">
        <v>141</v>
      </c>
      <c r="B143" s="1" t="str">
        <f t="shared" si="10"/>
        <v>105</v>
      </c>
      <c r="C143" s="1" t="s">
        <v>216</v>
      </c>
      <c r="D143" s="1" t="s">
        <v>8</v>
      </c>
      <c r="E143" s="1" t="str">
        <f>"刘思蒙"</f>
        <v>刘思蒙</v>
      </c>
      <c r="F143" s="1" t="str">
        <f>"2022024025"</f>
        <v>2022024025</v>
      </c>
      <c r="G143" s="2" t="s">
        <v>212</v>
      </c>
      <c r="H143" s="2" t="s">
        <v>227</v>
      </c>
      <c r="I143" s="1">
        <v>30</v>
      </c>
      <c r="J143" s="1">
        <f t="shared" si="12"/>
        <v>136.1</v>
      </c>
      <c r="K143" s="4">
        <f t="shared" si="11"/>
        <v>68.05</v>
      </c>
    </row>
    <row r="144" spans="1:11">
      <c r="A144" s="4">
        <v>142</v>
      </c>
      <c r="B144" s="1" t="str">
        <f t="shared" si="10"/>
        <v>105</v>
      </c>
      <c r="C144" s="1" t="s">
        <v>216</v>
      </c>
      <c r="D144" s="1" t="s">
        <v>8</v>
      </c>
      <c r="E144" s="1" t="str">
        <f>"许文静"</f>
        <v>许文静</v>
      </c>
      <c r="F144" s="1" t="str">
        <f>"2022020729"</f>
        <v>2022020729</v>
      </c>
      <c r="G144" s="2" t="s">
        <v>217</v>
      </c>
      <c r="H144" s="2" t="s">
        <v>92</v>
      </c>
      <c r="I144" s="1">
        <v>30</v>
      </c>
      <c r="J144" s="1">
        <f t="shared" si="12"/>
        <v>136</v>
      </c>
      <c r="K144" s="4">
        <f t="shared" si="11"/>
        <v>68</v>
      </c>
    </row>
    <row r="145" spans="1:11">
      <c r="A145" s="4">
        <v>143</v>
      </c>
      <c r="B145" s="1" t="str">
        <f t="shared" si="10"/>
        <v>105</v>
      </c>
      <c r="C145" s="1" t="s">
        <v>216</v>
      </c>
      <c r="D145" s="1" t="s">
        <v>8</v>
      </c>
      <c r="E145" s="1" t="str">
        <f>"李新"</f>
        <v>李新</v>
      </c>
      <c r="F145" s="1" t="str">
        <f>"2022021324"</f>
        <v>2022021324</v>
      </c>
      <c r="G145" s="2" t="s">
        <v>228</v>
      </c>
      <c r="H145" s="2" t="s">
        <v>61</v>
      </c>
      <c r="I145" s="1">
        <v>26</v>
      </c>
      <c r="J145" s="1">
        <f t="shared" si="12"/>
        <v>134.60000000000002</v>
      </c>
      <c r="K145" s="4">
        <f t="shared" si="11"/>
        <v>67.300000000000011</v>
      </c>
    </row>
    <row r="146" spans="1:11">
      <c r="A146" s="4">
        <v>144</v>
      </c>
      <c r="B146" s="1" t="str">
        <f t="shared" si="10"/>
        <v>105</v>
      </c>
      <c r="C146" s="1" t="s">
        <v>216</v>
      </c>
      <c r="D146" s="1" t="s">
        <v>8</v>
      </c>
      <c r="E146" s="1" t="str">
        <f>"张巧巧"</f>
        <v>张巧巧</v>
      </c>
      <c r="F146" s="1" t="str">
        <f>"2022023928"</f>
        <v>2022023928</v>
      </c>
      <c r="G146" s="2" t="s">
        <v>160</v>
      </c>
      <c r="H146" s="2" t="s">
        <v>222</v>
      </c>
      <c r="I146" s="1">
        <v>30</v>
      </c>
      <c r="J146" s="1">
        <f t="shared" si="12"/>
        <v>134.6</v>
      </c>
      <c r="K146" s="4">
        <f t="shared" si="11"/>
        <v>67.3</v>
      </c>
    </row>
    <row r="147" spans="1:11">
      <c r="A147" s="4">
        <v>145</v>
      </c>
      <c r="B147" s="1" t="str">
        <f t="shared" si="10"/>
        <v>105</v>
      </c>
      <c r="C147" s="1" t="s">
        <v>216</v>
      </c>
      <c r="D147" s="1" t="s">
        <v>8</v>
      </c>
      <c r="E147" s="1" t="str">
        <f>"朱丽娟"</f>
        <v>朱丽娟</v>
      </c>
      <c r="F147" s="1" t="str">
        <f>"2022023802"</f>
        <v>2022023802</v>
      </c>
      <c r="G147" s="2" t="s">
        <v>158</v>
      </c>
      <c r="H147" s="2" t="s">
        <v>187</v>
      </c>
      <c r="I147" s="1">
        <v>29</v>
      </c>
      <c r="J147" s="1">
        <f t="shared" si="12"/>
        <v>134.1</v>
      </c>
      <c r="K147" s="4">
        <f t="shared" si="11"/>
        <v>67.05</v>
      </c>
    </row>
    <row r="148" spans="1:11">
      <c r="A148" s="4">
        <v>146</v>
      </c>
      <c r="B148" s="1" t="str">
        <f t="shared" si="10"/>
        <v>105</v>
      </c>
      <c r="C148" s="1" t="s">
        <v>216</v>
      </c>
      <c r="D148" s="1" t="s">
        <v>8</v>
      </c>
      <c r="E148" s="1" t="str">
        <f>"陈路"</f>
        <v>陈路</v>
      </c>
      <c r="F148" s="1" t="str">
        <f>"2022023725"</f>
        <v>2022023725</v>
      </c>
      <c r="G148" s="2" t="s">
        <v>226</v>
      </c>
      <c r="H148" s="2" t="s">
        <v>227</v>
      </c>
      <c r="I148" s="1">
        <v>28</v>
      </c>
      <c r="J148" s="1">
        <f t="shared" si="12"/>
        <v>133.4</v>
      </c>
      <c r="K148" s="4">
        <f t="shared" si="11"/>
        <v>66.7</v>
      </c>
    </row>
    <row r="149" spans="1:11">
      <c r="A149" s="4">
        <v>147</v>
      </c>
      <c r="B149" s="1" t="str">
        <f t="shared" si="10"/>
        <v>105</v>
      </c>
      <c r="C149" s="1" t="s">
        <v>216</v>
      </c>
      <c r="D149" s="1" t="s">
        <v>8</v>
      </c>
      <c r="E149" s="1" t="str">
        <f>"陈康"</f>
        <v>陈康</v>
      </c>
      <c r="F149" s="1" t="str">
        <f>"2022022218"</f>
        <v>2022022218</v>
      </c>
      <c r="G149" s="2" t="s">
        <v>214</v>
      </c>
      <c r="H149" s="2" t="s">
        <v>47</v>
      </c>
      <c r="I149" s="1">
        <v>30</v>
      </c>
      <c r="J149" s="1">
        <f t="shared" si="12"/>
        <v>132.9</v>
      </c>
      <c r="K149" s="4">
        <f t="shared" si="11"/>
        <v>66.45</v>
      </c>
    </row>
    <row r="150" spans="1:11">
      <c r="A150" s="4">
        <v>148</v>
      </c>
      <c r="B150" s="1" t="str">
        <f t="shared" si="10"/>
        <v>105</v>
      </c>
      <c r="C150" s="1" t="s">
        <v>216</v>
      </c>
      <c r="D150" s="1" t="s">
        <v>8</v>
      </c>
      <c r="E150" s="1" t="str">
        <f>"陈闪闪"</f>
        <v>陈闪闪</v>
      </c>
      <c r="F150" s="1" t="str">
        <f>"2022021828"</f>
        <v>2022021828</v>
      </c>
      <c r="G150" s="2" t="s">
        <v>102</v>
      </c>
      <c r="H150" s="2" t="s">
        <v>9</v>
      </c>
      <c r="I150" s="1">
        <v>27</v>
      </c>
      <c r="J150" s="1">
        <f t="shared" si="12"/>
        <v>132.30000000000001</v>
      </c>
      <c r="K150" s="4">
        <f t="shared" si="11"/>
        <v>66.150000000000006</v>
      </c>
    </row>
    <row r="151" spans="1:11">
      <c r="A151" s="4">
        <v>149</v>
      </c>
      <c r="B151" s="1" t="str">
        <f t="shared" si="10"/>
        <v>105</v>
      </c>
      <c r="C151" s="1" t="s">
        <v>216</v>
      </c>
      <c r="D151" s="1" t="s">
        <v>8</v>
      </c>
      <c r="E151" s="1" t="str">
        <f>"徐艳丽"</f>
        <v>徐艳丽</v>
      </c>
      <c r="F151" s="1" t="str">
        <f>"2022023808"</f>
        <v>2022023808</v>
      </c>
      <c r="G151" s="2" t="s">
        <v>82</v>
      </c>
      <c r="H151" s="2" t="s">
        <v>93</v>
      </c>
      <c r="I151" s="1">
        <v>29</v>
      </c>
      <c r="J151" s="1">
        <f t="shared" si="12"/>
        <v>132.30000000000001</v>
      </c>
      <c r="K151" s="4">
        <f t="shared" si="11"/>
        <v>66.150000000000006</v>
      </c>
    </row>
    <row r="152" spans="1:11">
      <c r="A152" s="4">
        <v>150</v>
      </c>
      <c r="B152" s="1" t="str">
        <f t="shared" si="10"/>
        <v>105</v>
      </c>
      <c r="C152" s="1" t="s">
        <v>216</v>
      </c>
      <c r="D152" s="1" t="s">
        <v>8</v>
      </c>
      <c r="E152" s="1" t="str">
        <f>"赵强"</f>
        <v>赵强</v>
      </c>
      <c r="F152" s="1" t="str">
        <f>"2022020429"</f>
        <v>2022020429</v>
      </c>
      <c r="G152" s="2" t="s">
        <v>225</v>
      </c>
      <c r="H152" s="2" t="s">
        <v>59</v>
      </c>
      <c r="I152" s="1">
        <v>28</v>
      </c>
      <c r="J152" s="1">
        <f t="shared" si="12"/>
        <v>132.19999999999999</v>
      </c>
      <c r="K152" s="4">
        <f t="shared" si="11"/>
        <v>66.099999999999994</v>
      </c>
    </row>
    <row r="153" spans="1:11">
      <c r="A153" s="4">
        <v>151</v>
      </c>
      <c r="B153" s="1" t="str">
        <f t="shared" si="10"/>
        <v>105</v>
      </c>
      <c r="C153" s="1" t="s">
        <v>216</v>
      </c>
      <c r="D153" s="1" t="s">
        <v>8</v>
      </c>
      <c r="E153" s="1" t="str">
        <f>"葛玉芹"</f>
        <v>葛玉芹</v>
      </c>
      <c r="F153" s="1" t="str">
        <f>"2022023708"</f>
        <v>2022023708</v>
      </c>
      <c r="G153" s="2" t="s">
        <v>133</v>
      </c>
      <c r="H153" s="2" t="s">
        <v>141</v>
      </c>
      <c r="I153" s="1">
        <v>28</v>
      </c>
      <c r="J153" s="1">
        <f t="shared" si="12"/>
        <v>132</v>
      </c>
      <c r="K153" s="4">
        <f t="shared" si="11"/>
        <v>66</v>
      </c>
    </row>
    <row r="154" spans="1:11">
      <c r="A154" s="4">
        <v>152</v>
      </c>
      <c r="B154" s="1" t="str">
        <f t="shared" si="10"/>
        <v>105</v>
      </c>
      <c r="C154" s="1" t="s">
        <v>216</v>
      </c>
      <c r="D154" s="1" t="s">
        <v>8</v>
      </c>
      <c r="E154" s="1" t="str">
        <f>"吴梦瑶"</f>
        <v>吴梦瑶</v>
      </c>
      <c r="F154" s="1" t="str">
        <f>"2022021911"</f>
        <v>2022021911</v>
      </c>
      <c r="G154" s="2" t="s">
        <v>224</v>
      </c>
      <c r="H154" s="2" t="s">
        <v>25</v>
      </c>
      <c r="I154" s="1">
        <v>27</v>
      </c>
      <c r="J154" s="1">
        <f t="shared" si="12"/>
        <v>131.80000000000001</v>
      </c>
      <c r="K154" s="4">
        <f t="shared" si="11"/>
        <v>65.900000000000006</v>
      </c>
    </row>
    <row r="155" spans="1:11">
      <c r="A155" s="4">
        <v>153</v>
      </c>
      <c r="B155" s="1" t="str">
        <f t="shared" si="10"/>
        <v>105</v>
      </c>
      <c r="C155" s="1" t="s">
        <v>216</v>
      </c>
      <c r="D155" s="1" t="s">
        <v>8</v>
      </c>
      <c r="E155" s="1" t="str">
        <f>"胡家敏"</f>
        <v>胡家敏</v>
      </c>
      <c r="F155" s="1" t="str">
        <f>"2022022508"</f>
        <v>2022022508</v>
      </c>
      <c r="G155" s="2" t="s">
        <v>158</v>
      </c>
      <c r="H155" s="2" t="s">
        <v>106</v>
      </c>
      <c r="I155" s="1">
        <v>30</v>
      </c>
      <c r="J155" s="1">
        <f t="shared" si="12"/>
        <v>131.19999999999999</v>
      </c>
      <c r="K155" s="4">
        <f t="shared" si="11"/>
        <v>65.599999999999994</v>
      </c>
    </row>
    <row r="156" spans="1:11">
      <c r="A156" s="4">
        <v>154</v>
      </c>
      <c r="B156" s="1" t="str">
        <f t="shared" si="10"/>
        <v>105</v>
      </c>
      <c r="C156" s="1" t="s">
        <v>216</v>
      </c>
      <c r="D156" s="1" t="s">
        <v>8</v>
      </c>
      <c r="E156" s="1" t="str">
        <f>"荣蓉"</f>
        <v>荣蓉</v>
      </c>
      <c r="F156" s="1" t="str">
        <f>"2022020230"</f>
        <v>2022020230</v>
      </c>
      <c r="G156" s="2" t="s">
        <v>177</v>
      </c>
      <c r="H156" s="2" t="s">
        <v>64</v>
      </c>
      <c r="I156" s="1">
        <v>28</v>
      </c>
      <c r="J156" s="1">
        <f t="shared" si="12"/>
        <v>130.9</v>
      </c>
      <c r="K156" s="4">
        <f t="shared" si="11"/>
        <v>65.45</v>
      </c>
    </row>
    <row r="157" spans="1:11">
      <c r="A157" s="4">
        <v>155</v>
      </c>
      <c r="B157" s="1" t="str">
        <f t="shared" si="10"/>
        <v>105</v>
      </c>
      <c r="C157" s="1" t="s">
        <v>216</v>
      </c>
      <c r="D157" s="1" t="s">
        <v>8</v>
      </c>
      <c r="E157" s="1" t="str">
        <f>"张冲"</f>
        <v>张冲</v>
      </c>
      <c r="F157" s="1" t="str">
        <f>"2022021719"</f>
        <v>2022021719</v>
      </c>
      <c r="G157" s="2" t="s">
        <v>69</v>
      </c>
      <c r="H157" s="2" t="s">
        <v>100</v>
      </c>
      <c r="I157" s="1">
        <v>28</v>
      </c>
      <c r="J157" s="1">
        <f t="shared" si="12"/>
        <v>130.6</v>
      </c>
      <c r="K157" s="4">
        <f t="shared" si="11"/>
        <v>65.3</v>
      </c>
    </row>
    <row r="158" spans="1:11">
      <c r="A158" s="4">
        <v>156</v>
      </c>
      <c r="B158" s="1" t="str">
        <f t="shared" si="10"/>
        <v>105</v>
      </c>
      <c r="C158" s="1" t="s">
        <v>216</v>
      </c>
      <c r="D158" s="1" t="s">
        <v>8</v>
      </c>
      <c r="E158" s="1" t="str">
        <f>"解喆"</f>
        <v>解喆</v>
      </c>
      <c r="F158" s="1" t="str">
        <f>"2022022818"</f>
        <v>2022022818</v>
      </c>
      <c r="G158" s="2" t="s">
        <v>223</v>
      </c>
      <c r="H158" s="2" t="s">
        <v>71</v>
      </c>
      <c r="I158" s="1">
        <v>28</v>
      </c>
      <c r="J158" s="1">
        <f t="shared" si="12"/>
        <v>129.80000000000001</v>
      </c>
      <c r="K158" s="4">
        <f t="shared" si="11"/>
        <v>64.900000000000006</v>
      </c>
    </row>
    <row r="159" spans="1:11">
      <c r="A159" s="4">
        <v>157</v>
      </c>
      <c r="B159" s="1" t="str">
        <f t="shared" si="10"/>
        <v>105</v>
      </c>
      <c r="C159" s="1" t="s">
        <v>216</v>
      </c>
      <c r="D159" s="1" t="s">
        <v>8</v>
      </c>
      <c r="E159" s="1" t="str">
        <f>"任梦露"</f>
        <v>任梦露</v>
      </c>
      <c r="F159" s="1" t="str">
        <f>"2022022715"</f>
        <v>2022022715</v>
      </c>
      <c r="G159" s="2" t="s">
        <v>220</v>
      </c>
      <c r="H159" s="2" t="s">
        <v>145</v>
      </c>
      <c r="I159" s="1">
        <v>28</v>
      </c>
      <c r="J159" s="1">
        <f t="shared" si="12"/>
        <v>129.6</v>
      </c>
      <c r="K159" s="4">
        <f t="shared" si="11"/>
        <v>64.8</v>
      </c>
    </row>
    <row r="160" spans="1:11">
      <c r="A160" s="4">
        <v>158</v>
      </c>
      <c r="B160" s="1" t="str">
        <f t="shared" si="10"/>
        <v>105</v>
      </c>
      <c r="C160" s="1" t="s">
        <v>216</v>
      </c>
      <c r="D160" s="1" t="s">
        <v>8</v>
      </c>
      <c r="E160" s="1" t="str">
        <f>"刘天佑"</f>
        <v>刘天佑</v>
      </c>
      <c r="F160" s="1" t="str">
        <f>"2022023921"</f>
        <v>2022023921</v>
      </c>
      <c r="G160" s="2" t="s">
        <v>42</v>
      </c>
      <c r="H160" s="2" t="s">
        <v>144</v>
      </c>
      <c r="I160" s="1">
        <v>29</v>
      </c>
      <c r="J160" s="1">
        <f t="shared" si="12"/>
        <v>129.5</v>
      </c>
      <c r="K160" s="4">
        <f t="shared" si="11"/>
        <v>64.75</v>
      </c>
    </row>
    <row r="161" spans="1:11">
      <c r="A161" s="4">
        <v>159</v>
      </c>
      <c r="B161" s="1" t="str">
        <f t="shared" si="10"/>
        <v>105</v>
      </c>
      <c r="C161" s="1" t="s">
        <v>216</v>
      </c>
      <c r="D161" s="1" t="s">
        <v>8</v>
      </c>
      <c r="E161" s="1" t="str">
        <f>"王娜"</f>
        <v>王娜</v>
      </c>
      <c r="F161" s="1" t="str">
        <f>"2022023416"</f>
        <v>2022023416</v>
      </c>
      <c r="G161" s="2" t="s">
        <v>42</v>
      </c>
      <c r="H161" s="2" t="s">
        <v>222</v>
      </c>
      <c r="I161" s="1">
        <v>29</v>
      </c>
      <c r="J161" s="1">
        <f t="shared" si="12"/>
        <v>129.4</v>
      </c>
      <c r="K161" s="4">
        <f t="shared" si="11"/>
        <v>64.7</v>
      </c>
    </row>
    <row r="162" spans="1:11">
      <c r="A162" s="4">
        <v>160</v>
      </c>
      <c r="B162" s="1" t="str">
        <f t="shared" si="10"/>
        <v>105</v>
      </c>
      <c r="C162" s="1" t="s">
        <v>216</v>
      </c>
      <c r="D162" s="1" t="s">
        <v>8</v>
      </c>
      <c r="E162" s="1" t="str">
        <f>"周迪"</f>
        <v>周迪</v>
      </c>
      <c r="F162" s="1" t="str">
        <f>"2022021505"</f>
        <v>2022021505</v>
      </c>
      <c r="G162" s="2" t="s">
        <v>178</v>
      </c>
      <c r="H162" s="2" t="s">
        <v>52</v>
      </c>
      <c r="I162" s="1">
        <v>28</v>
      </c>
      <c r="J162" s="1">
        <f t="shared" si="12"/>
        <v>129.30000000000001</v>
      </c>
      <c r="K162" s="4">
        <f t="shared" si="11"/>
        <v>64.650000000000006</v>
      </c>
    </row>
    <row r="163" spans="1:11">
      <c r="A163" s="4">
        <v>161</v>
      </c>
      <c r="B163" s="1" t="str">
        <f t="shared" si="10"/>
        <v>105</v>
      </c>
      <c r="C163" s="1" t="s">
        <v>216</v>
      </c>
      <c r="D163" s="1" t="s">
        <v>8</v>
      </c>
      <c r="E163" s="1" t="str">
        <f>"李彦莹"</f>
        <v>李彦莹</v>
      </c>
      <c r="F163" s="1" t="str">
        <f>"2022023525"</f>
        <v>2022023525</v>
      </c>
      <c r="G163" s="2" t="s">
        <v>70</v>
      </c>
      <c r="H163" s="2" t="s">
        <v>14</v>
      </c>
      <c r="I163" s="1">
        <v>30</v>
      </c>
      <c r="J163" s="1">
        <f t="shared" si="12"/>
        <v>129.19999999999999</v>
      </c>
      <c r="K163" s="4">
        <f t="shared" si="11"/>
        <v>64.599999999999994</v>
      </c>
    </row>
    <row r="164" spans="1:11">
      <c r="A164" s="4">
        <v>162</v>
      </c>
      <c r="B164" s="1" t="str">
        <f t="shared" si="10"/>
        <v>105</v>
      </c>
      <c r="C164" s="1" t="s">
        <v>216</v>
      </c>
      <c r="D164" s="1" t="s">
        <v>8</v>
      </c>
      <c r="E164" s="1" t="str">
        <f>"邱媛媛"</f>
        <v>邱媛媛</v>
      </c>
      <c r="F164" s="1" t="str">
        <f>"2022021312"</f>
        <v>2022021312</v>
      </c>
      <c r="G164" s="2" t="s">
        <v>194</v>
      </c>
      <c r="H164" s="2" t="s">
        <v>76</v>
      </c>
      <c r="I164" s="1">
        <v>28</v>
      </c>
      <c r="J164" s="1">
        <f t="shared" si="12"/>
        <v>129</v>
      </c>
      <c r="K164" s="4">
        <f t="shared" si="11"/>
        <v>64.5</v>
      </c>
    </row>
    <row r="165" spans="1:11">
      <c r="A165" s="4">
        <v>163</v>
      </c>
      <c r="B165" s="1" t="str">
        <f t="shared" si="10"/>
        <v>105</v>
      </c>
      <c r="C165" s="1" t="s">
        <v>216</v>
      </c>
      <c r="D165" s="1" t="s">
        <v>8</v>
      </c>
      <c r="E165" s="1" t="str">
        <f>"张安川"</f>
        <v>张安川</v>
      </c>
      <c r="F165" s="1" t="str">
        <f>"2022022311"</f>
        <v>2022022311</v>
      </c>
      <c r="G165" s="2" t="s">
        <v>109</v>
      </c>
      <c r="H165" s="2" t="s">
        <v>94</v>
      </c>
      <c r="I165" s="1">
        <v>27</v>
      </c>
      <c r="J165" s="1">
        <f t="shared" si="12"/>
        <v>129</v>
      </c>
      <c r="K165" s="4">
        <f t="shared" si="11"/>
        <v>64.5</v>
      </c>
    </row>
    <row r="166" spans="1:11">
      <c r="A166" s="4">
        <v>164</v>
      </c>
      <c r="B166" s="1" t="str">
        <f t="shared" si="10"/>
        <v>105</v>
      </c>
      <c r="C166" s="1" t="s">
        <v>216</v>
      </c>
      <c r="D166" s="1" t="s">
        <v>8</v>
      </c>
      <c r="E166" s="1" t="str">
        <f>"王玉玲"</f>
        <v>王玉玲</v>
      </c>
      <c r="F166" s="1" t="str">
        <f>"2022023712"</f>
        <v>2022023712</v>
      </c>
      <c r="G166" s="2" t="s">
        <v>107</v>
      </c>
      <c r="H166" s="2" t="s">
        <v>193</v>
      </c>
      <c r="I166" s="1">
        <v>28</v>
      </c>
      <c r="J166" s="1">
        <f t="shared" si="12"/>
        <v>129</v>
      </c>
      <c r="K166" s="4">
        <f t="shared" si="11"/>
        <v>64.5</v>
      </c>
    </row>
    <row r="167" spans="1:11">
      <c r="A167" s="4">
        <v>165</v>
      </c>
      <c r="B167" s="1" t="str">
        <f t="shared" si="10"/>
        <v>105</v>
      </c>
      <c r="C167" s="1" t="s">
        <v>216</v>
      </c>
      <c r="D167" s="1" t="s">
        <v>8</v>
      </c>
      <c r="E167" s="1" t="str">
        <f>"李欢欢"</f>
        <v>李欢欢</v>
      </c>
      <c r="F167" s="1" t="str">
        <f>"2022023109"</f>
        <v>2022023109</v>
      </c>
      <c r="G167" s="2" t="s">
        <v>22</v>
      </c>
      <c r="H167" s="2" t="s">
        <v>221</v>
      </c>
      <c r="I167" s="1">
        <v>30</v>
      </c>
      <c r="J167" s="1">
        <f t="shared" si="12"/>
        <v>128.30000000000001</v>
      </c>
      <c r="K167" s="4">
        <f t="shared" si="11"/>
        <v>64.150000000000006</v>
      </c>
    </row>
    <row r="168" spans="1:11">
      <c r="A168" s="4">
        <v>166</v>
      </c>
      <c r="B168" s="1" t="str">
        <f t="shared" si="10"/>
        <v>105</v>
      </c>
      <c r="C168" s="1" t="s">
        <v>216</v>
      </c>
      <c r="D168" s="1" t="s">
        <v>8</v>
      </c>
      <c r="E168" s="1" t="str">
        <f>"夏冬晴"</f>
        <v>夏冬晴</v>
      </c>
      <c r="F168" s="1" t="str">
        <f>"2022021217"</f>
        <v>2022021217</v>
      </c>
      <c r="G168" s="2" t="s">
        <v>177</v>
      </c>
      <c r="H168" s="2" t="s">
        <v>40</v>
      </c>
      <c r="I168" s="1">
        <v>30</v>
      </c>
      <c r="J168" s="1">
        <f t="shared" si="12"/>
        <v>128.1</v>
      </c>
      <c r="K168" s="4">
        <f t="shared" si="11"/>
        <v>64.05</v>
      </c>
    </row>
    <row r="169" spans="1:11">
      <c r="A169" s="4">
        <v>167</v>
      </c>
      <c r="B169" s="1" t="str">
        <f t="shared" ref="B169:B200" si="13">"106"</f>
        <v>106</v>
      </c>
      <c r="C169" s="1" t="s">
        <v>239</v>
      </c>
      <c r="D169" s="1" t="s">
        <v>8</v>
      </c>
      <c r="E169" s="1" t="str">
        <f>"汪晓雨"</f>
        <v>汪晓雨</v>
      </c>
      <c r="F169" s="1" t="str">
        <f>"2022023028"</f>
        <v>2022023028</v>
      </c>
      <c r="G169" s="2" t="s">
        <v>249</v>
      </c>
      <c r="H169" s="2" t="s">
        <v>219</v>
      </c>
      <c r="I169" s="1">
        <v>30</v>
      </c>
      <c r="J169" s="1">
        <f t="shared" si="12"/>
        <v>150.6</v>
      </c>
      <c r="K169" s="4">
        <f t="shared" ref="K169:K202" si="14">J169/2</f>
        <v>75.3</v>
      </c>
    </row>
    <row r="170" spans="1:11">
      <c r="A170" s="4">
        <v>168</v>
      </c>
      <c r="B170" s="1" t="str">
        <f t="shared" si="13"/>
        <v>106</v>
      </c>
      <c r="C170" s="1" t="s">
        <v>239</v>
      </c>
      <c r="D170" s="1" t="s">
        <v>8</v>
      </c>
      <c r="E170" s="1" t="str">
        <f>"姜萍"</f>
        <v>姜萍</v>
      </c>
      <c r="F170" s="1" t="str">
        <f>"2022023824"</f>
        <v>2022023824</v>
      </c>
      <c r="G170" s="2" t="s">
        <v>127</v>
      </c>
      <c r="H170" s="2" t="s">
        <v>77</v>
      </c>
      <c r="I170" s="1">
        <v>29</v>
      </c>
      <c r="J170" s="1">
        <f t="shared" si="12"/>
        <v>146.9</v>
      </c>
      <c r="K170" s="4">
        <f t="shared" si="14"/>
        <v>73.45</v>
      </c>
    </row>
    <row r="171" spans="1:11">
      <c r="A171" s="4">
        <v>169</v>
      </c>
      <c r="B171" s="1" t="str">
        <f t="shared" si="13"/>
        <v>106</v>
      </c>
      <c r="C171" s="1" t="s">
        <v>239</v>
      </c>
      <c r="D171" s="1" t="s">
        <v>8</v>
      </c>
      <c r="E171" s="1" t="str">
        <f>"张婷"</f>
        <v>张婷</v>
      </c>
      <c r="F171" s="1" t="str">
        <f>"2022023420"</f>
        <v>2022023420</v>
      </c>
      <c r="G171" s="2" t="s">
        <v>248</v>
      </c>
      <c r="H171" s="2" t="s">
        <v>203</v>
      </c>
      <c r="I171" s="1">
        <v>27</v>
      </c>
      <c r="J171" s="1">
        <f t="shared" si="12"/>
        <v>144.30000000000001</v>
      </c>
      <c r="K171" s="4">
        <f t="shared" si="14"/>
        <v>72.150000000000006</v>
      </c>
    </row>
    <row r="172" spans="1:11">
      <c r="A172" s="4">
        <v>170</v>
      </c>
      <c r="B172" s="1" t="str">
        <f t="shared" si="13"/>
        <v>106</v>
      </c>
      <c r="C172" s="1" t="s">
        <v>239</v>
      </c>
      <c r="D172" s="1" t="s">
        <v>8</v>
      </c>
      <c r="E172" s="1" t="str">
        <f>"谢丽娜"</f>
        <v>谢丽娜</v>
      </c>
      <c r="F172" s="1" t="str">
        <f>"2022021810"</f>
        <v>2022021810</v>
      </c>
      <c r="G172" s="2" t="s">
        <v>245</v>
      </c>
      <c r="H172" s="2" t="s">
        <v>92</v>
      </c>
      <c r="I172" s="1">
        <v>29</v>
      </c>
      <c r="J172" s="1">
        <f t="shared" si="12"/>
        <v>141.19999999999999</v>
      </c>
      <c r="K172" s="4">
        <f t="shared" si="14"/>
        <v>70.599999999999994</v>
      </c>
    </row>
    <row r="173" spans="1:11">
      <c r="A173" s="4">
        <v>171</v>
      </c>
      <c r="B173" s="1" t="str">
        <f t="shared" si="13"/>
        <v>106</v>
      </c>
      <c r="C173" s="1" t="s">
        <v>239</v>
      </c>
      <c r="D173" s="1" t="s">
        <v>8</v>
      </c>
      <c r="E173" s="1" t="str">
        <f>"李敬文"</f>
        <v>李敬文</v>
      </c>
      <c r="F173" s="1" t="str">
        <f>"2022023321"</f>
        <v>2022023321</v>
      </c>
      <c r="G173" s="2" t="s">
        <v>131</v>
      </c>
      <c r="H173" s="2" t="s">
        <v>221</v>
      </c>
      <c r="I173" s="1">
        <v>30</v>
      </c>
      <c r="J173" s="1">
        <f t="shared" si="12"/>
        <v>140.69999999999999</v>
      </c>
      <c r="K173" s="4">
        <f t="shared" si="14"/>
        <v>70.349999999999994</v>
      </c>
    </row>
    <row r="174" spans="1:11">
      <c r="A174" s="4">
        <v>172</v>
      </c>
      <c r="B174" s="1" t="str">
        <f t="shared" si="13"/>
        <v>106</v>
      </c>
      <c r="C174" s="1" t="s">
        <v>239</v>
      </c>
      <c r="D174" s="1" t="s">
        <v>8</v>
      </c>
      <c r="E174" s="1" t="str">
        <f>"陈红"</f>
        <v>陈红</v>
      </c>
      <c r="F174" s="1" t="str">
        <f>"2022023319"</f>
        <v>2022023319</v>
      </c>
      <c r="G174" s="2" t="s">
        <v>156</v>
      </c>
      <c r="H174" s="2" t="s">
        <v>185</v>
      </c>
      <c r="I174" s="1">
        <v>30</v>
      </c>
      <c r="J174" s="1">
        <f t="shared" si="12"/>
        <v>140.1</v>
      </c>
      <c r="K174" s="4">
        <f t="shared" si="14"/>
        <v>70.05</v>
      </c>
    </row>
    <row r="175" spans="1:11">
      <c r="A175" s="4">
        <v>173</v>
      </c>
      <c r="B175" s="1" t="str">
        <f t="shared" si="13"/>
        <v>106</v>
      </c>
      <c r="C175" s="1" t="s">
        <v>239</v>
      </c>
      <c r="D175" s="1" t="s">
        <v>8</v>
      </c>
      <c r="E175" s="1" t="str">
        <f>"杨梅"</f>
        <v>杨梅</v>
      </c>
      <c r="F175" s="1" t="str">
        <f>"2022022610"</f>
        <v>2022022610</v>
      </c>
      <c r="G175" s="2" t="s">
        <v>133</v>
      </c>
      <c r="H175" s="2" t="s">
        <v>219</v>
      </c>
      <c r="I175" s="1">
        <v>30</v>
      </c>
      <c r="J175" s="1">
        <f t="shared" si="12"/>
        <v>139.19999999999999</v>
      </c>
      <c r="K175" s="4">
        <f t="shared" si="14"/>
        <v>69.599999999999994</v>
      </c>
    </row>
    <row r="176" spans="1:11">
      <c r="A176" s="4">
        <v>174</v>
      </c>
      <c r="B176" s="1" t="str">
        <f t="shared" si="13"/>
        <v>106</v>
      </c>
      <c r="C176" s="1" t="s">
        <v>239</v>
      </c>
      <c r="D176" s="1" t="s">
        <v>8</v>
      </c>
      <c r="E176" s="1" t="str">
        <f>"孙晓会"</f>
        <v>孙晓会</v>
      </c>
      <c r="F176" s="1" t="str">
        <f>"2022022323"</f>
        <v>2022022323</v>
      </c>
      <c r="G176" s="2" t="s">
        <v>208</v>
      </c>
      <c r="H176" s="2" t="s">
        <v>21</v>
      </c>
      <c r="I176" s="1">
        <v>30</v>
      </c>
      <c r="J176" s="1">
        <f t="shared" si="12"/>
        <v>138.6</v>
      </c>
      <c r="K176" s="4">
        <f t="shared" si="14"/>
        <v>69.3</v>
      </c>
    </row>
    <row r="177" spans="1:11">
      <c r="A177" s="4">
        <v>175</v>
      </c>
      <c r="B177" s="1" t="str">
        <f t="shared" si="13"/>
        <v>106</v>
      </c>
      <c r="C177" s="1" t="s">
        <v>239</v>
      </c>
      <c r="D177" s="1" t="s">
        <v>8</v>
      </c>
      <c r="E177" s="1" t="str">
        <f>"张清晨"</f>
        <v>张清晨</v>
      </c>
      <c r="F177" s="1" t="str">
        <f>"2022022320"</f>
        <v>2022022320</v>
      </c>
      <c r="G177" s="2" t="s">
        <v>247</v>
      </c>
      <c r="H177" s="2" t="s">
        <v>16</v>
      </c>
      <c r="I177" s="1">
        <v>30</v>
      </c>
      <c r="J177" s="1">
        <f t="shared" si="12"/>
        <v>138.30000000000001</v>
      </c>
      <c r="K177" s="4">
        <f t="shared" si="14"/>
        <v>69.150000000000006</v>
      </c>
    </row>
    <row r="178" spans="1:11">
      <c r="A178" s="4">
        <v>176</v>
      </c>
      <c r="B178" s="1" t="str">
        <f t="shared" si="13"/>
        <v>106</v>
      </c>
      <c r="C178" s="1" t="s">
        <v>239</v>
      </c>
      <c r="D178" s="1" t="s">
        <v>8</v>
      </c>
      <c r="E178" s="1" t="str">
        <f>"刘紫慧"</f>
        <v>刘紫慧</v>
      </c>
      <c r="F178" s="1" t="str">
        <f>"2022021317"</f>
        <v>2022021317</v>
      </c>
      <c r="G178" s="2" t="s">
        <v>212</v>
      </c>
      <c r="H178" s="2" t="s">
        <v>130</v>
      </c>
      <c r="I178" s="1">
        <v>28</v>
      </c>
      <c r="J178" s="1">
        <f t="shared" si="12"/>
        <v>137.1</v>
      </c>
      <c r="K178" s="4">
        <f t="shared" si="14"/>
        <v>68.55</v>
      </c>
    </row>
    <row r="179" spans="1:11">
      <c r="A179" s="4">
        <v>177</v>
      </c>
      <c r="B179" s="1" t="str">
        <f t="shared" si="13"/>
        <v>106</v>
      </c>
      <c r="C179" s="1" t="s">
        <v>239</v>
      </c>
      <c r="D179" s="1" t="s">
        <v>8</v>
      </c>
      <c r="E179" s="1" t="str">
        <f>"余倩倩"</f>
        <v>余倩倩</v>
      </c>
      <c r="F179" s="1" t="str">
        <f>"2022020122"</f>
        <v>2022020122</v>
      </c>
      <c r="G179" s="2" t="s">
        <v>246</v>
      </c>
      <c r="H179" s="2" t="s">
        <v>47</v>
      </c>
      <c r="I179" s="1">
        <v>28</v>
      </c>
      <c r="J179" s="1">
        <f t="shared" si="12"/>
        <v>136.1</v>
      </c>
      <c r="K179" s="4">
        <f t="shared" si="14"/>
        <v>68.05</v>
      </c>
    </row>
    <row r="180" spans="1:11">
      <c r="A180" s="4">
        <v>178</v>
      </c>
      <c r="B180" s="1" t="str">
        <f t="shared" si="13"/>
        <v>106</v>
      </c>
      <c r="C180" s="1" t="s">
        <v>239</v>
      </c>
      <c r="D180" s="1" t="s">
        <v>8</v>
      </c>
      <c r="E180" s="1" t="str">
        <f>"李四维"</f>
        <v>李四维</v>
      </c>
      <c r="F180" s="1" t="str">
        <f>"2022023020"</f>
        <v>2022023020</v>
      </c>
      <c r="G180" s="2" t="s">
        <v>45</v>
      </c>
      <c r="H180" s="2" t="s">
        <v>199</v>
      </c>
      <c r="I180" s="1">
        <v>30</v>
      </c>
      <c r="J180" s="1">
        <f t="shared" si="12"/>
        <v>135.80000000000001</v>
      </c>
      <c r="K180" s="4">
        <f t="shared" si="14"/>
        <v>67.900000000000006</v>
      </c>
    </row>
    <row r="181" spans="1:11">
      <c r="A181" s="4">
        <v>179</v>
      </c>
      <c r="B181" s="1" t="str">
        <f t="shared" si="13"/>
        <v>106</v>
      </c>
      <c r="C181" s="1" t="s">
        <v>239</v>
      </c>
      <c r="D181" s="1" t="s">
        <v>8</v>
      </c>
      <c r="E181" s="1" t="str">
        <f>"赵雨晴"</f>
        <v>赵雨晴</v>
      </c>
      <c r="F181" s="1" t="str">
        <f>"2022021405"</f>
        <v>2022021405</v>
      </c>
      <c r="G181" s="2" t="s">
        <v>245</v>
      </c>
      <c r="H181" s="2" t="s">
        <v>98</v>
      </c>
      <c r="I181" s="1">
        <v>30</v>
      </c>
      <c r="J181" s="1">
        <f t="shared" si="12"/>
        <v>135.39999999999998</v>
      </c>
      <c r="K181" s="4">
        <f t="shared" si="14"/>
        <v>67.699999999999989</v>
      </c>
    </row>
    <row r="182" spans="1:11">
      <c r="A182" s="4">
        <v>180</v>
      </c>
      <c r="B182" s="1" t="str">
        <f t="shared" si="13"/>
        <v>106</v>
      </c>
      <c r="C182" s="1" t="s">
        <v>239</v>
      </c>
      <c r="D182" s="1" t="s">
        <v>8</v>
      </c>
      <c r="E182" s="1" t="str">
        <f>"马曼莉"</f>
        <v>马曼莉</v>
      </c>
      <c r="F182" s="1" t="str">
        <f>"2022024211"</f>
        <v>2022024211</v>
      </c>
      <c r="G182" s="2" t="s">
        <v>241</v>
      </c>
      <c r="H182" s="2" t="s">
        <v>108</v>
      </c>
      <c r="I182" s="1">
        <v>30</v>
      </c>
      <c r="J182" s="1">
        <f t="shared" si="12"/>
        <v>134.19999999999999</v>
      </c>
      <c r="K182" s="4">
        <f t="shared" si="14"/>
        <v>67.099999999999994</v>
      </c>
    </row>
    <row r="183" spans="1:11">
      <c r="A183" s="4">
        <v>181</v>
      </c>
      <c r="B183" s="1" t="str">
        <f t="shared" si="13"/>
        <v>106</v>
      </c>
      <c r="C183" s="1" t="s">
        <v>239</v>
      </c>
      <c r="D183" s="1" t="s">
        <v>8</v>
      </c>
      <c r="E183" s="1" t="str">
        <f>"刘彦莉"</f>
        <v>刘彦莉</v>
      </c>
      <c r="F183" s="1" t="str">
        <f>"2022020308"</f>
        <v>2022020308</v>
      </c>
      <c r="G183" s="2" t="s">
        <v>244</v>
      </c>
      <c r="H183" s="2" t="s">
        <v>57</v>
      </c>
      <c r="I183" s="1">
        <v>28</v>
      </c>
      <c r="J183" s="1">
        <f t="shared" si="12"/>
        <v>134</v>
      </c>
      <c r="K183" s="4">
        <f t="shared" si="14"/>
        <v>67</v>
      </c>
    </row>
    <row r="184" spans="1:11">
      <c r="A184" s="4">
        <v>182</v>
      </c>
      <c r="B184" s="1" t="str">
        <f t="shared" si="13"/>
        <v>106</v>
      </c>
      <c r="C184" s="1" t="s">
        <v>239</v>
      </c>
      <c r="D184" s="1" t="s">
        <v>8</v>
      </c>
      <c r="E184" s="1" t="str">
        <f>"关淑娟"</f>
        <v>关淑娟</v>
      </c>
      <c r="F184" s="1" t="str">
        <f>"2022022422"</f>
        <v>2022022422</v>
      </c>
      <c r="G184" s="2" t="s">
        <v>212</v>
      </c>
      <c r="H184" s="2" t="s">
        <v>139</v>
      </c>
      <c r="I184" s="1">
        <v>27</v>
      </c>
      <c r="J184" s="1">
        <f t="shared" si="12"/>
        <v>133.5</v>
      </c>
      <c r="K184" s="4">
        <f t="shared" si="14"/>
        <v>66.75</v>
      </c>
    </row>
    <row r="185" spans="1:11">
      <c r="A185" s="4">
        <v>183</v>
      </c>
      <c r="B185" s="1" t="str">
        <f t="shared" si="13"/>
        <v>106</v>
      </c>
      <c r="C185" s="1" t="s">
        <v>239</v>
      </c>
      <c r="D185" s="1" t="s">
        <v>8</v>
      </c>
      <c r="E185" s="1" t="str">
        <f>"任海鹏"</f>
        <v>任海鹏</v>
      </c>
      <c r="F185" s="1" t="str">
        <f>"2022024005"</f>
        <v>2022024005</v>
      </c>
      <c r="G185" s="2" t="s">
        <v>119</v>
      </c>
      <c r="H185" s="2" t="s">
        <v>132</v>
      </c>
      <c r="I185" s="1">
        <v>29</v>
      </c>
      <c r="J185" s="1">
        <f t="shared" si="12"/>
        <v>133.5</v>
      </c>
      <c r="K185" s="4">
        <f t="shared" si="14"/>
        <v>66.75</v>
      </c>
    </row>
    <row r="186" spans="1:11">
      <c r="A186" s="4">
        <v>184</v>
      </c>
      <c r="B186" s="1" t="str">
        <f t="shared" si="13"/>
        <v>106</v>
      </c>
      <c r="C186" s="1" t="s">
        <v>239</v>
      </c>
      <c r="D186" s="1" t="s">
        <v>8</v>
      </c>
      <c r="E186" s="1" t="str">
        <f>"李培"</f>
        <v>李培</v>
      </c>
      <c r="F186" s="1" t="str">
        <f>"2022022717"</f>
        <v>2022022717</v>
      </c>
      <c r="G186" s="2" t="s">
        <v>85</v>
      </c>
      <c r="H186" s="2" t="s">
        <v>73</v>
      </c>
      <c r="I186" s="1">
        <v>28</v>
      </c>
      <c r="J186" s="1">
        <f t="shared" si="12"/>
        <v>133</v>
      </c>
      <c r="K186" s="4">
        <f t="shared" si="14"/>
        <v>66.5</v>
      </c>
    </row>
    <row r="187" spans="1:11">
      <c r="A187" s="4">
        <v>185</v>
      </c>
      <c r="B187" s="1" t="str">
        <f t="shared" si="13"/>
        <v>106</v>
      </c>
      <c r="C187" s="1" t="s">
        <v>239</v>
      </c>
      <c r="D187" s="1" t="s">
        <v>8</v>
      </c>
      <c r="E187" s="1" t="str">
        <f>"张雪杰"</f>
        <v>张雪杰</v>
      </c>
      <c r="F187" s="1" t="str">
        <f>"2022021503"</f>
        <v>2022021503</v>
      </c>
      <c r="G187" s="2" t="s">
        <v>126</v>
      </c>
      <c r="H187" s="2" t="s">
        <v>143</v>
      </c>
      <c r="I187" s="1">
        <v>30</v>
      </c>
      <c r="J187" s="1">
        <f t="shared" si="12"/>
        <v>132.9</v>
      </c>
      <c r="K187" s="4">
        <f t="shared" si="14"/>
        <v>66.45</v>
      </c>
    </row>
    <row r="188" spans="1:11">
      <c r="A188" s="4">
        <v>186</v>
      </c>
      <c r="B188" s="1" t="str">
        <f t="shared" si="13"/>
        <v>106</v>
      </c>
      <c r="C188" s="1" t="s">
        <v>239</v>
      </c>
      <c r="D188" s="1" t="s">
        <v>8</v>
      </c>
      <c r="E188" s="1" t="str">
        <f>"韩静"</f>
        <v>韩静</v>
      </c>
      <c r="F188" s="1" t="str">
        <f>"2022021907"</f>
        <v>2022021907</v>
      </c>
      <c r="G188" s="2" t="s">
        <v>177</v>
      </c>
      <c r="H188" s="2" t="s">
        <v>111</v>
      </c>
      <c r="I188" s="1">
        <v>29</v>
      </c>
      <c r="J188" s="1">
        <f t="shared" si="12"/>
        <v>132.80000000000001</v>
      </c>
      <c r="K188" s="4">
        <f t="shared" si="14"/>
        <v>66.400000000000006</v>
      </c>
    </row>
    <row r="189" spans="1:11">
      <c r="A189" s="4">
        <v>187</v>
      </c>
      <c r="B189" s="1" t="str">
        <f t="shared" si="13"/>
        <v>106</v>
      </c>
      <c r="C189" s="1" t="s">
        <v>239</v>
      </c>
      <c r="D189" s="1" t="s">
        <v>8</v>
      </c>
      <c r="E189" s="1" t="str">
        <f>"崔华兰"</f>
        <v>崔华兰</v>
      </c>
      <c r="F189" s="1" t="str">
        <f>"2022020521"</f>
        <v>2022020521</v>
      </c>
      <c r="G189" s="2" t="s">
        <v>243</v>
      </c>
      <c r="H189" s="2" t="s">
        <v>35</v>
      </c>
      <c r="I189" s="1">
        <v>30</v>
      </c>
      <c r="J189" s="1">
        <f t="shared" si="12"/>
        <v>132.39999999999998</v>
      </c>
      <c r="K189" s="4">
        <f t="shared" si="14"/>
        <v>66.199999999999989</v>
      </c>
    </row>
    <row r="190" spans="1:11">
      <c r="A190" s="4">
        <v>188</v>
      </c>
      <c r="B190" s="1" t="str">
        <f t="shared" si="13"/>
        <v>106</v>
      </c>
      <c r="C190" s="1" t="s">
        <v>239</v>
      </c>
      <c r="D190" s="1" t="s">
        <v>8</v>
      </c>
      <c r="E190" s="1" t="str">
        <f>"吴梦奇"</f>
        <v>吴梦奇</v>
      </c>
      <c r="F190" s="1" t="str">
        <f>"2022021508"</f>
        <v>2022021508</v>
      </c>
      <c r="G190" s="2" t="s">
        <v>118</v>
      </c>
      <c r="H190" s="2" t="s">
        <v>68</v>
      </c>
      <c r="I190" s="1">
        <v>28</v>
      </c>
      <c r="J190" s="1">
        <f t="shared" si="12"/>
        <v>132.19999999999999</v>
      </c>
      <c r="K190" s="4">
        <f t="shared" si="14"/>
        <v>66.099999999999994</v>
      </c>
    </row>
    <row r="191" spans="1:11">
      <c r="A191" s="4">
        <v>189</v>
      </c>
      <c r="B191" s="1" t="str">
        <f t="shared" si="13"/>
        <v>106</v>
      </c>
      <c r="C191" s="1" t="s">
        <v>239</v>
      </c>
      <c r="D191" s="1" t="s">
        <v>8</v>
      </c>
      <c r="E191" s="1" t="str">
        <f>"张文静"</f>
        <v>张文静</v>
      </c>
      <c r="F191" s="1" t="str">
        <f>"2022022018"</f>
        <v>2022022018</v>
      </c>
      <c r="G191" s="2" t="s">
        <v>114</v>
      </c>
      <c r="H191" s="2" t="s">
        <v>167</v>
      </c>
      <c r="I191" s="1">
        <v>30</v>
      </c>
      <c r="J191" s="1">
        <f t="shared" si="12"/>
        <v>131.30000000000001</v>
      </c>
      <c r="K191" s="4">
        <f t="shared" si="14"/>
        <v>65.650000000000006</v>
      </c>
    </row>
    <row r="192" spans="1:11">
      <c r="A192" s="4">
        <v>190</v>
      </c>
      <c r="B192" s="1" t="str">
        <f t="shared" si="13"/>
        <v>106</v>
      </c>
      <c r="C192" s="1" t="s">
        <v>239</v>
      </c>
      <c r="D192" s="1" t="s">
        <v>8</v>
      </c>
      <c r="E192" s="1" t="str">
        <f>"陈晓黎"</f>
        <v>陈晓黎</v>
      </c>
      <c r="F192" s="1" t="str">
        <f>"2022021319"</f>
        <v>2022021319</v>
      </c>
      <c r="G192" s="2" t="s">
        <v>126</v>
      </c>
      <c r="H192" s="2" t="s">
        <v>73</v>
      </c>
      <c r="I192" s="1">
        <v>29</v>
      </c>
      <c r="J192" s="1">
        <f t="shared" si="12"/>
        <v>130.80000000000001</v>
      </c>
      <c r="K192" s="4">
        <f t="shared" si="14"/>
        <v>65.400000000000006</v>
      </c>
    </row>
    <row r="193" spans="1:11">
      <c r="A193" s="4">
        <v>191</v>
      </c>
      <c r="B193" s="1" t="str">
        <f t="shared" si="13"/>
        <v>106</v>
      </c>
      <c r="C193" s="1" t="s">
        <v>239</v>
      </c>
      <c r="D193" s="1" t="s">
        <v>8</v>
      </c>
      <c r="E193" s="1" t="str">
        <f>"樊敏"</f>
        <v>樊敏</v>
      </c>
      <c r="F193" s="1" t="str">
        <f>"2022020213"</f>
        <v>2022020213</v>
      </c>
      <c r="G193" s="2" t="s">
        <v>217</v>
      </c>
      <c r="H193" s="2" t="s">
        <v>9</v>
      </c>
      <c r="I193" s="1">
        <v>28</v>
      </c>
      <c r="J193" s="1">
        <f t="shared" si="12"/>
        <v>130.1</v>
      </c>
      <c r="K193" s="4">
        <f t="shared" si="14"/>
        <v>65.05</v>
      </c>
    </row>
    <row r="194" spans="1:11">
      <c r="A194" s="4">
        <v>192</v>
      </c>
      <c r="B194" s="1" t="str">
        <f t="shared" si="13"/>
        <v>106</v>
      </c>
      <c r="C194" s="1" t="s">
        <v>239</v>
      </c>
      <c r="D194" s="1" t="s">
        <v>8</v>
      </c>
      <c r="E194" s="1" t="str">
        <f>"方倩倩"</f>
        <v>方倩倩</v>
      </c>
      <c r="F194" s="1" t="str">
        <f>"2022020424"</f>
        <v>2022020424</v>
      </c>
      <c r="G194" s="2" t="s">
        <v>190</v>
      </c>
      <c r="H194" s="2" t="s">
        <v>154</v>
      </c>
      <c r="I194" s="1">
        <v>28</v>
      </c>
      <c r="J194" s="1">
        <f t="shared" si="12"/>
        <v>130</v>
      </c>
      <c r="K194" s="4">
        <f t="shared" si="14"/>
        <v>65</v>
      </c>
    </row>
    <row r="195" spans="1:11">
      <c r="A195" s="4">
        <v>193</v>
      </c>
      <c r="B195" s="1" t="str">
        <f t="shared" si="13"/>
        <v>106</v>
      </c>
      <c r="C195" s="1" t="s">
        <v>239</v>
      </c>
      <c r="D195" s="1" t="s">
        <v>8</v>
      </c>
      <c r="E195" s="1" t="str">
        <f>"彭燕春"</f>
        <v>彭燕春</v>
      </c>
      <c r="F195" s="1" t="str">
        <f>"2022023810"</f>
        <v>2022023810</v>
      </c>
      <c r="G195" s="2" t="s">
        <v>65</v>
      </c>
      <c r="H195" s="2" t="s">
        <v>64</v>
      </c>
      <c r="I195" s="1">
        <v>30</v>
      </c>
      <c r="J195" s="1">
        <f t="shared" ref="J195:J258" si="15">G195+H195+I195</f>
        <v>129.80000000000001</v>
      </c>
      <c r="K195" s="4">
        <f t="shared" si="14"/>
        <v>64.900000000000006</v>
      </c>
    </row>
    <row r="196" spans="1:11">
      <c r="A196" s="4">
        <v>194</v>
      </c>
      <c r="B196" s="1" t="str">
        <f t="shared" si="13"/>
        <v>106</v>
      </c>
      <c r="C196" s="1" t="s">
        <v>239</v>
      </c>
      <c r="D196" s="1" t="s">
        <v>8</v>
      </c>
      <c r="E196" s="1" t="str">
        <f>"朱康"</f>
        <v>朱康</v>
      </c>
      <c r="F196" s="1" t="str">
        <f>"2022021829"</f>
        <v>2022021829</v>
      </c>
      <c r="G196" s="2" t="s">
        <v>66</v>
      </c>
      <c r="H196" s="2" t="s">
        <v>10</v>
      </c>
      <c r="I196" s="1">
        <v>30</v>
      </c>
      <c r="J196" s="1">
        <f t="shared" si="15"/>
        <v>129.6</v>
      </c>
      <c r="K196" s="4">
        <f t="shared" si="14"/>
        <v>64.8</v>
      </c>
    </row>
    <row r="197" spans="1:11">
      <c r="A197" s="4">
        <v>195</v>
      </c>
      <c r="B197" s="1" t="str">
        <f t="shared" si="13"/>
        <v>106</v>
      </c>
      <c r="C197" s="1" t="s">
        <v>239</v>
      </c>
      <c r="D197" s="1" t="s">
        <v>8</v>
      </c>
      <c r="E197" s="1" t="str">
        <f>"王秀晴"</f>
        <v>王秀晴</v>
      </c>
      <c r="F197" s="1" t="str">
        <f>"2022024116"</f>
        <v>2022024116</v>
      </c>
      <c r="G197" s="2" t="s">
        <v>29</v>
      </c>
      <c r="H197" s="2" t="s">
        <v>13</v>
      </c>
      <c r="I197" s="1">
        <v>30</v>
      </c>
      <c r="J197" s="1">
        <f t="shared" si="15"/>
        <v>128.69999999999999</v>
      </c>
      <c r="K197" s="4">
        <f t="shared" si="14"/>
        <v>64.349999999999994</v>
      </c>
    </row>
    <row r="198" spans="1:11">
      <c r="A198" s="4">
        <v>196</v>
      </c>
      <c r="B198" s="1" t="str">
        <f t="shared" si="13"/>
        <v>106</v>
      </c>
      <c r="C198" s="1" t="s">
        <v>239</v>
      </c>
      <c r="D198" s="1" t="s">
        <v>8</v>
      </c>
      <c r="E198" s="1" t="str">
        <f>"王艳"</f>
        <v>王艳</v>
      </c>
      <c r="F198" s="1" t="str">
        <f>"2022022622"</f>
        <v>2022022622</v>
      </c>
      <c r="G198" s="2" t="s">
        <v>242</v>
      </c>
      <c r="H198" s="2" t="s">
        <v>142</v>
      </c>
      <c r="I198" s="1">
        <v>28</v>
      </c>
      <c r="J198" s="1">
        <f t="shared" si="15"/>
        <v>128.6</v>
      </c>
      <c r="K198" s="4">
        <f t="shared" si="14"/>
        <v>64.3</v>
      </c>
    </row>
    <row r="199" spans="1:11">
      <c r="A199" s="4">
        <v>197</v>
      </c>
      <c r="B199" s="1" t="str">
        <f t="shared" si="13"/>
        <v>106</v>
      </c>
      <c r="C199" s="1" t="s">
        <v>239</v>
      </c>
      <c r="D199" s="1" t="s">
        <v>8</v>
      </c>
      <c r="E199" s="1" t="str">
        <f>"祁琪"</f>
        <v>祁琪</v>
      </c>
      <c r="F199" s="1" t="str">
        <f>"2022023628"</f>
        <v>2022023628</v>
      </c>
      <c r="G199" s="2" t="s">
        <v>241</v>
      </c>
      <c r="H199" s="2" t="s">
        <v>167</v>
      </c>
      <c r="I199" s="1">
        <v>29</v>
      </c>
      <c r="J199" s="1">
        <f t="shared" si="15"/>
        <v>128.19999999999999</v>
      </c>
      <c r="K199" s="4">
        <f t="shared" si="14"/>
        <v>64.099999999999994</v>
      </c>
    </row>
    <row r="200" spans="1:11">
      <c r="A200" s="4">
        <v>198</v>
      </c>
      <c r="B200" s="1" t="str">
        <f t="shared" si="13"/>
        <v>106</v>
      </c>
      <c r="C200" s="1" t="s">
        <v>239</v>
      </c>
      <c r="D200" s="1" t="s">
        <v>8</v>
      </c>
      <c r="E200" s="1" t="str">
        <f>"陈飞翔"</f>
        <v>陈飞翔</v>
      </c>
      <c r="F200" s="1" t="str">
        <f>"2022021026"</f>
        <v>2022021026</v>
      </c>
      <c r="G200" s="2" t="s">
        <v>240</v>
      </c>
      <c r="H200" s="2" t="s">
        <v>35</v>
      </c>
      <c r="I200" s="1">
        <v>28</v>
      </c>
      <c r="J200" s="1">
        <f t="shared" si="15"/>
        <v>126.9</v>
      </c>
      <c r="K200" s="4">
        <f t="shared" si="14"/>
        <v>63.45</v>
      </c>
    </row>
    <row r="201" spans="1:11">
      <c r="A201" s="4">
        <v>199</v>
      </c>
      <c r="B201" s="1" t="str">
        <f t="shared" ref="B201:B220" si="16">"106"</f>
        <v>106</v>
      </c>
      <c r="C201" s="1" t="s">
        <v>239</v>
      </c>
      <c r="D201" s="1" t="s">
        <v>8</v>
      </c>
      <c r="E201" s="1" t="str">
        <f>"王岩"</f>
        <v>王岩</v>
      </c>
      <c r="F201" s="1" t="str">
        <f>"2022023221"</f>
        <v>2022023221</v>
      </c>
      <c r="G201" s="2" t="s">
        <v>197</v>
      </c>
      <c r="H201" s="2" t="s">
        <v>206</v>
      </c>
      <c r="I201" s="1">
        <v>28</v>
      </c>
      <c r="J201" s="1">
        <f t="shared" si="15"/>
        <v>126.9</v>
      </c>
      <c r="K201" s="4">
        <f t="shared" si="14"/>
        <v>63.45</v>
      </c>
    </row>
    <row r="202" spans="1:11">
      <c r="A202" s="4">
        <v>200</v>
      </c>
      <c r="B202" s="1" t="str">
        <f t="shared" si="16"/>
        <v>106</v>
      </c>
      <c r="C202" s="1" t="s">
        <v>239</v>
      </c>
      <c r="D202" s="1" t="s">
        <v>8</v>
      </c>
      <c r="E202" s="1" t="str">
        <f>"张毛从"</f>
        <v>张毛从</v>
      </c>
      <c r="F202" s="1" t="str">
        <f>"2022023806"</f>
        <v>2022023806</v>
      </c>
      <c r="G202" s="2" t="s">
        <v>48</v>
      </c>
      <c r="H202" s="2" t="s">
        <v>14</v>
      </c>
      <c r="I202" s="1">
        <v>27</v>
      </c>
      <c r="J202" s="1">
        <f t="shared" si="15"/>
        <v>126.7</v>
      </c>
      <c r="K202" s="4">
        <f t="shared" si="14"/>
        <v>63.35</v>
      </c>
    </row>
    <row r="203" spans="1:11">
      <c r="A203" s="4">
        <v>201</v>
      </c>
      <c r="B203" s="1" t="str">
        <f t="shared" si="16"/>
        <v>106</v>
      </c>
      <c r="C203" s="1" t="s">
        <v>239</v>
      </c>
      <c r="D203" s="1" t="s">
        <v>8</v>
      </c>
      <c r="E203" s="1" t="str">
        <f>"孙娇阳"</f>
        <v>孙娇阳</v>
      </c>
      <c r="F203" s="1" t="str">
        <f>"2022020329"</f>
        <v>2022020329</v>
      </c>
      <c r="G203" s="2" t="s">
        <v>104</v>
      </c>
      <c r="H203" s="2" t="s">
        <v>103</v>
      </c>
      <c r="I203" s="1">
        <v>29</v>
      </c>
      <c r="J203" s="1">
        <f t="shared" si="15"/>
        <v>126.30000000000001</v>
      </c>
      <c r="K203" s="4">
        <f t="shared" ref="K203:K220" si="17">J203/2</f>
        <v>63.150000000000006</v>
      </c>
    </row>
    <row r="204" spans="1:11">
      <c r="A204" s="4">
        <v>202</v>
      </c>
      <c r="B204" s="1" t="str">
        <f t="shared" si="16"/>
        <v>106</v>
      </c>
      <c r="C204" s="1" t="s">
        <v>239</v>
      </c>
      <c r="D204" s="1" t="s">
        <v>8</v>
      </c>
      <c r="E204" s="1" t="str">
        <f>"陈明宇"</f>
        <v>陈明宇</v>
      </c>
      <c r="F204" s="1" t="str">
        <f>"2022021514"</f>
        <v>2022021514</v>
      </c>
      <c r="G204" s="2" t="s">
        <v>182</v>
      </c>
      <c r="H204" s="2" t="s">
        <v>211</v>
      </c>
      <c r="I204" s="1">
        <v>29</v>
      </c>
      <c r="J204" s="1">
        <f t="shared" si="15"/>
        <v>126.19999999999999</v>
      </c>
      <c r="K204" s="4">
        <f t="shared" si="17"/>
        <v>63.099999999999994</v>
      </c>
    </row>
    <row r="205" spans="1:11">
      <c r="A205" s="4">
        <v>203</v>
      </c>
      <c r="B205" s="1" t="str">
        <f t="shared" si="16"/>
        <v>106</v>
      </c>
      <c r="C205" s="1" t="s">
        <v>239</v>
      </c>
      <c r="D205" s="1" t="s">
        <v>8</v>
      </c>
      <c r="E205" s="1" t="str">
        <f>"王新"</f>
        <v>王新</v>
      </c>
      <c r="F205" s="1" t="str">
        <f>"2022023512"</f>
        <v>2022023512</v>
      </c>
      <c r="G205" s="2" t="s">
        <v>223</v>
      </c>
      <c r="H205" s="2" t="s">
        <v>17</v>
      </c>
      <c r="I205" s="1">
        <v>26</v>
      </c>
      <c r="J205" s="1">
        <f t="shared" si="15"/>
        <v>125.5</v>
      </c>
      <c r="K205" s="4">
        <f t="shared" si="17"/>
        <v>62.75</v>
      </c>
    </row>
    <row r="206" spans="1:11">
      <c r="A206" s="4">
        <v>204</v>
      </c>
      <c r="B206" s="1" t="str">
        <f t="shared" si="16"/>
        <v>106</v>
      </c>
      <c r="C206" s="1" t="s">
        <v>239</v>
      </c>
      <c r="D206" s="1" t="s">
        <v>8</v>
      </c>
      <c r="E206" s="1" t="str">
        <f>"李德荣"</f>
        <v>李德荣</v>
      </c>
      <c r="F206" s="1" t="str">
        <f>"2022023919"</f>
        <v>2022023919</v>
      </c>
      <c r="G206" s="2" t="s">
        <v>217</v>
      </c>
      <c r="H206" s="2" t="s">
        <v>49</v>
      </c>
      <c r="I206" s="1">
        <v>29</v>
      </c>
      <c r="J206" s="1">
        <f t="shared" si="15"/>
        <v>125.4</v>
      </c>
      <c r="K206" s="4">
        <f t="shared" si="17"/>
        <v>62.7</v>
      </c>
    </row>
    <row r="207" spans="1:11">
      <c r="A207" s="4">
        <v>205</v>
      </c>
      <c r="B207" s="1" t="str">
        <f t="shared" si="16"/>
        <v>106</v>
      </c>
      <c r="C207" s="1" t="s">
        <v>239</v>
      </c>
      <c r="D207" s="1" t="s">
        <v>8</v>
      </c>
      <c r="E207" s="1" t="str">
        <f>"王明珠"</f>
        <v>王明珠</v>
      </c>
      <c r="F207" s="1" t="str">
        <f>"2022020516"</f>
        <v>2022020516</v>
      </c>
      <c r="G207" s="2" t="s">
        <v>156</v>
      </c>
      <c r="H207" s="2" t="s">
        <v>143</v>
      </c>
      <c r="I207" s="1">
        <v>27</v>
      </c>
      <c r="J207" s="1">
        <f t="shared" si="15"/>
        <v>125.19999999999999</v>
      </c>
      <c r="K207" s="4">
        <f t="shared" si="17"/>
        <v>62.599999999999994</v>
      </c>
    </row>
    <row r="208" spans="1:11">
      <c r="A208" s="4">
        <v>206</v>
      </c>
      <c r="B208" s="1" t="str">
        <f t="shared" si="16"/>
        <v>106</v>
      </c>
      <c r="C208" s="1" t="s">
        <v>239</v>
      </c>
      <c r="D208" s="1" t="s">
        <v>8</v>
      </c>
      <c r="E208" s="1" t="str">
        <f>"邱顺"</f>
        <v>邱顺</v>
      </c>
      <c r="F208" s="1" t="str">
        <f>"2022023102"</f>
        <v>2022023102</v>
      </c>
      <c r="G208" s="2" t="s">
        <v>22</v>
      </c>
      <c r="H208" s="2" t="s">
        <v>180</v>
      </c>
      <c r="I208" s="1">
        <v>30</v>
      </c>
      <c r="J208" s="1">
        <f t="shared" si="15"/>
        <v>124.6</v>
      </c>
      <c r="K208" s="4">
        <f t="shared" si="17"/>
        <v>62.3</v>
      </c>
    </row>
    <row r="209" spans="1:11">
      <c r="A209" s="4">
        <v>207</v>
      </c>
      <c r="B209" s="1" t="str">
        <f t="shared" si="16"/>
        <v>106</v>
      </c>
      <c r="C209" s="1" t="s">
        <v>239</v>
      </c>
      <c r="D209" s="1" t="s">
        <v>8</v>
      </c>
      <c r="E209" s="1" t="str">
        <f>"吕子昱"</f>
        <v>吕子昱</v>
      </c>
      <c r="F209" s="1" t="str">
        <f>"2022022922"</f>
        <v>2022022922</v>
      </c>
      <c r="G209" s="2" t="s">
        <v>133</v>
      </c>
      <c r="H209" s="2" t="s">
        <v>181</v>
      </c>
      <c r="I209" s="1">
        <v>29</v>
      </c>
      <c r="J209" s="1">
        <f t="shared" si="15"/>
        <v>124.4</v>
      </c>
      <c r="K209" s="4">
        <f t="shared" si="17"/>
        <v>62.2</v>
      </c>
    </row>
    <row r="210" spans="1:11">
      <c r="A210" s="4">
        <v>208</v>
      </c>
      <c r="B210" s="1" t="str">
        <f t="shared" si="16"/>
        <v>106</v>
      </c>
      <c r="C210" s="1" t="s">
        <v>239</v>
      </c>
      <c r="D210" s="1" t="s">
        <v>8</v>
      </c>
      <c r="E210" s="1" t="str">
        <f>"陈亚蒙"</f>
        <v>陈亚蒙</v>
      </c>
      <c r="F210" s="1" t="str">
        <f>"2022023111"</f>
        <v>2022023111</v>
      </c>
      <c r="G210" s="2" t="s">
        <v>156</v>
      </c>
      <c r="H210" s="2" t="s">
        <v>163</v>
      </c>
      <c r="I210" s="1">
        <v>30</v>
      </c>
      <c r="J210" s="1">
        <f t="shared" si="15"/>
        <v>124.4</v>
      </c>
      <c r="K210" s="4">
        <f t="shared" si="17"/>
        <v>62.2</v>
      </c>
    </row>
    <row r="211" spans="1:11">
      <c r="A211" s="4">
        <v>209</v>
      </c>
      <c r="B211" s="1" t="str">
        <f t="shared" si="16"/>
        <v>106</v>
      </c>
      <c r="C211" s="1" t="s">
        <v>239</v>
      </c>
      <c r="D211" s="1" t="s">
        <v>8</v>
      </c>
      <c r="E211" s="1" t="str">
        <f>"朱喜凤"</f>
        <v>朱喜凤</v>
      </c>
      <c r="F211" s="1" t="str">
        <f>"2022023915"</f>
        <v>2022023915</v>
      </c>
      <c r="G211" s="2" t="s">
        <v>70</v>
      </c>
      <c r="H211" s="2" t="s">
        <v>164</v>
      </c>
      <c r="I211" s="1">
        <v>28</v>
      </c>
      <c r="J211" s="1">
        <f t="shared" si="15"/>
        <v>124.1</v>
      </c>
      <c r="K211" s="4">
        <f t="shared" si="17"/>
        <v>62.05</v>
      </c>
    </row>
    <row r="212" spans="1:11">
      <c r="A212" s="4">
        <v>210</v>
      </c>
      <c r="B212" s="1" t="str">
        <f t="shared" si="16"/>
        <v>106</v>
      </c>
      <c r="C212" s="1" t="s">
        <v>239</v>
      </c>
      <c r="D212" s="1" t="s">
        <v>8</v>
      </c>
      <c r="E212" s="1" t="str">
        <f>"周晓玲"</f>
        <v>周晓玲</v>
      </c>
      <c r="F212" s="1" t="str">
        <f>"2022022409"</f>
        <v>2022022409</v>
      </c>
      <c r="G212" s="2" t="s">
        <v>217</v>
      </c>
      <c r="H212" s="2" t="s">
        <v>24</v>
      </c>
      <c r="I212" s="1">
        <v>29</v>
      </c>
      <c r="J212" s="1">
        <f t="shared" si="15"/>
        <v>123.19999999999999</v>
      </c>
      <c r="K212" s="4">
        <f t="shared" si="17"/>
        <v>61.599999999999994</v>
      </c>
    </row>
    <row r="213" spans="1:11">
      <c r="A213" s="4">
        <v>211</v>
      </c>
      <c r="B213" s="1" t="str">
        <f t="shared" si="16"/>
        <v>106</v>
      </c>
      <c r="C213" s="1" t="s">
        <v>239</v>
      </c>
      <c r="D213" s="1" t="s">
        <v>8</v>
      </c>
      <c r="E213" s="1" t="str">
        <f>"周瑾"</f>
        <v>周瑾</v>
      </c>
      <c r="F213" s="1" t="str">
        <f>"2022021708"</f>
        <v>2022021708</v>
      </c>
      <c r="G213" s="2" t="s">
        <v>92</v>
      </c>
      <c r="H213" s="2" t="s">
        <v>199</v>
      </c>
      <c r="I213" s="1">
        <v>30</v>
      </c>
      <c r="J213" s="1">
        <f t="shared" si="15"/>
        <v>123.1</v>
      </c>
      <c r="K213" s="4">
        <f t="shared" si="17"/>
        <v>61.55</v>
      </c>
    </row>
    <row r="214" spans="1:11">
      <c r="A214" s="4">
        <v>212</v>
      </c>
      <c r="B214" s="1" t="str">
        <f t="shared" si="16"/>
        <v>106</v>
      </c>
      <c r="C214" s="1" t="s">
        <v>239</v>
      </c>
      <c r="D214" s="1" t="s">
        <v>8</v>
      </c>
      <c r="E214" s="1" t="str">
        <f>"费甜甜"</f>
        <v>费甜甜</v>
      </c>
      <c r="F214" s="1" t="str">
        <f>"2022022330"</f>
        <v>2022022330</v>
      </c>
      <c r="G214" s="2" t="s">
        <v>37</v>
      </c>
      <c r="H214" s="2" t="s">
        <v>103</v>
      </c>
      <c r="I214" s="1">
        <v>30</v>
      </c>
      <c r="J214" s="1">
        <f t="shared" si="15"/>
        <v>122.7</v>
      </c>
      <c r="K214" s="4">
        <f t="shared" si="17"/>
        <v>61.35</v>
      </c>
    </row>
    <row r="215" spans="1:11">
      <c r="A215" s="4">
        <v>213</v>
      </c>
      <c r="B215" s="1" t="str">
        <f t="shared" si="16"/>
        <v>106</v>
      </c>
      <c r="C215" s="1" t="s">
        <v>239</v>
      </c>
      <c r="D215" s="1" t="s">
        <v>8</v>
      </c>
      <c r="E215" s="1" t="str">
        <f>"张帆"</f>
        <v>张帆</v>
      </c>
      <c r="F215" s="1" t="str">
        <f>"2022020216"</f>
        <v>2022020216</v>
      </c>
      <c r="G215" s="2" t="s">
        <v>110</v>
      </c>
      <c r="H215" s="2" t="s">
        <v>63</v>
      </c>
      <c r="I215" s="1">
        <v>28</v>
      </c>
      <c r="J215" s="1">
        <f t="shared" si="15"/>
        <v>122.5</v>
      </c>
      <c r="K215" s="4">
        <f t="shared" si="17"/>
        <v>61.25</v>
      </c>
    </row>
    <row r="216" spans="1:11">
      <c r="A216" s="4">
        <v>214</v>
      </c>
      <c r="B216" s="1" t="str">
        <f t="shared" si="16"/>
        <v>106</v>
      </c>
      <c r="C216" s="1" t="s">
        <v>239</v>
      </c>
      <c r="D216" s="1" t="s">
        <v>8</v>
      </c>
      <c r="E216" s="1" t="str">
        <f>"申培培"</f>
        <v>申培培</v>
      </c>
      <c r="F216" s="1" t="str">
        <f>"2022022513"</f>
        <v>2022022513</v>
      </c>
      <c r="G216" s="2" t="s">
        <v>23</v>
      </c>
      <c r="H216" s="2" t="s">
        <v>184</v>
      </c>
      <c r="I216" s="1">
        <v>30</v>
      </c>
      <c r="J216" s="1">
        <f t="shared" si="15"/>
        <v>122.5</v>
      </c>
      <c r="K216" s="4">
        <f t="shared" si="17"/>
        <v>61.25</v>
      </c>
    </row>
    <row r="217" spans="1:11">
      <c r="A217" s="4">
        <v>215</v>
      </c>
      <c r="B217" s="1" t="str">
        <f t="shared" si="16"/>
        <v>106</v>
      </c>
      <c r="C217" s="1" t="s">
        <v>239</v>
      </c>
      <c r="D217" s="1" t="s">
        <v>8</v>
      </c>
      <c r="E217" s="1" t="str">
        <f>"李翠凤"</f>
        <v>李翠凤</v>
      </c>
      <c r="F217" s="1" t="str">
        <f>"2022021510"</f>
        <v>2022021510</v>
      </c>
      <c r="G217" s="2" t="s">
        <v>23</v>
      </c>
      <c r="H217" s="2" t="s">
        <v>138</v>
      </c>
      <c r="I217" s="1">
        <v>30</v>
      </c>
      <c r="J217" s="1">
        <f t="shared" si="15"/>
        <v>122.1</v>
      </c>
      <c r="K217" s="4">
        <f t="shared" si="17"/>
        <v>61.05</v>
      </c>
    </row>
    <row r="218" spans="1:11">
      <c r="A218" s="4">
        <v>216</v>
      </c>
      <c r="B218" s="1" t="str">
        <f t="shared" si="16"/>
        <v>106</v>
      </c>
      <c r="C218" s="1" t="s">
        <v>239</v>
      </c>
      <c r="D218" s="1" t="s">
        <v>8</v>
      </c>
      <c r="E218" s="1" t="str">
        <f>"周晴"</f>
        <v>周晴</v>
      </c>
      <c r="F218" s="1" t="str">
        <f>"2022021624"</f>
        <v>2022021624</v>
      </c>
      <c r="G218" s="2" t="s">
        <v>80</v>
      </c>
      <c r="H218" s="2" t="s">
        <v>159</v>
      </c>
      <c r="I218" s="1">
        <v>28</v>
      </c>
      <c r="J218" s="1">
        <f t="shared" si="15"/>
        <v>122.1</v>
      </c>
      <c r="K218" s="4">
        <f t="shared" si="17"/>
        <v>61.05</v>
      </c>
    </row>
    <row r="219" spans="1:11">
      <c r="A219" s="4">
        <v>217</v>
      </c>
      <c r="B219" s="1" t="str">
        <f t="shared" si="16"/>
        <v>106</v>
      </c>
      <c r="C219" s="1" t="s">
        <v>239</v>
      </c>
      <c r="D219" s="1" t="s">
        <v>8</v>
      </c>
      <c r="E219" s="1" t="str">
        <f>"夏璐璐"</f>
        <v>夏璐璐</v>
      </c>
      <c r="F219" s="1" t="str">
        <f>"2022020205"</f>
        <v>2022020205</v>
      </c>
      <c r="G219" s="2" t="s">
        <v>188</v>
      </c>
      <c r="H219" s="2" t="s">
        <v>73</v>
      </c>
      <c r="I219" s="1">
        <v>29</v>
      </c>
      <c r="J219" s="1">
        <f t="shared" si="15"/>
        <v>121.80000000000001</v>
      </c>
      <c r="K219" s="4">
        <f t="shared" si="17"/>
        <v>60.900000000000006</v>
      </c>
    </row>
    <row r="220" spans="1:11">
      <c r="A220" s="4">
        <v>218</v>
      </c>
      <c r="B220" s="1" t="str">
        <f t="shared" si="16"/>
        <v>106</v>
      </c>
      <c r="C220" s="1" t="s">
        <v>239</v>
      </c>
      <c r="D220" s="1" t="s">
        <v>8</v>
      </c>
      <c r="E220" s="1" t="str">
        <f>"王子薇"</f>
        <v>王子薇</v>
      </c>
      <c r="F220" s="1" t="str">
        <f>"2022022912"</f>
        <v>2022022912</v>
      </c>
      <c r="G220" s="2" t="s">
        <v>208</v>
      </c>
      <c r="H220" s="2" t="s">
        <v>204</v>
      </c>
      <c r="I220" s="1">
        <v>27</v>
      </c>
      <c r="J220" s="1">
        <f t="shared" si="15"/>
        <v>121.8</v>
      </c>
      <c r="K220" s="4">
        <f t="shared" si="17"/>
        <v>60.9</v>
      </c>
    </row>
    <row r="221" spans="1:11">
      <c r="A221" s="4">
        <v>219</v>
      </c>
      <c r="B221" s="1" t="str">
        <f>"107"</f>
        <v>107</v>
      </c>
      <c r="C221" s="1" t="s">
        <v>250</v>
      </c>
      <c r="D221" s="1" t="s">
        <v>8</v>
      </c>
      <c r="E221" s="1" t="str">
        <f>"赵腾飞"</f>
        <v>赵腾飞</v>
      </c>
      <c r="F221" s="1" t="str">
        <f>"2022023825"</f>
        <v>2022023825</v>
      </c>
      <c r="G221" s="2" t="s">
        <v>173</v>
      </c>
      <c r="H221" s="2" t="s">
        <v>164</v>
      </c>
      <c r="I221" s="1">
        <v>29</v>
      </c>
      <c r="J221" s="1">
        <f t="shared" si="15"/>
        <v>137.5</v>
      </c>
      <c r="K221" s="4">
        <f t="shared" ref="K221:K232" si="18">J221/2</f>
        <v>68.75</v>
      </c>
    </row>
    <row r="222" spans="1:11">
      <c r="A222" s="4">
        <v>220</v>
      </c>
      <c r="B222" s="1" t="str">
        <f>"107"</f>
        <v>107</v>
      </c>
      <c r="C222" s="1" t="s">
        <v>250</v>
      </c>
      <c r="D222" s="1" t="s">
        <v>8</v>
      </c>
      <c r="E222" s="1" t="str">
        <f>"刘鹏"</f>
        <v>刘鹏</v>
      </c>
      <c r="F222" s="1" t="str">
        <f>"2022023918"</f>
        <v>2022023918</v>
      </c>
      <c r="G222" s="2" t="s">
        <v>102</v>
      </c>
      <c r="H222" s="2" t="s">
        <v>87</v>
      </c>
      <c r="I222" s="1">
        <v>28</v>
      </c>
      <c r="J222" s="1">
        <f t="shared" si="15"/>
        <v>130.89999999999998</v>
      </c>
      <c r="K222" s="4">
        <f t="shared" si="18"/>
        <v>65.449999999999989</v>
      </c>
    </row>
    <row r="223" spans="1:11">
      <c r="A223" s="4">
        <v>221</v>
      </c>
      <c r="B223" s="1" t="str">
        <f>"107"</f>
        <v>107</v>
      </c>
      <c r="C223" s="1" t="s">
        <v>250</v>
      </c>
      <c r="D223" s="1" t="s">
        <v>8</v>
      </c>
      <c r="E223" s="1" t="str">
        <f>"张庆港"</f>
        <v>张庆港</v>
      </c>
      <c r="F223" s="1" t="str">
        <f>"2022022816"</f>
        <v>2022022816</v>
      </c>
      <c r="G223" s="2" t="s">
        <v>113</v>
      </c>
      <c r="H223" s="2" t="s">
        <v>125</v>
      </c>
      <c r="I223" s="1">
        <v>29</v>
      </c>
      <c r="J223" s="1">
        <f t="shared" si="15"/>
        <v>130.6</v>
      </c>
      <c r="K223" s="4">
        <f t="shared" si="18"/>
        <v>65.3</v>
      </c>
    </row>
    <row r="224" spans="1:11">
      <c r="A224" s="4">
        <v>222</v>
      </c>
      <c r="B224" s="1" t="str">
        <f>"107"</f>
        <v>107</v>
      </c>
      <c r="C224" s="1" t="s">
        <v>250</v>
      </c>
      <c r="D224" s="1" t="s">
        <v>8</v>
      </c>
      <c r="E224" s="1" t="str">
        <f>"陈立琦"</f>
        <v>陈立琦</v>
      </c>
      <c r="F224" s="1" t="str">
        <f>"2022022808"</f>
        <v>2022022808</v>
      </c>
      <c r="G224" s="2" t="s">
        <v>107</v>
      </c>
      <c r="H224" s="2" t="s">
        <v>63</v>
      </c>
      <c r="I224" s="1">
        <v>29</v>
      </c>
      <c r="J224" s="1">
        <f t="shared" si="15"/>
        <v>125.3</v>
      </c>
      <c r="K224" s="4">
        <f t="shared" si="18"/>
        <v>62.65</v>
      </c>
    </row>
    <row r="225" spans="1:11">
      <c r="A225" s="4">
        <v>223</v>
      </c>
      <c r="B225" s="1" t="str">
        <f>"108"</f>
        <v>108</v>
      </c>
      <c r="C225" s="1" t="s">
        <v>251</v>
      </c>
      <c r="D225" s="1" t="s">
        <v>8</v>
      </c>
      <c r="E225" s="1" t="str">
        <f>"孔雨鑫"</f>
        <v>孔雨鑫</v>
      </c>
      <c r="F225" s="1" t="str">
        <f>"2022022220"</f>
        <v>2022022220</v>
      </c>
      <c r="G225" s="2" t="s">
        <v>186</v>
      </c>
      <c r="H225" s="2" t="s">
        <v>144</v>
      </c>
      <c r="I225" s="1">
        <v>26</v>
      </c>
      <c r="J225" s="1">
        <f t="shared" si="15"/>
        <v>124.7</v>
      </c>
      <c r="K225" s="4">
        <f t="shared" si="18"/>
        <v>62.35</v>
      </c>
    </row>
    <row r="226" spans="1:11">
      <c r="A226" s="4">
        <v>224</v>
      </c>
      <c r="B226" s="1" t="str">
        <f>"108"</f>
        <v>108</v>
      </c>
      <c r="C226" s="1" t="s">
        <v>251</v>
      </c>
      <c r="D226" s="1" t="s">
        <v>8</v>
      </c>
      <c r="E226" s="1" t="str">
        <f>"韩田雨"</f>
        <v>韩田雨</v>
      </c>
      <c r="F226" s="1" t="str">
        <f>"2022021802"</f>
        <v>2022021802</v>
      </c>
      <c r="G226" s="2" t="s">
        <v>177</v>
      </c>
      <c r="H226" s="2" t="s">
        <v>12</v>
      </c>
      <c r="I226" s="1">
        <v>27</v>
      </c>
      <c r="J226" s="1">
        <f t="shared" si="15"/>
        <v>122.4</v>
      </c>
      <c r="K226" s="4">
        <f t="shared" si="18"/>
        <v>61.2</v>
      </c>
    </row>
    <row r="227" spans="1:11">
      <c r="A227" s="4">
        <v>225</v>
      </c>
      <c r="B227" s="1" t="str">
        <f>"108"</f>
        <v>108</v>
      </c>
      <c r="C227" s="1" t="s">
        <v>251</v>
      </c>
      <c r="D227" s="1" t="s">
        <v>8</v>
      </c>
      <c r="E227" s="1" t="str">
        <f>"丁玉"</f>
        <v>丁玉</v>
      </c>
      <c r="F227" s="1" t="str">
        <f>"2022020530"</f>
        <v>2022020530</v>
      </c>
      <c r="G227" s="2" t="s">
        <v>37</v>
      </c>
      <c r="H227" s="2" t="s">
        <v>32</v>
      </c>
      <c r="I227" s="1">
        <v>28</v>
      </c>
      <c r="J227" s="1">
        <f t="shared" si="15"/>
        <v>120.1</v>
      </c>
      <c r="K227" s="4">
        <f t="shared" si="18"/>
        <v>60.05</v>
      </c>
    </row>
    <row r="228" spans="1:11">
      <c r="A228" s="4">
        <v>226</v>
      </c>
      <c r="B228" s="1" t="str">
        <f>"109"</f>
        <v>109</v>
      </c>
      <c r="C228" s="1" t="s">
        <v>252</v>
      </c>
      <c r="D228" s="1" t="s">
        <v>8</v>
      </c>
      <c r="E228" s="1" t="str">
        <f>"李雪慧"</f>
        <v>李雪慧</v>
      </c>
      <c r="F228" s="1" t="str">
        <f>"2022023205"</f>
        <v>2022023205</v>
      </c>
      <c r="G228" s="2" t="s">
        <v>93</v>
      </c>
      <c r="H228" s="2" t="s">
        <v>222</v>
      </c>
      <c r="I228" s="1">
        <v>30</v>
      </c>
      <c r="J228" s="1">
        <f t="shared" si="15"/>
        <v>125.6</v>
      </c>
      <c r="K228" s="4">
        <f t="shared" si="18"/>
        <v>62.8</v>
      </c>
    </row>
    <row r="229" spans="1:11">
      <c r="A229" s="4">
        <v>227</v>
      </c>
      <c r="B229" s="1" t="str">
        <f>"109"</f>
        <v>109</v>
      </c>
      <c r="C229" s="1" t="s">
        <v>252</v>
      </c>
      <c r="D229" s="1" t="s">
        <v>8</v>
      </c>
      <c r="E229" s="1" t="str">
        <f>"赵雪茹"</f>
        <v>赵雪茹</v>
      </c>
      <c r="F229" s="1" t="str">
        <f>"2022022606"</f>
        <v>2022022606</v>
      </c>
      <c r="G229" s="2" t="s">
        <v>53</v>
      </c>
      <c r="H229" s="2" t="s">
        <v>51</v>
      </c>
      <c r="I229" s="1">
        <v>28</v>
      </c>
      <c r="J229" s="1">
        <f t="shared" si="15"/>
        <v>123.6</v>
      </c>
      <c r="K229" s="4">
        <f t="shared" si="18"/>
        <v>61.8</v>
      </c>
    </row>
    <row r="230" spans="1:11">
      <c r="A230" s="4">
        <v>228</v>
      </c>
      <c r="B230" s="1" t="str">
        <f>"109"</f>
        <v>109</v>
      </c>
      <c r="C230" s="1" t="s">
        <v>252</v>
      </c>
      <c r="D230" s="1" t="s">
        <v>8</v>
      </c>
      <c r="E230" s="1" t="str">
        <f>"吴瑞瑞"</f>
        <v>吴瑞瑞</v>
      </c>
      <c r="F230" s="1" t="str">
        <f>"2022022616"</f>
        <v>2022022616</v>
      </c>
      <c r="G230" s="2" t="s">
        <v>48</v>
      </c>
      <c r="H230" s="2" t="s">
        <v>31</v>
      </c>
      <c r="I230" s="1">
        <v>30</v>
      </c>
      <c r="J230" s="1">
        <f t="shared" si="15"/>
        <v>123.1</v>
      </c>
      <c r="K230" s="4">
        <f t="shared" si="18"/>
        <v>61.55</v>
      </c>
    </row>
    <row r="231" spans="1:11">
      <c r="A231" s="4">
        <v>229</v>
      </c>
      <c r="B231" s="1" t="str">
        <f>"109"</f>
        <v>109</v>
      </c>
      <c r="C231" s="1" t="s">
        <v>252</v>
      </c>
      <c r="D231" s="1" t="s">
        <v>8</v>
      </c>
      <c r="E231" s="1" t="str">
        <f>"马玉玲"</f>
        <v>马玉玲</v>
      </c>
      <c r="F231" s="1" t="str">
        <f>"2022021523"</f>
        <v>2022021523</v>
      </c>
      <c r="G231" s="2" t="s">
        <v>83</v>
      </c>
      <c r="H231" s="2" t="s">
        <v>103</v>
      </c>
      <c r="I231" s="1">
        <v>28</v>
      </c>
      <c r="J231" s="1">
        <f t="shared" si="15"/>
        <v>122.7</v>
      </c>
      <c r="K231" s="4">
        <f t="shared" si="18"/>
        <v>61.35</v>
      </c>
    </row>
    <row r="232" spans="1:11">
      <c r="A232" s="4">
        <v>230</v>
      </c>
      <c r="B232" s="1" t="str">
        <f>"109"</f>
        <v>109</v>
      </c>
      <c r="C232" s="1" t="s">
        <v>252</v>
      </c>
      <c r="D232" s="1" t="s">
        <v>8</v>
      </c>
      <c r="E232" s="1" t="str">
        <f>"张雨晴"</f>
        <v>张雨晴</v>
      </c>
      <c r="F232" s="1" t="str">
        <f>"2022020825"</f>
        <v>2022020825</v>
      </c>
      <c r="G232" s="2" t="s">
        <v>104</v>
      </c>
      <c r="H232" s="2" t="s">
        <v>24</v>
      </c>
      <c r="I232" s="1">
        <v>27</v>
      </c>
      <c r="J232" s="1">
        <f t="shared" si="15"/>
        <v>121</v>
      </c>
      <c r="K232" s="4">
        <f t="shared" si="18"/>
        <v>60.5</v>
      </c>
    </row>
    <row r="233" spans="1:11">
      <c r="A233" s="4">
        <v>231</v>
      </c>
      <c r="B233" s="1" t="str">
        <f t="shared" ref="B233:B242" si="19">"110"</f>
        <v>110</v>
      </c>
      <c r="C233" s="1" t="s">
        <v>253</v>
      </c>
      <c r="D233" s="1" t="s">
        <v>8</v>
      </c>
      <c r="E233" s="1" t="str">
        <f>"王宇婷"</f>
        <v>王宇婷</v>
      </c>
      <c r="F233" s="1" t="str">
        <f>"2022021411"</f>
        <v>2022021411</v>
      </c>
      <c r="G233" s="2" t="s">
        <v>255</v>
      </c>
      <c r="H233" s="2" t="s">
        <v>138</v>
      </c>
      <c r="I233" s="1">
        <v>30</v>
      </c>
      <c r="J233" s="1">
        <f t="shared" si="15"/>
        <v>145.9</v>
      </c>
      <c r="K233" s="4">
        <f t="shared" ref="K233:K242" si="20">J233/2</f>
        <v>72.95</v>
      </c>
    </row>
    <row r="234" spans="1:11">
      <c r="A234" s="4">
        <v>232</v>
      </c>
      <c r="B234" s="1" t="str">
        <f t="shared" si="19"/>
        <v>110</v>
      </c>
      <c r="C234" s="1" t="s">
        <v>253</v>
      </c>
      <c r="D234" s="1" t="s">
        <v>8</v>
      </c>
      <c r="E234" s="1" t="str">
        <f>"邹慧敏"</f>
        <v>邹慧敏</v>
      </c>
      <c r="F234" s="1" t="str">
        <f>"2022023621"</f>
        <v>2022023621</v>
      </c>
      <c r="G234" s="2" t="s">
        <v>248</v>
      </c>
      <c r="H234" s="2" t="s">
        <v>74</v>
      </c>
      <c r="I234" s="1">
        <v>29</v>
      </c>
      <c r="J234" s="1">
        <f t="shared" si="15"/>
        <v>142.4</v>
      </c>
      <c r="K234" s="4">
        <f t="shared" si="20"/>
        <v>71.2</v>
      </c>
    </row>
    <row r="235" spans="1:11">
      <c r="A235" s="4">
        <v>233</v>
      </c>
      <c r="B235" s="1" t="str">
        <f t="shared" si="19"/>
        <v>110</v>
      </c>
      <c r="C235" s="1" t="s">
        <v>253</v>
      </c>
      <c r="D235" s="1" t="s">
        <v>8</v>
      </c>
      <c r="E235" s="1" t="str">
        <f>"刘泔辰"</f>
        <v>刘泔辰</v>
      </c>
      <c r="F235" s="1" t="str">
        <f>"2022020315"</f>
        <v>2022020315</v>
      </c>
      <c r="G235" s="2" t="s">
        <v>212</v>
      </c>
      <c r="H235" s="2" t="s">
        <v>132</v>
      </c>
      <c r="I235" s="1">
        <v>30</v>
      </c>
      <c r="J235" s="1">
        <f t="shared" si="15"/>
        <v>137.4</v>
      </c>
      <c r="K235" s="4">
        <f t="shared" si="20"/>
        <v>68.7</v>
      </c>
    </row>
    <row r="236" spans="1:11">
      <c r="A236" s="4">
        <v>234</v>
      </c>
      <c r="B236" s="1" t="str">
        <f t="shared" si="19"/>
        <v>110</v>
      </c>
      <c r="C236" s="1" t="s">
        <v>253</v>
      </c>
      <c r="D236" s="1" t="s">
        <v>8</v>
      </c>
      <c r="E236" s="1" t="str">
        <f>"张甜甜"</f>
        <v>张甜甜</v>
      </c>
      <c r="F236" s="1" t="str">
        <f>"2022021101"</f>
        <v>2022021101</v>
      </c>
      <c r="G236" s="2" t="s">
        <v>107</v>
      </c>
      <c r="H236" s="2" t="s">
        <v>105</v>
      </c>
      <c r="I236" s="1">
        <v>30</v>
      </c>
      <c r="J236" s="1">
        <f t="shared" si="15"/>
        <v>135.4</v>
      </c>
      <c r="K236" s="4">
        <f t="shared" si="20"/>
        <v>67.7</v>
      </c>
    </row>
    <row r="237" spans="1:11">
      <c r="A237" s="4">
        <v>235</v>
      </c>
      <c r="B237" s="1" t="str">
        <f t="shared" si="19"/>
        <v>110</v>
      </c>
      <c r="C237" s="1" t="s">
        <v>253</v>
      </c>
      <c r="D237" s="1" t="s">
        <v>8</v>
      </c>
      <c r="E237" s="1" t="str">
        <f>"洪静宇"</f>
        <v>洪静宇</v>
      </c>
      <c r="F237" s="1" t="str">
        <f>"2022021724"</f>
        <v>2022021724</v>
      </c>
      <c r="G237" s="2" t="s">
        <v>177</v>
      </c>
      <c r="H237" s="2" t="s">
        <v>57</v>
      </c>
      <c r="I237" s="1">
        <v>28</v>
      </c>
      <c r="J237" s="1">
        <f t="shared" si="15"/>
        <v>133.4</v>
      </c>
      <c r="K237" s="4">
        <f t="shared" si="20"/>
        <v>66.7</v>
      </c>
    </row>
    <row r="238" spans="1:11">
      <c r="A238" s="4">
        <v>236</v>
      </c>
      <c r="B238" s="1" t="str">
        <f t="shared" si="19"/>
        <v>110</v>
      </c>
      <c r="C238" s="1" t="s">
        <v>253</v>
      </c>
      <c r="D238" s="1" t="s">
        <v>8</v>
      </c>
      <c r="E238" s="1" t="str">
        <f>"杭传茹"</f>
        <v>杭传茹</v>
      </c>
      <c r="F238" s="1" t="str">
        <f>"2022021403"</f>
        <v>2022021403</v>
      </c>
      <c r="G238" s="2" t="s">
        <v>62</v>
      </c>
      <c r="H238" s="2" t="s">
        <v>13</v>
      </c>
      <c r="I238" s="1">
        <v>29</v>
      </c>
      <c r="J238" s="1">
        <f t="shared" si="15"/>
        <v>132.1</v>
      </c>
      <c r="K238" s="4">
        <f t="shared" si="20"/>
        <v>66.05</v>
      </c>
    </row>
    <row r="239" spans="1:11">
      <c r="A239" s="4">
        <v>237</v>
      </c>
      <c r="B239" s="1" t="str">
        <f t="shared" si="19"/>
        <v>110</v>
      </c>
      <c r="C239" s="1" t="s">
        <v>253</v>
      </c>
      <c r="D239" s="1" t="s">
        <v>8</v>
      </c>
      <c r="E239" s="1" t="str">
        <f>"沈昊文"</f>
        <v>沈昊文</v>
      </c>
      <c r="F239" s="1" t="str">
        <f>"2022020418"</f>
        <v>2022020418</v>
      </c>
      <c r="G239" s="2" t="s">
        <v>157</v>
      </c>
      <c r="H239" s="2" t="s">
        <v>183</v>
      </c>
      <c r="I239" s="1">
        <v>30</v>
      </c>
      <c r="J239" s="1">
        <f t="shared" si="15"/>
        <v>131.9</v>
      </c>
      <c r="K239" s="4">
        <f t="shared" si="20"/>
        <v>65.95</v>
      </c>
    </row>
    <row r="240" spans="1:11">
      <c r="A240" s="4">
        <v>238</v>
      </c>
      <c r="B240" s="1" t="str">
        <f t="shared" si="19"/>
        <v>110</v>
      </c>
      <c r="C240" s="1" t="s">
        <v>253</v>
      </c>
      <c r="D240" s="1" t="s">
        <v>8</v>
      </c>
      <c r="E240" s="1" t="str">
        <f>"张晓婕"</f>
        <v>张晓婕</v>
      </c>
      <c r="F240" s="1" t="str">
        <f>"2022020404"</f>
        <v>2022020404</v>
      </c>
      <c r="G240" s="2" t="s">
        <v>102</v>
      </c>
      <c r="H240" s="2" t="s">
        <v>87</v>
      </c>
      <c r="I240" s="1">
        <v>28</v>
      </c>
      <c r="J240" s="1">
        <f t="shared" si="15"/>
        <v>130.89999999999998</v>
      </c>
      <c r="K240" s="4">
        <f t="shared" si="20"/>
        <v>65.449999999999989</v>
      </c>
    </row>
    <row r="241" spans="1:11">
      <c r="A241" s="4">
        <v>239</v>
      </c>
      <c r="B241" s="1" t="str">
        <f t="shared" si="19"/>
        <v>110</v>
      </c>
      <c r="C241" s="1" t="s">
        <v>253</v>
      </c>
      <c r="D241" s="1" t="s">
        <v>8</v>
      </c>
      <c r="E241" s="1" t="str">
        <f>"朱红婷"</f>
        <v>朱红婷</v>
      </c>
      <c r="F241" s="1" t="str">
        <f>"2022022725"</f>
        <v>2022022725</v>
      </c>
      <c r="G241" s="2" t="s">
        <v>254</v>
      </c>
      <c r="H241" s="2" t="s">
        <v>61</v>
      </c>
      <c r="I241" s="1">
        <v>29</v>
      </c>
      <c r="J241" s="1">
        <f t="shared" si="15"/>
        <v>128.6</v>
      </c>
      <c r="K241" s="4">
        <f t="shared" si="20"/>
        <v>64.3</v>
      </c>
    </row>
    <row r="242" spans="1:11">
      <c r="A242" s="4">
        <v>240</v>
      </c>
      <c r="B242" s="1" t="str">
        <f t="shared" si="19"/>
        <v>110</v>
      </c>
      <c r="C242" s="1" t="s">
        <v>253</v>
      </c>
      <c r="D242" s="1" t="s">
        <v>8</v>
      </c>
      <c r="E242" s="1" t="str">
        <f>"郜婷婷"</f>
        <v>郜婷婷</v>
      </c>
      <c r="F242" s="1" t="str">
        <f>"2022023126"</f>
        <v>2022023126</v>
      </c>
      <c r="G242" s="2" t="s">
        <v>80</v>
      </c>
      <c r="H242" s="2" t="s">
        <v>26</v>
      </c>
      <c r="I242" s="1">
        <v>30</v>
      </c>
      <c r="J242" s="1">
        <f t="shared" si="15"/>
        <v>127.7</v>
      </c>
      <c r="K242" s="4">
        <f t="shared" si="20"/>
        <v>63.85</v>
      </c>
    </row>
    <row r="243" spans="1:11">
      <c r="A243" s="4">
        <v>241</v>
      </c>
      <c r="B243" s="1" t="str">
        <f t="shared" ref="B243:B252" si="21">"202"</f>
        <v>202</v>
      </c>
      <c r="C243" s="1" t="s">
        <v>257</v>
      </c>
      <c r="D243" s="1" t="s">
        <v>256</v>
      </c>
      <c r="E243" s="1" t="str">
        <f>"孟闪辉"</f>
        <v>孟闪辉</v>
      </c>
      <c r="F243" s="1" t="str">
        <f>"2022024312"</f>
        <v>2022024312</v>
      </c>
      <c r="G243" s="2" t="s">
        <v>255</v>
      </c>
      <c r="H243" s="2" t="s">
        <v>87</v>
      </c>
      <c r="I243" s="1">
        <v>30</v>
      </c>
      <c r="J243" s="1">
        <f t="shared" si="15"/>
        <v>147.6</v>
      </c>
      <c r="K243" s="4">
        <f t="shared" ref="K243:K247" si="22">J243/2</f>
        <v>73.8</v>
      </c>
    </row>
    <row r="244" spans="1:11">
      <c r="A244" s="4">
        <v>242</v>
      </c>
      <c r="B244" s="1" t="str">
        <f t="shared" si="21"/>
        <v>202</v>
      </c>
      <c r="C244" s="1" t="s">
        <v>257</v>
      </c>
      <c r="D244" s="1" t="s">
        <v>256</v>
      </c>
      <c r="E244" s="1" t="str">
        <f>"朱志章"</f>
        <v>朱志章</v>
      </c>
      <c r="F244" s="1" t="str">
        <f>"2022024103"</f>
        <v>2022024103</v>
      </c>
      <c r="G244" s="2" t="s">
        <v>259</v>
      </c>
      <c r="H244" s="2" t="s">
        <v>74</v>
      </c>
      <c r="I244" s="1">
        <v>28</v>
      </c>
      <c r="J244" s="1">
        <f t="shared" si="15"/>
        <v>144.80000000000001</v>
      </c>
      <c r="K244" s="4">
        <f t="shared" si="22"/>
        <v>72.400000000000006</v>
      </c>
    </row>
    <row r="245" spans="1:11">
      <c r="A245" s="4">
        <v>243</v>
      </c>
      <c r="B245" s="1" t="str">
        <f t="shared" si="21"/>
        <v>202</v>
      </c>
      <c r="C245" s="1" t="s">
        <v>257</v>
      </c>
      <c r="D245" s="1" t="s">
        <v>256</v>
      </c>
      <c r="E245" s="1" t="str">
        <f>"谢妍"</f>
        <v>谢妍</v>
      </c>
      <c r="F245" s="1" t="str">
        <f>"2022022020"</f>
        <v>2022022020</v>
      </c>
      <c r="G245" s="2" t="s">
        <v>258</v>
      </c>
      <c r="H245" s="2" t="s">
        <v>13</v>
      </c>
      <c r="I245" s="1">
        <v>30</v>
      </c>
      <c r="J245" s="1">
        <f t="shared" si="15"/>
        <v>142.30000000000001</v>
      </c>
      <c r="K245" s="4">
        <f t="shared" si="22"/>
        <v>71.150000000000006</v>
      </c>
    </row>
    <row r="246" spans="1:11">
      <c r="A246" s="4">
        <v>244</v>
      </c>
      <c r="B246" s="1" t="str">
        <f t="shared" si="21"/>
        <v>202</v>
      </c>
      <c r="C246" s="1" t="s">
        <v>257</v>
      </c>
      <c r="D246" s="1" t="s">
        <v>256</v>
      </c>
      <c r="E246" s="1" t="str">
        <f>"刘康康"</f>
        <v>刘康康</v>
      </c>
      <c r="F246" s="1" t="str">
        <f>"2022023030"</f>
        <v>2022023030</v>
      </c>
      <c r="G246" s="2" t="s">
        <v>258</v>
      </c>
      <c r="H246" s="2" t="s">
        <v>68</v>
      </c>
      <c r="I246" s="1">
        <v>30</v>
      </c>
      <c r="J246" s="1">
        <f t="shared" si="15"/>
        <v>137.5</v>
      </c>
      <c r="K246" s="4">
        <f t="shared" si="22"/>
        <v>68.75</v>
      </c>
    </row>
    <row r="247" spans="1:11">
      <c r="A247" s="4">
        <v>245</v>
      </c>
      <c r="B247" s="1" t="str">
        <f t="shared" si="21"/>
        <v>202</v>
      </c>
      <c r="C247" s="1" t="s">
        <v>257</v>
      </c>
      <c r="D247" s="1" t="s">
        <v>256</v>
      </c>
      <c r="E247" s="1" t="str">
        <f>"戚浩然"</f>
        <v>戚浩然</v>
      </c>
      <c r="F247" s="1" t="str">
        <f>"2022021817"</f>
        <v>2022021817</v>
      </c>
      <c r="G247" s="2" t="s">
        <v>161</v>
      </c>
      <c r="H247" s="2" t="s">
        <v>81</v>
      </c>
      <c r="I247" s="1">
        <v>30</v>
      </c>
      <c r="J247" s="1">
        <f t="shared" si="15"/>
        <v>135.80000000000001</v>
      </c>
      <c r="K247" s="4">
        <f t="shared" si="22"/>
        <v>67.900000000000006</v>
      </c>
    </row>
    <row r="248" spans="1:11">
      <c r="A248" s="4">
        <v>246</v>
      </c>
      <c r="B248" s="1" t="str">
        <f t="shared" si="21"/>
        <v>202</v>
      </c>
      <c r="C248" s="1" t="s">
        <v>257</v>
      </c>
      <c r="D248" s="1" t="s">
        <v>256</v>
      </c>
      <c r="E248" s="1" t="str">
        <f>"耿焱"</f>
        <v>耿焱</v>
      </c>
      <c r="F248" s="1" t="str">
        <f>"2022023904"</f>
        <v>2022023904</v>
      </c>
      <c r="G248" s="2" t="s">
        <v>232</v>
      </c>
      <c r="H248" s="2" t="s">
        <v>146</v>
      </c>
      <c r="I248" s="1">
        <v>28</v>
      </c>
      <c r="J248" s="1">
        <f t="shared" si="15"/>
        <v>134</v>
      </c>
      <c r="K248" s="4">
        <f t="shared" ref="K248:K263" si="23">J248/2</f>
        <v>67</v>
      </c>
    </row>
    <row r="249" spans="1:11">
      <c r="A249" s="4">
        <v>247</v>
      </c>
      <c r="B249" s="1" t="str">
        <f t="shared" si="21"/>
        <v>202</v>
      </c>
      <c r="C249" s="1" t="s">
        <v>257</v>
      </c>
      <c r="D249" s="1" t="s">
        <v>256</v>
      </c>
      <c r="E249" s="1" t="str">
        <f>"张福庆"</f>
        <v>张福庆</v>
      </c>
      <c r="F249" s="1" t="str">
        <f>"2022022021"</f>
        <v>2022022021</v>
      </c>
      <c r="G249" s="2" t="s">
        <v>84</v>
      </c>
      <c r="H249" s="2" t="s">
        <v>74</v>
      </c>
      <c r="I249" s="1">
        <v>29</v>
      </c>
      <c r="J249" s="1">
        <f t="shared" si="15"/>
        <v>132.1</v>
      </c>
      <c r="K249" s="4">
        <f t="shared" si="23"/>
        <v>66.05</v>
      </c>
    </row>
    <row r="250" spans="1:11">
      <c r="A250" s="4">
        <v>248</v>
      </c>
      <c r="B250" s="1" t="str">
        <f t="shared" si="21"/>
        <v>202</v>
      </c>
      <c r="C250" s="1" t="s">
        <v>257</v>
      </c>
      <c r="D250" s="1" t="s">
        <v>256</v>
      </c>
      <c r="E250" s="1" t="str">
        <f>"刘柳"</f>
        <v>刘柳</v>
      </c>
      <c r="F250" s="1" t="str">
        <f>"2022023826"</f>
        <v>2022023826</v>
      </c>
      <c r="G250" s="2" t="s">
        <v>126</v>
      </c>
      <c r="H250" s="2" t="s">
        <v>91</v>
      </c>
      <c r="I250" s="1">
        <v>30</v>
      </c>
      <c r="J250" s="1">
        <f t="shared" si="15"/>
        <v>127.7</v>
      </c>
      <c r="K250" s="4">
        <f t="shared" si="23"/>
        <v>63.85</v>
      </c>
    </row>
    <row r="251" spans="1:11">
      <c r="A251" s="4">
        <v>249</v>
      </c>
      <c r="B251" s="1" t="str">
        <f t="shared" si="21"/>
        <v>202</v>
      </c>
      <c r="C251" s="1" t="s">
        <v>257</v>
      </c>
      <c r="D251" s="1" t="s">
        <v>256</v>
      </c>
      <c r="E251" s="1" t="str">
        <f>"闫燕飞"</f>
        <v>闫燕飞</v>
      </c>
      <c r="F251" s="1" t="str">
        <f>"2022020222"</f>
        <v>2022020222</v>
      </c>
      <c r="G251" s="2" t="s">
        <v>121</v>
      </c>
      <c r="H251" s="2" t="s">
        <v>20</v>
      </c>
      <c r="I251" s="1">
        <v>27</v>
      </c>
      <c r="J251" s="1">
        <f t="shared" si="15"/>
        <v>126.4</v>
      </c>
      <c r="K251" s="4">
        <f t="shared" si="23"/>
        <v>63.2</v>
      </c>
    </row>
    <row r="252" spans="1:11">
      <c r="A252" s="4">
        <v>250</v>
      </c>
      <c r="B252" s="1" t="str">
        <f t="shared" si="21"/>
        <v>202</v>
      </c>
      <c r="C252" s="1" t="s">
        <v>257</v>
      </c>
      <c r="D252" s="1" t="s">
        <v>256</v>
      </c>
      <c r="E252" s="1" t="str">
        <f>"李群"</f>
        <v>李群</v>
      </c>
      <c r="F252" s="1" t="str">
        <f>"2022022517"</f>
        <v>2022022517</v>
      </c>
      <c r="G252" s="2" t="s">
        <v>115</v>
      </c>
      <c r="H252" s="2" t="s">
        <v>147</v>
      </c>
      <c r="I252" s="1">
        <v>28</v>
      </c>
      <c r="J252" s="1">
        <f t="shared" si="15"/>
        <v>124.8</v>
      </c>
      <c r="K252" s="4">
        <f t="shared" si="23"/>
        <v>62.4</v>
      </c>
    </row>
    <row r="253" spans="1:11">
      <c r="A253" s="4">
        <v>251</v>
      </c>
      <c r="B253" s="1" t="str">
        <f t="shared" ref="B253:B260" si="24">"203"</f>
        <v>203</v>
      </c>
      <c r="C253" s="1" t="s">
        <v>260</v>
      </c>
      <c r="D253" s="1" t="s">
        <v>256</v>
      </c>
      <c r="E253" s="1" t="str">
        <f>"张志斌"</f>
        <v>张志斌</v>
      </c>
      <c r="F253" s="1" t="str">
        <f>"2022022909"</f>
        <v>2022022909</v>
      </c>
      <c r="G253" s="2" t="s">
        <v>262</v>
      </c>
      <c r="H253" s="2" t="s">
        <v>88</v>
      </c>
      <c r="I253" s="1">
        <v>29</v>
      </c>
      <c r="J253" s="1">
        <f t="shared" si="15"/>
        <v>152</v>
      </c>
      <c r="K253" s="4">
        <f t="shared" si="23"/>
        <v>76</v>
      </c>
    </row>
    <row r="254" spans="1:11">
      <c r="A254" s="4">
        <v>252</v>
      </c>
      <c r="B254" s="1" t="str">
        <f t="shared" si="24"/>
        <v>203</v>
      </c>
      <c r="C254" s="1" t="s">
        <v>260</v>
      </c>
      <c r="D254" s="1" t="s">
        <v>256</v>
      </c>
      <c r="E254" s="1" t="str">
        <f>"李媛"</f>
        <v>李媛</v>
      </c>
      <c r="F254" s="1" t="str">
        <f>"2022021310"</f>
        <v>2022021310</v>
      </c>
      <c r="G254" s="2" t="s">
        <v>69</v>
      </c>
      <c r="H254" s="2" t="s">
        <v>54</v>
      </c>
      <c r="I254" s="1">
        <v>30</v>
      </c>
      <c r="J254" s="1">
        <f t="shared" si="15"/>
        <v>139.80000000000001</v>
      </c>
      <c r="K254" s="4">
        <f t="shared" si="23"/>
        <v>69.900000000000006</v>
      </c>
    </row>
    <row r="255" spans="1:11">
      <c r="A255" s="4">
        <v>253</v>
      </c>
      <c r="B255" s="1" t="str">
        <f t="shared" si="24"/>
        <v>203</v>
      </c>
      <c r="C255" s="1" t="s">
        <v>260</v>
      </c>
      <c r="D255" s="1" t="s">
        <v>256</v>
      </c>
      <c r="E255" s="1" t="str">
        <f>"梁媛媛"</f>
        <v>梁媛媛</v>
      </c>
      <c r="F255" s="1" t="str">
        <f>"2022020528"</f>
        <v>2022020528</v>
      </c>
      <c r="G255" s="2" t="s">
        <v>176</v>
      </c>
      <c r="H255" s="2" t="s">
        <v>162</v>
      </c>
      <c r="I255" s="1">
        <v>29</v>
      </c>
      <c r="J255" s="1">
        <f t="shared" si="15"/>
        <v>137.9</v>
      </c>
      <c r="K255" s="4">
        <f t="shared" si="23"/>
        <v>68.95</v>
      </c>
    </row>
    <row r="256" spans="1:11">
      <c r="A256" s="4">
        <v>254</v>
      </c>
      <c r="B256" s="1" t="str">
        <f t="shared" si="24"/>
        <v>203</v>
      </c>
      <c r="C256" s="1" t="s">
        <v>260</v>
      </c>
      <c r="D256" s="1" t="s">
        <v>256</v>
      </c>
      <c r="E256" s="1" t="str">
        <f>"张楚秦"</f>
        <v>张楚秦</v>
      </c>
      <c r="F256" s="1" t="str">
        <f>"2022022719"</f>
        <v>2022022719</v>
      </c>
      <c r="G256" s="2" t="s">
        <v>214</v>
      </c>
      <c r="H256" s="2" t="s">
        <v>164</v>
      </c>
      <c r="I256" s="1">
        <v>29</v>
      </c>
      <c r="J256" s="1">
        <f t="shared" si="15"/>
        <v>134.1</v>
      </c>
      <c r="K256" s="4">
        <f t="shared" si="23"/>
        <v>67.05</v>
      </c>
    </row>
    <row r="257" spans="1:11">
      <c r="A257" s="4">
        <v>255</v>
      </c>
      <c r="B257" s="1" t="str">
        <f t="shared" si="24"/>
        <v>203</v>
      </c>
      <c r="C257" s="1" t="s">
        <v>260</v>
      </c>
      <c r="D257" s="1" t="s">
        <v>256</v>
      </c>
      <c r="E257" s="1" t="str">
        <f>"张桂芹"</f>
        <v>张桂芹</v>
      </c>
      <c r="F257" s="1" t="str">
        <f>"2022022206"</f>
        <v>2022022206</v>
      </c>
      <c r="G257" s="2" t="s">
        <v>261</v>
      </c>
      <c r="H257" s="2" t="s">
        <v>193</v>
      </c>
      <c r="I257" s="1">
        <v>29</v>
      </c>
      <c r="J257" s="1">
        <f t="shared" si="15"/>
        <v>133.19999999999999</v>
      </c>
      <c r="K257" s="4">
        <f t="shared" si="23"/>
        <v>66.599999999999994</v>
      </c>
    </row>
    <row r="258" spans="1:11">
      <c r="A258" s="4">
        <v>256</v>
      </c>
      <c r="B258" s="1" t="str">
        <f t="shared" si="24"/>
        <v>203</v>
      </c>
      <c r="C258" s="1" t="s">
        <v>260</v>
      </c>
      <c r="D258" s="1" t="s">
        <v>256</v>
      </c>
      <c r="E258" s="1" t="str">
        <f>"谢雅茹"</f>
        <v>谢雅茹</v>
      </c>
      <c r="F258" s="1" t="str">
        <f>"2022023518"</f>
        <v>2022023518</v>
      </c>
      <c r="G258" s="2" t="s">
        <v>126</v>
      </c>
      <c r="H258" s="2" t="s">
        <v>81</v>
      </c>
      <c r="I258" s="1">
        <v>28</v>
      </c>
      <c r="J258" s="1">
        <f t="shared" si="15"/>
        <v>132.4</v>
      </c>
      <c r="K258" s="4">
        <f t="shared" si="23"/>
        <v>66.2</v>
      </c>
    </row>
    <row r="259" spans="1:11">
      <c r="A259" s="4">
        <v>257</v>
      </c>
      <c r="B259" s="1" t="str">
        <f t="shared" si="24"/>
        <v>203</v>
      </c>
      <c r="C259" s="1" t="s">
        <v>260</v>
      </c>
      <c r="D259" s="1" t="s">
        <v>256</v>
      </c>
      <c r="E259" s="1" t="str">
        <f>"孟佳"</f>
        <v>孟佳</v>
      </c>
      <c r="F259" s="1" t="str">
        <f>"2022021818"</f>
        <v>2022021818</v>
      </c>
      <c r="G259" s="2" t="s">
        <v>120</v>
      </c>
      <c r="H259" s="2" t="s">
        <v>164</v>
      </c>
      <c r="I259" s="1">
        <v>29</v>
      </c>
      <c r="J259" s="1">
        <f t="shared" ref="J259:J322" si="25">G259+H259+I259</f>
        <v>130.9</v>
      </c>
      <c r="K259" s="4">
        <f t="shared" si="23"/>
        <v>65.45</v>
      </c>
    </row>
    <row r="260" spans="1:11">
      <c r="A260" s="4">
        <v>258</v>
      </c>
      <c r="B260" s="1" t="str">
        <f t="shared" si="24"/>
        <v>203</v>
      </c>
      <c r="C260" s="1" t="s">
        <v>260</v>
      </c>
      <c r="D260" s="1" t="s">
        <v>256</v>
      </c>
      <c r="E260" s="1" t="str">
        <f>"吴小方"</f>
        <v>吴小方</v>
      </c>
      <c r="F260" s="1" t="str">
        <f>"2022020405"</f>
        <v>2022020405</v>
      </c>
      <c r="G260" s="2" t="s">
        <v>97</v>
      </c>
      <c r="H260" s="2" t="s">
        <v>143</v>
      </c>
      <c r="I260" s="1">
        <v>29</v>
      </c>
      <c r="J260" s="1">
        <f t="shared" si="25"/>
        <v>129.1</v>
      </c>
      <c r="K260" s="4">
        <f t="shared" si="23"/>
        <v>64.55</v>
      </c>
    </row>
    <row r="261" spans="1:11">
      <c r="A261" s="4">
        <v>259</v>
      </c>
      <c r="B261" s="1" t="str">
        <f>"205"</f>
        <v>205</v>
      </c>
      <c r="C261" s="1" t="s">
        <v>263</v>
      </c>
      <c r="D261" s="1" t="s">
        <v>256</v>
      </c>
      <c r="E261" s="1" t="str">
        <f>"鹿星月"</f>
        <v>鹿星月</v>
      </c>
      <c r="F261" s="1" t="str">
        <f>"2022022830"</f>
        <v>2022022830</v>
      </c>
      <c r="G261" s="2" t="s">
        <v>191</v>
      </c>
      <c r="H261" s="2" t="s">
        <v>74</v>
      </c>
      <c r="I261" s="1">
        <v>30</v>
      </c>
      <c r="J261" s="1">
        <f t="shared" si="25"/>
        <v>132.80000000000001</v>
      </c>
      <c r="K261" s="4">
        <f t="shared" si="23"/>
        <v>66.400000000000006</v>
      </c>
    </row>
    <row r="262" spans="1:11">
      <c r="A262" s="4">
        <v>260</v>
      </c>
      <c r="B262" s="1" t="str">
        <f>"205"</f>
        <v>205</v>
      </c>
      <c r="C262" s="1" t="s">
        <v>263</v>
      </c>
      <c r="D262" s="1" t="s">
        <v>256</v>
      </c>
      <c r="E262" s="1" t="str">
        <f>"邢凯丽"</f>
        <v>邢凯丽</v>
      </c>
      <c r="F262" s="1" t="str">
        <f>"2022022628"</f>
        <v>2022022628</v>
      </c>
      <c r="G262" s="2" t="s">
        <v>218</v>
      </c>
      <c r="H262" s="2" t="s">
        <v>132</v>
      </c>
      <c r="I262" s="1">
        <v>30</v>
      </c>
      <c r="J262" s="1">
        <f t="shared" si="25"/>
        <v>130.9</v>
      </c>
      <c r="K262" s="4">
        <f t="shared" si="23"/>
        <v>65.45</v>
      </c>
    </row>
    <row r="263" spans="1:11">
      <c r="A263" s="4">
        <v>261</v>
      </c>
      <c r="B263" s="1" t="str">
        <f>"206"</f>
        <v>206</v>
      </c>
      <c r="C263" s="1" t="s">
        <v>264</v>
      </c>
      <c r="D263" s="1" t="s">
        <v>256</v>
      </c>
      <c r="E263" s="1" t="str">
        <f>"张硕"</f>
        <v>张硕</v>
      </c>
      <c r="F263" s="1" t="str">
        <f>"2022023320"</f>
        <v>2022023320</v>
      </c>
      <c r="G263" s="2" t="s">
        <v>266</v>
      </c>
      <c r="H263" s="2" t="s">
        <v>167</v>
      </c>
      <c r="I263" s="1">
        <v>27</v>
      </c>
      <c r="J263" s="1">
        <f t="shared" si="25"/>
        <v>141</v>
      </c>
      <c r="K263" s="4">
        <f t="shared" si="23"/>
        <v>70.5</v>
      </c>
    </row>
    <row r="264" spans="1:11">
      <c r="A264" s="4">
        <v>262</v>
      </c>
      <c r="B264" s="1" t="str">
        <f>"206"</f>
        <v>206</v>
      </c>
      <c r="C264" s="1" t="s">
        <v>264</v>
      </c>
      <c r="D264" s="1" t="s">
        <v>256</v>
      </c>
      <c r="E264" s="1" t="str">
        <f>"范雨凡"</f>
        <v>范雨凡</v>
      </c>
      <c r="F264" s="1" t="str">
        <f>"2022020211"</f>
        <v>2022020211</v>
      </c>
      <c r="G264" s="2" t="s">
        <v>265</v>
      </c>
      <c r="H264" s="2" t="s">
        <v>94</v>
      </c>
      <c r="I264" s="1">
        <v>29</v>
      </c>
      <c r="J264" s="1">
        <f t="shared" si="25"/>
        <v>136.19999999999999</v>
      </c>
      <c r="K264" s="4">
        <f t="shared" ref="K264:K266" si="26">J264/2</f>
        <v>68.099999999999994</v>
      </c>
    </row>
    <row r="265" spans="1:11">
      <c r="A265" s="4">
        <v>263</v>
      </c>
      <c r="B265" s="1" t="str">
        <f>"207"</f>
        <v>207</v>
      </c>
      <c r="C265" s="1" t="s">
        <v>267</v>
      </c>
      <c r="D265" s="1" t="s">
        <v>256</v>
      </c>
      <c r="E265" s="1" t="str">
        <f>"高娅茹"</f>
        <v>高娅茹</v>
      </c>
      <c r="F265" s="1" t="str">
        <f>"2022022716"</f>
        <v>2022022716</v>
      </c>
      <c r="G265" s="2" t="s">
        <v>235</v>
      </c>
      <c r="H265" s="2" t="s">
        <v>98</v>
      </c>
      <c r="I265" s="1">
        <v>29</v>
      </c>
      <c r="J265" s="1">
        <f t="shared" si="25"/>
        <v>137.30000000000001</v>
      </c>
      <c r="K265" s="4">
        <f t="shared" si="26"/>
        <v>68.650000000000006</v>
      </c>
    </row>
    <row r="266" spans="1:11">
      <c r="A266" s="4">
        <v>264</v>
      </c>
      <c r="B266" s="1" t="str">
        <f>"207"</f>
        <v>207</v>
      </c>
      <c r="C266" s="1" t="s">
        <v>267</v>
      </c>
      <c r="D266" s="1" t="s">
        <v>256</v>
      </c>
      <c r="E266" s="1" t="str">
        <f>"田丹丹"</f>
        <v>田丹丹</v>
      </c>
      <c r="F266" s="1" t="str">
        <f>"2022020720"</f>
        <v>2022020720</v>
      </c>
      <c r="G266" s="2" t="s">
        <v>161</v>
      </c>
      <c r="H266" s="2" t="s">
        <v>49</v>
      </c>
      <c r="I266" s="1">
        <v>29</v>
      </c>
      <c r="J266" s="1">
        <f t="shared" si="25"/>
        <v>128.5</v>
      </c>
      <c r="K266" s="4">
        <f t="shared" si="26"/>
        <v>64.25</v>
      </c>
    </row>
  </sheetData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2022-02-21T00:14:58Z</cp:lastPrinted>
  <dcterms:created xsi:type="dcterms:W3CDTF">2022-02-20T03:12:24Z</dcterms:created>
  <dcterms:modified xsi:type="dcterms:W3CDTF">2022-02-21T00:55:41Z</dcterms:modified>
</cp:coreProperties>
</file>